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Override PartName="/xl/threadedComments/threadedComment5.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trakova\Nextcloud\VYSLEDKY_HOSPODARENI\VH_2023\k_31_12_2023\Plneni_rozpoctu_a_vysledky_hospodareni\"/>
    </mc:Choice>
  </mc:AlternateContent>
  <bookViews>
    <workbookView xWindow="0" yWindow="0" windowWidth="28800" windowHeight="11520" activeTab="5"/>
  </bookViews>
  <sheets>
    <sheet name="priloha_1" sheetId="1" state="hidden" r:id="rId1"/>
    <sheet name="SR_2023" sheetId="2" r:id="rId2"/>
    <sheet name="1.pol.23" sheetId="3" r:id="rId3"/>
    <sheet name="1.pol.23koncept" sheetId="4" r:id="rId4"/>
    <sheet name="dle040-I." sheetId="5" r:id="rId5"/>
    <sheet name="rok23" sheetId="6" r:id="rId6"/>
    <sheet name="rok23koncept" sheetId="7" r:id="rId7"/>
    <sheet name="dle040-II." sheetId="8" r:id="rId8"/>
    <sheet name="List1" sheetId="9" r:id="rId9"/>
  </sheets>
  <definedNames>
    <definedName name="__xlfn_ANCHORARRAY">NA()</definedName>
    <definedName name="Excel_BuiltIn__FilterDatabase" localSheetId="2">'1.pol.23'!#REF!</definedName>
    <definedName name="Excel_BuiltIn__FilterDatabase" localSheetId="3">'1.pol.23koncept'!#REF!</definedName>
    <definedName name="Excel_BuiltIn__FilterDatabase" localSheetId="5">'rok23'!#REF!</definedName>
    <definedName name="Excel_BuiltIn__FilterDatabase" localSheetId="6">rok23koncept!#REF!</definedName>
    <definedName name="Excel_BuiltIn__FilterDatabase" localSheetId="1">SR_2023!#REF!</definedName>
    <definedName name="Excel_BuiltIn_Print_Area" localSheetId="2">'1.pol.23'!$A$1:$I$875</definedName>
    <definedName name="Excel_BuiltIn_Print_Area" localSheetId="3">'1.pol.23koncept'!$A$1:$H$1008</definedName>
    <definedName name="Excel_BuiltIn_Print_Area" localSheetId="0">priloha_1!$A$1:$G$50</definedName>
    <definedName name="Excel_BuiltIn_Print_Area" localSheetId="5">'rok23'!$A$1:$I$899</definedName>
    <definedName name="Excel_BuiltIn_Print_Area" localSheetId="6">rok23koncept!$A$1:$I$899</definedName>
    <definedName name="Excel_BuiltIn_Print_Area" localSheetId="1">SR_2023!$A$1:$G$969</definedName>
    <definedName name="Excel_BuiltIn_Print_Titles" localSheetId="2">'1.pol.23'!$1:$1</definedName>
    <definedName name="Excel_BuiltIn_Print_Titles" localSheetId="3">'1.pol.23koncept'!$1:$1</definedName>
    <definedName name="Excel_BuiltIn_Print_Titles" localSheetId="0">priloha_1!$2:$2</definedName>
    <definedName name="Excel_BuiltIn_Print_Titles" localSheetId="5">'rok23'!$1:$1</definedName>
    <definedName name="Excel_BuiltIn_Print_Titles" localSheetId="6">rok23koncept!$1:$1</definedName>
    <definedName name="Excel_BuiltIn_Print_Titles" localSheetId="1">SR_2023!$1:$1</definedName>
    <definedName name="_xlnm.Print_Area" localSheetId="2">'1.pol.23'!$A$1:$I$875</definedName>
    <definedName name="_xlnm.Print_Area" localSheetId="3">'1.pol.23koncept'!$A$1:$H$1008</definedName>
    <definedName name="_xlnm.Print_Area" localSheetId="4">'dle040-I.'!$A$1:$K$69</definedName>
    <definedName name="_xlnm.Print_Area" localSheetId="7">'dle040-II.'!$A$1:$K$72</definedName>
    <definedName name="_xlnm.Print_Area" localSheetId="0">priloha_1!$A$1:$G$50</definedName>
    <definedName name="_xlnm.Print_Area" localSheetId="5">'rok23'!$A$1:$I$899</definedName>
    <definedName name="_xlnm.Print_Area" localSheetId="6">rok23koncept!$A$1:$I$899</definedName>
    <definedName name="_xlnm.Print_Area" localSheetId="1">SR_2023!$A$1:$G$969</definedName>
    <definedName name="Print_Titles" localSheetId="2">'1.pol.23'!$1:$1</definedName>
    <definedName name="Print_Titles" localSheetId="3">'1.pol.23koncept'!$1:$1</definedName>
    <definedName name="Print_Titles" localSheetId="0">priloha_1!$2:$2</definedName>
    <definedName name="Print_Titles" localSheetId="5">'rok23'!$1:$1</definedName>
    <definedName name="Print_Titles" localSheetId="6">rok23koncept!$1:$1</definedName>
    <definedName name="Print_Titles" localSheetId="1">SR_2023!$1:$1</definedName>
  </definedNames>
  <calcPr calcId="152511"/>
</workbook>
</file>

<file path=xl/calcChain.xml><?xml version="1.0" encoding="utf-8"?>
<calcChain xmlns="http://schemas.openxmlformats.org/spreadsheetml/2006/main">
  <c r="E236" i="6" l="1"/>
  <c r="I236" i="6" s="1"/>
  <c r="I8" i="6" s="1"/>
  <c r="I68" i="8"/>
  <c r="G68" i="8"/>
  <c r="I60" i="8"/>
  <c r="G60" i="8"/>
  <c r="I59" i="8"/>
  <c r="I62" i="8" s="1"/>
  <c r="G59" i="8"/>
  <c r="G62" i="8" s="1"/>
  <c r="I46" i="8"/>
  <c r="G46" i="8"/>
  <c r="E46" i="8"/>
  <c r="I45" i="8"/>
  <c r="G45" i="8"/>
  <c r="E45" i="8"/>
  <c r="G44" i="8"/>
  <c r="G48" i="8" s="1"/>
  <c r="G58" i="8" s="1"/>
  <c r="G42" i="8"/>
  <c r="I39" i="8"/>
  <c r="I42" i="8" s="1"/>
  <c r="I44" i="8" s="1"/>
  <c r="I48" i="8" s="1"/>
  <c r="I58" i="8" s="1"/>
  <c r="I25" i="8"/>
  <c r="I27" i="8" s="1"/>
  <c r="I32" i="8" s="1"/>
  <c r="I30" i="8" s="1"/>
  <c r="G25" i="8"/>
  <c r="L30" i="8" s="1"/>
  <c r="E25" i="8"/>
  <c r="I24" i="8"/>
  <c r="G24" i="8"/>
  <c r="G27" i="8" s="1"/>
  <c r="G32" i="8" s="1"/>
  <c r="G30" i="8" s="1"/>
  <c r="E24" i="8"/>
  <c r="I14" i="8"/>
  <c r="I18" i="8" s="1"/>
  <c r="G14" i="8"/>
  <c r="G18" i="8" s="1"/>
  <c r="D895" i="7"/>
  <c r="C895" i="7"/>
  <c r="D894" i="7"/>
  <c r="F893" i="7"/>
  <c r="D893" i="7"/>
  <c r="C893" i="7"/>
  <c r="D887" i="7"/>
  <c r="F885" i="7"/>
  <c r="D885" i="7"/>
  <c r="C885" i="7"/>
  <c r="D883" i="7"/>
  <c r="D882" i="7"/>
  <c r="F881" i="7"/>
  <c r="D881" i="7"/>
  <c r="C881" i="7"/>
  <c r="D880" i="7"/>
  <c r="D878" i="7"/>
  <c r="D872" i="7" s="1"/>
  <c r="D29" i="7" s="1"/>
  <c r="D877" i="7"/>
  <c r="D875" i="7"/>
  <c r="D874" i="7" s="1"/>
  <c r="C874" i="7"/>
  <c r="F873" i="7"/>
  <c r="D873" i="7"/>
  <c r="F872" i="7"/>
  <c r="C872" i="7"/>
  <c r="D867" i="7"/>
  <c r="C867" i="7"/>
  <c r="H866" i="7"/>
  <c r="G866" i="7"/>
  <c r="F862" i="7"/>
  <c r="D862" i="7"/>
  <c r="D861" i="7" s="1"/>
  <c r="D28" i="7" s="1"/>
  <c r="C862" i="7"/>
  <c r="C861" i="7" s="1"/>
  <c r="C28" i="7" s="1"/>
  <c r="F861" i="7"/>
  <c r="D858" i="7"/>
  <c r="D856" i="7"/>
  <c r="F854" i="7"/>
  <c r="C854" i="7"/>
  <c r="F851" i="7"/>
  <c r="D851" i="7"/>
  <c r="C851" i="7"/>
  <c r="D850" i="7"/>
  <c r="C850" i="7"/>
  <c r="D846" i="7"/>
  <c r="C846" i="7"/>
  <c r="D843" i="7"/>
  <c r="D841" i="7" s="1"/>
  <c r="F841" i="7"/>
  <c r="C841" i="7"/>
  <c r="D837" i="7"/>
  <c r="D835" i="7"/>
  <c r="C835" i="7"/>
  <c r="D828" i="7"/>
  <c r="C828" i="7"/>
  <c r="C826" i="7" s="1"/>
  <c r="D826" i="7"/>
  <c r="D825" i="7"/>
  <c r="D824" i="7"/>
  <c r="D822" i="7" s="1"/>
  <c r="C824" i="7"/>
  <c r="C822" i="7" s="1"/>
  <c r="C820" i="7" s="1"/>
  <c r="D823" i="7"/>
  <c r="D821" i="7"/>
  <c r="D819" i="7"/>
  <c r="D817" i="7"/>
  <c r="D816" i="7"/>
  <c r="D815" i="7"/>
  <c r="D813" i="7"/>
  <c r="D810" i="7"/>
  <c r="D808" i="7" s="1"/>
  <c r="F808" i="7"/>
  <c r="C808" i="7"/>
  <c r="F803" i="7"/>
  <c r="D803" i="7"/>
  <c r="C803" i="7"/>
  <c r="D801" i="7"/>
  <c r="D799" i="7"/>
  <c r="D797" i="7"/>
  <c r="D796" i="7"/>
  <c r="D795" i="7"/>
  <c r="D793" i="7"/>
  <c r="D792" i="7" s="1"/>
  <c r="F792" i="7"/>
  <c r="C792" i="7"/>
  <c r="D790" i="7"/>
  <c r="D786" i="7"/>
  <c r="D785" i="7" s="1"/>
  <c r="F785" i="7"/>
  <c r="C785" i="7"/>
  <c r="D780" i="7"/>
  <c r="D779" i="7" s="1"/>
  <c r="C779" i="7"/>
  <c r="F777" i="7"/>
  <c r="D777" i="7"/>
  <c r="C777" i="7"/>
  <c r="D776" i="7"/>
  <c r="D775" i="7"/>
  <c r="D774" i="7"/>
  <c r="D772" i="7" s="1"/>
  <c r="D770" i="7" s="1"/>
  <c r="C772" i="7"/>
  <c r="D771" i="7"/>
  <c r="F770" i="7"/>
  <c r="C770" i="7"/>
  <c r="D769" i="7"/>
  <c r="D768" i="7"/>
  <c r="D766" i="7" s="1"/>
  <c r="C768" i="7"/>
  <c r="C766" i="7" s="1"/>
  <c r="C760" i="7" s="1"/>
  <c r="C757" i="7" s="1"/>
  <c r="F766" i="7"/>
  <c r="D765" i="7"/>
  <c r="D763" i="7"/>
  <c r="D762" i="7"/>
  <c r="F761" i="7"/>
  <c r="D761" i="7"/>
  <c r="C761" i="7"/>
  <c r="D758" i="7"/>
  <c r="C758" i="7"/>
  <c r="F757" i="7"/>
  <c r="D756" i="7"/>
  <c r="F753" i="7"/>
  <c r="D753" i="7"/>
  <c r="C753" i="7"/>
  <c r="D751" i="7"/>
  <c r="D750" i="7"/>
  <c r="F749" i="7"/>
  <c r="D749" i="7"/>
  <c r="C749" i="7"/>
  <c r="D747" i="7"/>
  <c r="F746" i="7"/>
  <c r="D746" i="7"/>
  <c r="C746" i="7"/>
  <c r="F745" i="7"/>
  <c r="D745" i="7"/>
  <c r="C745" i="7"/>
  <c r="D744" i="7"/>
  <c r="D743" i="7"/>
  <c r="D742" i="7"/>
  <c r="D741" i="7" s="1"/>
  <c r="F741" i="7"/>
  <c r="C741" i="7"/>
  <c r="D740" i="7"/>
  <c r="D739" i="7"/>
  <c r="D737" i="7"/>
  <c r="D736" i="7"/>
  <c r="D735" i="7"/>
  <c r="D734" i="7"/>
  <c r="F733" i="7"/>
  <c r="C733" i="7"/>
  <c r="D732" i="7"/>
  <c r="D731" i="7"/>
  <c r="F730" i="7"/>
  <c r="D730" i="7"/>
  <c r="C730" i="7"/>
  <c r="F729" i="7"/>
  <c r="F728" i="7"/>
  <c r="D727" i="7"/>
  <c r="F726" i="7"/>
  <c r="D722" i="7"/>
  <c r="C722" i="7"/>
  <c r="D721" i="7"/>
  <c r="D720" i="7"/>
  <c r="D719" i="7"/>
  <c r="D718" i="7"/>
  <c r="D716" i="7" s="1"/>
  <c r="F716" i="7"/>
  <c r="C716" i="7"/>
  <c r="D715" i="7"/>
  <c r="D713" i="7"/>
  <c r="D711" i="7"/>
  <c r="F710" i="7"/>
  <c r="D710" i="7"/>
  <c r="C710" i="7"/>
  <c r="D707" i="7"/>
  <c r="D705" i="7"/>
  <c r="F702" i="7"/>
  <c r="D699" i="7"/>
  <c r="D698" i="7"/>
  <c r="D697" i="7"/>
  <c r="D696" i="7"/>
  <c r="F695" i="7"/>
  <c r="D695" i="7"/>
  <c r="D694" i="7" s="1"/>
  <c r="D25" i="7" s="1"/>
  <c r="C695" i="7"/>
  <c r="C694" i="7"/>
  <c r="D690" i="7"/>
  <c r="D687" i="7"/>
  <c r="D685" i="7"/>
  <c r="D681" i="7"/>
  <c r="F680" i="7"/>
  <c r="C680" i="7"/>
  <c r="C679" i="7"/>
  <c r="D678" i="7"/>
  <c r="D676" i="7"/>
  <c r="D672" i="7"/>
  <c r="D671" i="7" s="1"/>
  <c r="D663" i="7" s="1"/>
  <c r="C671" i="7"/>
  <c r="D669" i="7"/>
  <c r="C669" i="7"/>
  <c r="D668" i="7"/>
  <c r="D666" i="7" s="1"/>
  <c r="D667" i="7"/>
  <c r="C666" i="7"/>
  <c r="C663" i="7" s="1"/>
  <c r="D665" i="7"/>
  <c r="D664" i="7"/>
  <c r="F663" i="7"/>
  <c r="F662" i="7"/>
  <c r="C662" i="7"/>
  <c r="C24" i="7" s="1"/>
  <c r="D661" i="7"/>
  <c r="D660" i="7"/>
  <c r="C660" i="7"/>
  <c r="D659" i="7"/>
  <c r="D658" i="7"/>
  <c r="C658" i="7"/>
  <c r="F657" i="7"/>
  <c r="D657" i="7"/>
  <c r="D654" i="7" s="1"/>
  <c r="C657" i="7"/>
  <c r="C654" i="7" s="1"/>
  <c r="C23" i="7" s="1"/>
  <c r="D656" i="7"/>
  <c r="D655" i="7"/>
  <c r="F654" i="7"/>
  <c r="D651" i="7"/>
  <c r="D647" i="7"/>
  <c r="D646" i="7"/>
  <c r="D645" i="7"/>
  <c r="D644" i="7"/>
  <c r="D643" i="7"/>
  <c r="F642" i="7"/>
  <c r="C642" i="7"/>
  <c r="D636" i="7"/>
  <c r="F635" i="7"/>
  <c r="C635" i="7"/>
  <c r="D633" i="7"/>
  <c r="D632" i="7" s="1"/>
  <c r="D631" i="7" s="1"/>
  <c r="C632" i="7"/>
  <c r="C631" i="7"/>
  <c r="D629" i="7"/>
  <c r="C629" i="7"/>
  <c r="D626" i="7"/>
  <c r="D623" i="7"/>
  <c r="D621" i="7"/>
  <c r="D619" i="7" s="1"/>
  <c r="D618" i="7" s="1"/>
  <c r="F619" i="7"/>
  <c r="C619" i="7"/>
  <c r="C618" i="7" s="1"/>
  <c r="D616" i="7"/>
  <c r="C616" i="7"/>
  <c r="D614" i="7"/>
  <c r="C614" i="7"/>
  <c r="D612" i="7"/>
  <c r="F611" i="7"/>
  <c r="D611" i="7"/>
  <c r="D609" i="7" s="1"/>
  <c r="C611" i="7"/>
  <c r="C609" i="7"/>
  <c r="D607" i="7"/>
  <c r="D606" i="7" s="1"/>
  <c r="F606" i="7"/>
  <c r="C606" i="7"/>
  <c r="D605" i="7"/>
  <c r="D601" i="7" s="1"/>
  <c r="D602" i="7"/>
  <c r="F601" i="7"/>
  <c r="C601" i="7"/>
  <c r="D600" i="7"/>
  <c r="F598" i="7"/>
  <c r="D598" i="7"/>
  <c r="C598" i="7"/>
  <c r="D596" i="7"/>
  <c r="F595" i="7"/>
  <c r="D595" i="7"/>
  <c r="C595" i="7"/>
  <c r="C594" i="7" s="1"/>
  <c r="D593" i="7"/>
  <c r="D592" i="7"/>
  <c r="C592" i="7"/>
  <c r="D590" i="7"/>
  <c r="F589" i="7"/>
  <c r="D589" i="7"/>
  <c r="D588" i="7" s="1"/>
  <c r="C589" i="7"/>
  <c r="C588" i="7"/>
  <c r="D586" i="7"/>
  <c r="C586" i="7"/>
  <c r="D585" i="7"/>
  <c r="C585" i="7"/>
  <c r="D584" i="7"/>
  <c r="D583" i="7" s="1"/>
  <c r="F583" i="7"/>
  <c r="D581" i="7"/>
  <c r="D566" i="7" s="1"/>
  <c r="C581" i="7"/>
  <c r="C578" i="7" s="1"/>
  <c r="D580" i="7"/>
  <c r="D579" i="7"/>
  <c r="F578" i="7"/>
  <c r="D576" i="7"/>
  <c r="D573" i="7" s="1"/>
  <c r="C576" i="7"/>
  <c r="C573" i="7" s="1"/>
  <c r="D575" i="7"/>
  <c r="D574" i="7"/>
  <c r="F573" i="7"/>
  <c r="D571" i="7"/>
  <c r="C571" i="7"/>
  <c r="C568" i="7" s="1"/>
  <c r="D570" i="7"/>
  <c r="D565" i="7" s="1"/>
  <c r="D569" i="7"/>
  <c r="C569" i="7"/>
  <c r="F568" i="7"/>
  <c r="D568" i="7"/>
  <c r="E566" i="7"/>
  <c r="C566" i="7"/>
  <c r="E565" i="7"/>
  <c r="E564" i="7"/>
  <c r="F562" i="7" s="1"/>
  <c r="C564" i="7"/>
  <c r="D563" i="7"/>
  <c r="D560" i="7"/>
  <c r="D558" i="7"/>
  <c r="F557" i="7"/>
  <c r="C557" i="7"/>
  <c r="D555" i="7"/>
  <c r="D553" i="7"/>
  <c r="F552" i="7"/>
  <c r="C552" i="7"/>
  <c r="D549" i="7"/>
  <c r="D548" i="7"/>
  <c r="F547" i="7"/>
  <c r="D547" i="7"/>
  <c r="C547" i="7"/>
  <c r="E545" i="7"/>
  <c r="C545" i="7"/>
  <c r="E544" i="7"/>
  <c r="D544" i="7"/>
  <c r="C544" i="7"/>
  <c r="E543" i="7"/>
  <c r="F542" i="7" s="1"/>
  <c r="C543" i="7"/>
  <c r="F541" i="7"/>
  <c r="F540" i="7"/>
  <c r="D538" i="7"/>
  <c r="D537" i="7" s="1"/>
  <c r="D19" i="7" s="1"/>
  <c r="C537" i="7"/>
  <c r="F533" i="7"/>
  <c r="D533" i="7"/>
  <c r="D18" i="7" s="1"/>
  <c r="C533" i="7"/>
  <c r="D531" i="7"/>
  <c r="D529" i="7"/>
  <c r="D528" i="7"/>
  <c r="D526" i="7" s="1"/>
  <c r="F526" i="7"/>
  <c r="C526" i="7"/>
  <c r="D525" i="7"/>
  <c r="F524" i="7"/>
  <c r="C524" i="7"/>
  <c r="C17" i="7" s="1"/>
  <c r="D521" i="7"/>
  <c r="D520" i="7"/>
  <c r="D519" i="7"/>
  <c r="F518" i="7"/>
  <c r="D518" i="7"/>
  <c r="D16" i="7" s="1"/>
  <c r="C518" i="7"/>
  <c r="D515" i="7"/>
  <c r="C515" i="7"/>
  <c r="C15" i="7" s="1"/>
  <c r="D513" i="7"/>
  <c r="D512" i="7" s="1"/>
  <c r="C512" i="7"/>
  <c r="D510" i="7"/>
  <c r="C510" i="7"/>
  <c r="C492" i="7" s="1"/>
  <c r="D508" i="7"/>
  <c r="C508" i="7"/>
  <c r="F507" i="7"/>
  <c r="D507" i="7"/>
  <c r="C507" i="7"/>
  <c r="D505" i="7"/>
  <c r="D504" i="7"/>
  <c r="D503" i="7"/>
  <c r="D502" i="7" s="1"/>
  <c r="F502" i="7"/>
  <c r="C502" i="7"/>
  <c r="F500" i="7"/>
  <c r="D500" i="7"/>
  <c r="C500" i="7"/>
  <c r="D499" i="7"/>
  <c r="D496" i="7"/>
  <c r="D495" i="7"/>
  <c r="D494" i="7"/>
  <c r="F493" i="7"/>
  <c r="D493" i="7"/>
  <c r="C493" i="7"/>
  <c r="F492" i="7"/>
  <c r="D490" i="7"/>
  <c r="C490" i="7"/>
  <c r="D488" i="7"/>
  <c r="C488" i="7"/>
  <c r="D487" i="7"/>
  <c r="D486" i="7"/>
  <c r="D485" i="7"/>
  <c r="D484" i="7"/>
  <c r="D483" i="7"/>
  <c r="D482" i="7"/>
  <c r="D481" i="7"/>
  <c r="D479" i="7"/>
  <c r="D478" i="7" s="1"/>
  <c r="F478" i="7"/>
  <c r="C478" i="7"/>
  <c r="D477" i="7"/>
  <c r="D476" i="7"/>
  <c r="D475" i="7"/>
  <c r="D474" i="7"/>
  <c r="D473" i="7"/>
  <c r="D471" i="7" s="1"/>
  <c r="D472" i="7"/>
  <c r="F471" i="7"/>
  <c r="C471" i="7"/>
  <c r="F464" i="7"/>
  <c r="D464" i="7"/>
  <c r="C464" i="7"/>
  <c r="D460" i="7"/>
  <c r="D459" i="7" s="1"/>
  <c r="F459" i="7"/>
  <c r="C459" i="7"/>
  <c r="F458" i="7"/>
  <c r="F455" i="7"/>
  <c r="D455" i="7"/>
  <c r="D452" i="7" s="1"/>
  <c r="C455" i="7"/>
  <c r="D453" i="7"/>
  <c r="C453" i="7"/>
  <c r="C452" i="7" s="1"/>
  <c r="F452" i="7"/>
  <c r="D449" i="7"/>
  <c r="D448" i="7"/>
  <c r="D447" i="7"/>
  <c r="F446" i="7"/>
  <c r="D446" i="7"/>
  <c r="D445" i="7" s="1"/>
  <c r="C446" i="7"/>
  <c r="C445" i="7" s="1"/>
  <c r="D442" i="7"/>
  <c r="D441" i="7" s="1"/>
  <c r="D438" i="7" s="1"/>
  <c r="F441" i="7"/>
  <c r="C441" i="7"/>
  <c r="D440" i="7"/>
  <c r="D439" i="7" s="1"/>
  <c r="F439" i="7"/>
  <c r="C439" i="7"/>
  <c r="F438" i="7"/>
  <c r="C438" i="7"/>
  <c r="D436" i="7"/>
  <c r="C436" i="7"/>
  <c r="C432" i="7" s="1"/>
  <c r="D435" i="7"/>
  <c r="D433" i="7"/>
  <c r="C433" i="7"/>
  <c r="F432" i="7"/>
  <c r="D432" i="7"/>
  <c r="D431" i="7"/>
  <c r="F430" i="7"/>
  <c r="D430" i="7"/>
  <c r="C430" i="7"/>
  <c r="F429" i="7"/>
  <c r="D429" i="7"/>
  <c r="C429" i="7"/>
  <c r="D426" i="7"/>
  <c r="C426" i="7"/>
  <c r="F425" i="7"/>
  <c r="D425" i="7"/>
  <c r="D424" i="7"/>
  <c r="D423" i="7"/>
  <c r="D422" i="7"/>
  <c r="D420" i="7" s="1"/>
  <c r="C420" i="7"/>
  <c r="F419" i="7"/>
  <c r="D419" i="7"/>
  <c r="D418" i="7"/>
  <c r="D416" i="7"/>
  <c r="F415" i="7"/>
  <c r="D415" i="7"/>
  <c r="D414" i="7" s="1"/>
  <c r="C415" i="7"/>
  <c r="C414" i="7" s="1"/>
  <c r="F414" i="7"/>
  <c r="D413" i="7"/>
  <c r="D411" i="7" s="1"/>
  <c r="F411" i="7"/>
  <c r="C411" i="7"/>
  <c r="D409" i="7"/>
  <c r="D408" i="7"/>
  <c r="D407" i="7"/>
  <c r="C407" i="7"/>
  <c r="D406" i="7"/>
  <c r="D405" i="7"/>
  <c r="D403" i="7"/>
  <c r="D402" i="7"/>
  <c r="D401" i="7"/>
  <c r="C401" i="7"/>
  <c r="D395" i="7"/>
  <c r="D394" i="7"/>
  <c r="D393" i="7"/>
  <c r="D392" i="7"/>
  <c r="D387" i="7"/>
  <c r="D385" i="7"/>
  <c r="D384" i="7"/>
  <c r="D382" i="7"/>
  <c r="D381" i="7"/>
  <c r="D380" i="7"/>
  <c r="D379" i="7"/>
  <c r="D378" i="7" s="1"/>
  <c r="F378" i="7"/>
  <c r="C378" i="7"/>
  <c r="C362" i="7" s="1"/>
  <c r="D375" i="7"/>
  <c r="D374" i="7"/>
  <c r="D373" i="7"/>
  <c r="D372" i="7"/>
  <c r="D363" i="7" s="1"/>
  <c r="D362" i="7" s="1"/>
  <c r="D371" i="7"/>
  <c r="D369" i="7"/>
  <c r="D364" i="7"/>
  <c r="F363" i="7"/>
  <c r="C363" i="7"/>
  <c r="F362" i="7"/>
  <c r="D359" i="7"/>
  <c r="D358" i="7"/>
  <c r="D357" i="7"/>
  <c r="D356" i="7"/>
  <c r="D355" i="7"/>
  <c r="F354" i="7"/>
  <c r="D354" i="7"/>
  <c r="C354" i="7"/>
  <c r="D353" i="7"/>
  <c r="F351" i="7"/>
  <c r="D351" i="7"/>
  <c r="D350" i="7" s="1"/>
  <c r="C351" i="7"/>
  <c r="F350" i="7"/>
  <c r="C350" i="7"/>
  <c r="F349" i="7"/>
  <c r="D348" i="7"/>
  <c r="D347" i="7"/>
  <c r="C346" i="7"/>
  <c r="F345" i="7"/>
  <c r="D343" i="7"/>
  <c r="C343" i="7"/>
  <c r="F342" i="7"/>
  <c r="D341" i="7"/>
  <c r="C341" i="7"/>
  <c r="D339" i="7"/>
  <c r="D338" i="7"/>
  <c r="D337" i="7"/>
  <c r="D336" i="7"/>
  <c r="F335" i="7"/>
  <c r="C335" i="7"/>
  <c r="F334" i="7"/>
  <c r="C334" i="7"/>
  <c r="D333" i="7"/>
  <c r="D331" i="7"/>
  <c r="D325" i="7" s="1"/>
  <c r="D330" i="7"/>
  <c r="D328" i="7"/>
  <c r="C325" i="7"/>
  <c r="C319" i="7" s="1"/>
  <c r="D323" i="7"/>
  <c r="F322" i="7"/>
  <c r="D320" i="7"/>
  <c r="F319" i="7"/>
  <c r="D318" i="7"/>
  <c r="D316" i="7"/>
  <c r="D311" i="7"/>
  <c r="F310" i="7"/>
  <c r="D310" i="7"/>
  <c r="C310" i="7"/>
  <c r="D308" i="7"/>
  <c r="D305" i="7"/>
  <c r="D304" i="7"/>
  <c r="D303" i="7" s="1"/>
  <c r="F303" i="7"/>
  <c r="C303" i="7"/>
  <c r="D301" i="7"/>
  <c r="D300" i="7" s="1"/>
  <c r="C300" i="7"/>
  <c r="F296" i="7"/>
  <c r="D296" i="7"/>
  <c r="C296" i="7"/>
  <c r="F295" i="7"/>
  <c r="D293" i="7"/>
  <c r="D286" i="7" s="1"/>
  <c r="D285" i="7" s="1"/>
  <c r="D292" i="7"/>
  <c r="D290" i="7"/>
  <c r="C286" i="7"/>
  <c r="C285" i="7" s="1"/>
  <c r="F285" i="7"/>
  <c r="D284" i="7"/>
  <c r="D280" i="7" s="1"/>
  <c r="D283" i="7"/>
  <c r="D281" i="7"/>
  <c r="C281" i="7"/>
  <c r="C280" i="7" s="1"/>
  <c r="C259" i="7" s="1"/>
  <c r="F280" i="7"/>
  <c r="D279" i="7"/>
  <c r="D278" i="7"/>
  <c r="F277" i="7"/>
  <c r="D277" i="7"/>
  <c r="D274" i="7"/>
  <c r="D273" i="7" s="1"/>
  <c r="F273" i="7"/>
  <c r="C273" i="7"/>
  <c r="F272" i="7"/>
  <c r="D272" i="7"/>
  <c r="C272" i="7"/>
  <c r="D270" i="7"/>
  <c r="F269" i="7"/>
  <c r="D269" i="7"/>
  <c r="D268" i="7"/>
  <c r="F267" i="7"/>
  <c r="D267" i="7"/>
  <c r="D266" i="7"/>
  <c r="F265" i="7"/>
  <c r="D265" i="7"/>
  <c r="D264" i="7"/>
  <c r="D263" i="7"/>
  <c r="D260" i="7" s="1"/>
  <c r="D259" i="7" s="1"/>
  <c r="D262" i="7"/>
  <c r="C261" i="7"/>
  <c r="F260" i="7"/>
  <c r="C260" i="7"/>
  <c r="F259" i="7"/>
  <c r="D258" i="7"/>
  <c r="F256" i="7"/>
  <c r="D256" i="7"/>
  <c r="C256" i="7"/>
  <c r="D254" i="7"/>
  <c r="D253" i="7"/>
  <c r="D252" i="7"/>
  <c r="F251" i="7"/>
  <c r="C251" i="7"/>
  <c r="D249" i="7"/>
  <c r="D248" i="7"/>
  <c r="D247" i="7"/>
  <c r="F246" i="7"/>
  <c r="D246" i="7"/>
  <c r="C246" i="7"/>
  <c r="F245" i="7"/>
  <c r="C245" i="7"/>
  <c r="F244" i="7"/>
  <c r="F242" i="7"/>
  <c r="D239" i="7"/>
  <c r="C239" i="7"/>
  <c r="D237" i="7"/>
  <c r="C237" i="7"/>
  <c r="D236" i="7"/>
  <c r="D235" i="7" s="1"/>
  <c r="D8" i="7" s="1"/>
  <c r="C236" i="7"/>
  <c r="C235" i="7" s="1"/>
  <c r="F235" i="7"/>
  <c r="F233" i="7"/>
  <c r="D231" i="7"/>
  <c r="D230" i="7"/>
  <c r="F227" i="7"/>
  <c r="C227" i="7"/>
  <c r="D226" i="7"/>
  <c r="D225" i="7"/>
  <c r="D224" i="7"/>
  <c r="D223" i="7"/>
  <c r="D221" i="7"/>
  <c r="F220" i="7"/>
  <c r="C220" i="7"/>
  <c r="D219" i="7"/>
  <c r="D218" i="7" s="1"/>
  <c r="C218" i="7"/>
  <c r="E217" i="7"/>
  <c r="F175" i="7" s="1"/>
  <c r="D217" i="7"/>
  <c r="D215" i="7"/>
  <c r="D214" i="7"/>
  <c r="D207" i="7"/>
  <c r="D206" i="7"/>
  <c r="D205" i="7"/>
  <c r="F204" i="7"/>
  <c r="D204" i="7"/>
  <c r="C204" i="7"/>
  <c r="D202" i="7"/>
  <c r="D199" i="7"/>
  <c r="D198" i="7"/>
  <c r="D197" i="7"/>
  <c r="D196" i="7" s="1"/>
  <c r="F196" i="7"/>
  <c r="C196" i="7"/>
  <c r="D195" i="7"/>
  <c r="D193" i="7"/>
  <c r="D192" i="7"/>
  <c r="D191" i="7"/>
  <c r="D190" i="7"/>
  <c r="D189" i="7"/>
  <c r="D187" i="7"/>
  <c r="D186" i="7"/>
  <c r="D185" i="7"/>
  <c r="D181" i="7"/>
  <c r="F180" i="7"/>
  <c r="D180" i="7"/>
  <c r="C180" i="7"/>
  <c r="D179" i="7"/>
  <c r="F176" i="7"/>
  <c r="D176" i="7"/>
  <c r="C176" i="7"/>
  <c r="C175" i="7" s="1"/>
  <c r="C6" i="7" s="1"/>
  <c r="D173" i="7"/>
  <c r="D172" i="7"/>
  <c r="C171" i="7"/>
  <c r="D170" i="7"/>
  <c r="D168" i="7" s="1"/>
  <c r="C168" i="7"/>
  <c r="C167" i="7"/>
  <c r="D166" i="7"/>
  <c r="D165" i="7"/>
  <c r="D164" i="7"/>
  <c r="D163" i="7"/>
  <c r="C163" i="7"/>
  <c r="F160" i="7"/>
  <c r="C160" i="7"/>
  <c r="C5" i="7" s="1"/>
  <c r="E158" i="7"/>
  <c r="F144" i="7" s="1"/>
  <c r="D154" i="7"/>
  <c r="D153" i="7"/>
  <c r="D152" i="7"/>
  <c r="D146" i="7"/>
  <c r="C144" i="7"/>
  <c r="D142" i="7"/>
  <c r="I131" i="7"/>
  <c r="H131" i="7"/>
  <c r="G131" i="7"/>
  <c r="D130" i="7"/>
  <c r="D125" i="7" s="1"/>
  <c r="F125" i="7"/>
  <c r="C125" i="7"/>
  <c r="D124" i="7"/>
  <c r="D123" i="7"/>
  <c r="D119" i="7"/>
  <c r="E118" i="7"/>
  <c r="F109" i="7" s="1"/>
  <c r="D118" i="7"/>
  <c r="E117" i="7"/>
  <c r="E116" i="7"/>
  <c r="D116" i="7"/>
  <c r="D114" i="7"/>
  <c r="D110" i="7"/>
  <c r="D109" i="7"/>
  <c r="C109" i="7"/>
  <c r="I105" i="7"/>
  <c r="H105" i="7"/>
  <c r="G105" i="7"/>
  <c r="D102" i="7"/>
  <c r="E99" i="7"/>
  <c r="E98" i="7"/>
  <c r="F94" i="7" s="1"/>
  <c r="D97" i="7"/>
  <c r="D96" i="7"/>
  <c r="C94" i="7"/>
  <c r="D90" i="7"/>
  <c r="D85" i="7"/>
  <c r="F81" i="7"/>
  <c r="D81" i="7"/>
  <c r="C81" i="7"/>
  <c r="D79" i="7"/>
  <c r="C79" i="7"/>
  <c r="D75" i="7"/>
  <c r="D72" i="7"/>
  <c r="H69" i="7"/>
  <c r="F65" i="7"/>
  <c r="D65" i="7"/>
  <c r="C65" i="7"/>
  <c r="F64" i="7"/>
  <c r="C64" i="7"/>
  <c r="C4" i="7" s="1"/>
  <c r="D61" i="7"/>
  <c r="D59" i="7"/>
  <c r="D54" i="7"/>
  <c r="F52" i="7"/>
  <c r="D52" i="7"/>
  <c r="C52" i="7"/>
  <c r="D51" i="7"/>
  <c r="D50" i="7"/>
  <c r="D49" i="7"/>
  <c r="D48" i="7"/>
  <c r="D47" i="7"/>
  <c r="D46" i="7"/>
  <c r="D45" i="7"/>
  <c r="F44" i="7"/>
  <c r="C44" i="7"/>
  <c r="D41" i="7"/>
  <c r="D40" i="7"/>
  <c r="D39" i="7"/>
  <c r="C39" i="7"/>
  <c r="D38" i="7"/>
  <c r="D37" i="7"/>
  <c r="C37" i="7"/>
  <c r="D36" i="7"/>
  <c r="C36" i="7"/>
  <c r="D35" i="7"/>
  <c r="C35" i="7"/>
  <c r="D34" i="7"/>
  <c r="C34" i="7"/>
  <c r="D33" i="7"/>
  <c r="C33" i="7"/>
  <c r="F32" i="7"/>
  <c r="C29" i="7"/>
  <c r="C25" i="7"/>
  <c r="D23" i="7"/>
  <c r="C22" i="7"/>
  <c r="D21" i="7"/>
  <c r="C21" i="7"/>
  <c r="C19" i="7"/>
  <c r="C18" i="7"/>
  <c r="C16" i="7"/>
  <c r="D15" i="7"/>
  <c r="L13" i="7"/>
  <c r="L11" i="7" s="1"/>
  <c r="K13" i="7"/>
  <c r="K11" i="7" s="1"/>
  <c r="C8" i="7"/>
  <c r="I899" i="6"/>
  <c r="I895" i="6"/>
  <c r="D895" i="6"/>
  <c r="H895" i="6" s="1"/>
  <c r="C895" i="6"/>
  <c r="G894" i="6"/>
  <c r="D894" i="6"/>
  <c r="H894" i="6" s="1"/>
  <c r="I893" i="6"/>
  <c r="F893" i="6"/>
  <c r="H892" i="6"/>
  <c r="H891" i="6"/>
  <c r="H890" i="6"/>
  <c r="H889" i="6"/>
  <c r="H888" i="6"/>
  <c r="H887" i="6"/>
  <c r="D887" i="6"/>
  <c r="D885" i="6" s="1"/>
  <c r="H886" i="6"/>
  <c r="I885" i="6"/>
  <c r="H885" i="6"/>
  <c r="F885" i="6"/>
  <c r="C885" i="6"/>
  <c r="I883" i="6"/>
  <c r="H883" i="6"/>
  <c r="G883" i="6"/>
  <c r="D883" i="6"/>
  <c r="I882" i="6"/>
  <c r="H882" i="6"/>
  <c r="G882" i="6"/>
  <c r="D882" i="6"/>
  <c r="I881" i="6"/>
  <c r="H881" i="6"/>
  <c r="F881" i="6"/>
  <c r="D881" i="6"/>
  <c r="C881" i="6"/>
  <c r="G881" i="6" s="1"/>
  <c r="I880" i="6"/>
  <c r="G880" i="6"/>
  <c r="D880" i="6"/>
  <c r="H880" i="6" s="1"/>
  <c r="I879" i="6"/>
  <c r="H879" i="6"/>
  <c r="G879" i="6"/>
  <c r="I878" i="6"/>
  <c r="G878" i="6"/>
  <c r="D878" i="6"/>
  <c r="H878" i="6" s="1"/>
  <c r="I877" i="6"/>
  <c r="G877" i="6"/>
  <c r="D877" i="6"/>
  <c r="H877" i="6" s="1"/>
  <c r="H876" i="6"/>
  <c r="I875" i="6"/>
  <c r="D875" i="6"/>
  <c r="I874" i="6"/>
  <c r="C874" i="6"/>
  <c r="G873" i="6"/>
  <c r="D873" i="6"/>
  <c r="I872" i="6"/>
  <c r="F872" i="6"/>
  <c r="F873" i="6" s="1"/>
  <c r="H870" i="6"/>
  <c r="G870" i="6"/>
  <c r="H869" i="6"/>
  <c r="G869" i="6"/>
  <c r="H868" i="6"/>
  <c r="G868" i="6"/>
  <c r="H867" i="6"/>
  <c r="G867" i="6"/>
  <c r="D867" i="6"/>
  <c r="C867" i="6"/>
  <c r="H865" i="6"/>
  <c r="G865" i="6"/>
  <c r="H864" i="6"/>
  <c r="G864" i="6"/>
  <c r="H863" i="6"/>
  <c r="G863" i="6"/>
  <c r="G862" i="6"/>
  <c r="F862" i="6"/>
  <c r="D862" i="6"/>
  <c r="C862" i="6"/>
  <c r="G861" i="6"/>
  <c r="F861" i="6"/>
  <c r="C861" i="6"/>
  <c r="I859" i="6"/>
  <c r="H859" i="6"/>
  <c r="G859" i="6"/>
  <c r="I858" i="6"/>
  <c r="G858" i="6"/>
  <c r="D858" i="6"/>
  <c r="D854" i="6" s="1"/>
  <c r="H854" i="6" s="1"/>
  <c r="H857" i="6"/>
  <c r="G857" i="6"/>
  <c r="H856" i="6"/>
  <c r="G856" i="6"/>
  <c r="D856" i="6"/>
  <c r="H855" i="6"/>
  <c r="G855" i="6"/>
  <c r="I854" i="6"/>
  <c r="G854" i="6"/>
  <c r="F854" i="6"/>
  <c r="C854" i="6"/>
  <c r="I853" i="6"/>
  <c r="H853" i="6"/>
  <c r="G853" i="6"/>
  <c r="I852" i="6"/>
  <c r="H852" i="6"/>
  <c r="G852" i="6"/>
  <c r="I851" i="6"/>
  <c r="G851" i="6"/>
  <c r="F851" i="6"/>
  <c r="D851" i="6"/>
  <c r="C851" i="6"/>
  <c r="I850" i="6"/>
  <c r="G850" i="6"/>
  <c r="C850" i="6"/>
  <c r="I849" i="6"/>
  <c r="H849" i="6"/>
  <c r="G849" i="6"/>
  <c r="D849" i="6"/>
  <c r="H848" i="6"/>
  <c r="G848" i="6"/>
  <c r="D848" i="6"/>
  <c r="G847" i="6"/>
  <c r="D847" i="6"/>
  <c r="D846" i="6" s="1"/>
  <c r="I846" i="6"/>
  <c r="C846" i="6"/>
  <c r="I845" i="6"/>
  <c r="H845" i="6"/>
  <c r="G845" i="6"/>
  <c r="H844" i="6"/>
  <c r="G844" i="6"/>
  <c r="I843" i="6"/>
  <c r="H843" i="6"/>
  <c r="G843" i="6"/>
  <c r="D843" i="6"/>
  <c r="I842" i="6"/>
  <c r="H842" i="6"/>
  <c r="G842" i="6"/>
  <c r="I841" i="6"/>
  <c r="F841" i="6"/>
  <c r="H840" i="6"/>
  <c r="G840" i="6"/>
  <c r="H839" i="6"/>
  <c r="G839" i="6"/>
  <c r="H838" i="6"/>
  <c r="G838" i="6"/>
  <c r="I837" i="6"/>
  <c r="G837" i="6"/>
  <c r="D837" i="6"/>
  <c r="D835" i="6" s="1"/>
  <c r="I836" i="6"/>
  <c r="H836" i="6"/>
  <c r="G836" i="6"/>
  <c r="I835" i="6"/>
  <c r="H835" i="6"/>
  <c r="F835" i="6"/>
  <c r="C835" i="6"/>
  <c r="G835" i="6" s="1"/>
  <c r="D834" i="6"/>
  <c r="H834" i="6" s="1"/>
  <c r="H833" i="6"/>
  <c r="G833" i="6"/>
  <c r="H832" i="6"/>
  <c r="G832" i="6"/>
  <c r="H831" i="6"/>
  <c r="G831" i="6"/>
  <c r="H830" i="6"/>
  <c r="G830" i="6"/>
  <c r="H829" i="6"/>
  <c r="G829" i="6"/>
  <c r="I828" i="6"/>
  <c r="G828" i="6"/>
  <c r="F828" i="6"/>
  <c r="D828" i="6"/>
  <c r="H828" i="6" s="1"/>
  <c r="C828" i="6"/>
  <c r="I827" i="6"/>
  <c r="H827" i="6"/>
  <c r="G827" i="6"/>
  <c r="G826" i="6"/>
  <c r="F826" i="6"/>
  <c r="D826" i="6"/>
  <c r="H826" i="6" s="1"/>
  <c r="C826" i="6"/>
  <c r="H825" i="6"/>
  <c r="G825" i="6"/>
  <c r="D825" i="6"/>
  <c r="G824" i="6"/>
  <c r="D824" i="6"/>
  <c r="C824" i="6"/>
  <c r="I823" i="6"/>
  <c r="H823" i="6"/>
  <c r="G823" i="6"/>
  <c r="D823" i="6"/>
  <c r="I822" i="6"/>
  <c r="G822" i="6"/>
  <c r="F822" i="6"/>
  <c r="C822" i="6"/>
  <c r="H821" i="6"/>
  <c r="G821" i="6"/>
  <c r="D821" i="6"/>
  <c r="I820" i="6"/>
  <c r="F820" i="6"/>
  <c r="G819" i="6"/>
  <c r="D819" i="6"/>
  <c r="I818" i="6"/>
  <c r="H818" i="6"/>
  <c r="G818" i="6"/>
  <c r="D818" i="6"/>
  <c r="G817" i="6"/>
  <c r="D817" i="6"/>
  <c r="I816" i="6"/>
  <c r="G816" i="6"/>
  <c r="D816" i="6"/>
  <c r="H816" i="6" s="1"/>
  <c r="G815" i="6"/>
  <c r="D815" i="6"/>
  <c r="H815" i="6" s="1"/>
  <c r="I814" i="6"/>
  <c r="H814" i="6"/>
  <c r="G814" i="6"/>
  <c r="I813" i="6"/>
  <c r="H813" i="6"/>
  <c r="G813" i="6"/>
  <c r="D813" i="6"/>
  <c r="H812" i="6"/>
  <c r="G812" i="6"/>
  <c r="G811" i="6"/>
  <c r="D811" i="6"/>
  <c r="H811" i="6" s="1"/>
  <c r="I810" i="6"/>
  <c r="G810" i="6"/>
  <c r="D810" i="6"/>
  <c r="H809" i="6"/>
  <c r="G809" i="6"/>
  <c r="I808" i="6"/>
  <c r="F808" i="6"/>
  <c r="C808" i="6"/>
  <c r="G808" i="6" s="1"/>
  <c r="I807" i="6"/>
  <c r="H807" i="6"/>
  <c r="G807" i="6"/>
  <c r="I806" i="6"/>
  <c r="H806" i="6"/>
  <c r="G806" i="6"/>
  <c r="I805" i="6"/>
  <c r="H805" i="6"/>
  <c r="G805" i="6"/>
  <c r="I804" i="6"/>
  <c r="H804" i="6"/>
  <c r="G804" i="6"/>
  <c r="I803" i="6"/>
  <c r="F803" i="6"/>
  <c r="D803" i="6"/>
  <c r="H803" i="6" s="1"/>
  <c r="C803" i="6"/>
  <c r="G803" i="6" s="1"/>
  <c r="I802" i="6"/>
  <c r="H802" i="6"/>
  <c r="G802" i="6"/>
  <c r="I801" i="6"/>
  <c r="G801" i="6"/>
  <c r="D801" i="6"/>
  <c r="H801" i="6" s="1"/>
  <c r="H800" i="6"/>
  <c r="G800" i="6"/>
  <c r="G799" i="6"/>
  <c r="D799" i="6"/>
  <c r="H798" i="6"/>
  <c r="G798" i="6"/>
  <c r="G797" i="6"/>
  <c r="D797" i="6"/>
  <c r="G796" i="6"/>
  <c r="D796" i="6"/>
  <c r="H796" i="6" s="1"/>
  <c r="H795" i="6"/>
  <c r="G795" i="6"/>
  <c r="D795" i="6"/>
  <c r="H794" i="6"/>
  <c r="G794" i="6"/>
  <c r="G793" i="6"/>
  <c r="D793" i="6"/>
  <c r="I792" i="6"/>
  <c r="F792" i="6"/>
  <c r="C792" i="6"/>
  <c r="I791" i="6"/>
  <c r="G790" i="6"/>
  <c r="D790" i="6"/>
  <c r="I789" i="6"/>
  <c r="H789" i="6"/>
  <c r="G789" i="6"/>
  <c r="I788" i="6"/>
  <c r="H788" i="6"/>
  <c r="G788" i="6"/>
  <c r="I787" i="6"/>
  <c r="H787" i="6"/>
  <c r="G787" i="6"/>
  <c r="I786" i="6"/>
  <c r="G786" i="6"/>
  <c r="D786" i="6"/>
  <c r="I785" i="6"/>
  <c r="G785" i="6"/>
  <c r="F785" i="6"/>
  <c r="C785" i="6"/>
  <c r="I784" i="6"/>
  <c r="H784" i="6"/>
  <c r="G784" i="6"/>
  <c r="I783" i="6"/>
  <c r="H783" i="6"/>
  <c r="G783" i="6"/>
  <c r="I782" i="6"/>
  <c r="H782" i="6"/>
  <c r="G782" i="6"/>
  <c r="I781" i="6"/>
  <c r="H781" i="6"/>
  <c r="G781" i="6"/>
  <c r="G780" i="6"/>
  <c r="D780" i="6"/>
  <c r="D779" i="6" s="1"/>
  <c r="C779" i="6"/>
  <c r="G779" i="6" s="1"/>
  <c r="I778" i="6"/>
  <c r="H778" i="6"/>
  <c r="G778" i="6"/>
  <c r="I777" i="6"/>
  <c r="H777" i="6"/>
  <c r="F777" i="6"/>
  <c r="D777" i="6"/>
  <c r="C777" i="6"/>
  <c r="G777" i="6" s="1"/>
  <c r="G776" i="6"/>
  <c r="D776" i="6"/>
  <c r="H776" i="6" s="1"/>
  <c r="H775" i="6"/>
  <c r="G775" i="6"/>
  <c r="D775" i="6"/>
  <c r="H774" i="6"/>
  <c r="G774" i="6"/>
  <c r="D774" i="6"/>
  <c r="H773" i="6"/>
  <c r="G773" i="6"/>
  <c r="I772" i="6"/>
  <c r="F772" i="6"/>
  <c r="D772" i="6"/>
  <c r="C772" i="6"/>
  <c r="G772" i="6" s="1"/>
  <c r="I771" i="6"/>
  <c r="H771" i="6"/>
  <c r="G771" i="6"/>
  <c r="D771" i="6"/>
  <c r="I770" i="6"/>
  <c r="G770" i="6"/>
  <c r="F770" i="6"/>
  <c r="C770" i="6"/>
  <c r="H769" i="6"/>
  <c r="G769" i="6"/>
  <c r="D769" i="6"/>
  <c r="H768" i="6"/>
  <c r="G768" i="6"/>
  <c r="D768" i="6"/>
  <c r="C768" i="6"/>
  <c r="I767" i="6"/>
  <c r="H767" i="6"/>
  <c r="G767" i="6"/>
  <c r="I766" i="6"/>
  <c r="H766" i="6"/>
  <c r="G766" i="6"/>
  <c r="F766" i="6"/>
  <c r="D766" i="6"/>
  <c r="C766" i="6"/>
  <c r="G765" i="6"/>
  <c r="D765" i="6"/>
  <c r="G764" i="6"/>
  <c r="D764" i="6"/>
  <c r="H764" i="6" s="1"/>
  <c r="G763" i="6"/>
  <c r="D763" i="6"/>
  <c r="I762" i="6"/>
  <c r="H762" i="6"/>
  <c r="G762" i="6"/>
  <c r="D762" i="6"/>
  <c r="I761" i="6"/>
  <c r="F761" i="6"/>
  <c r="D761" i="6"/>
  <c r="C761" i="6"/>
  <c r="I760" i="6"/>
  <c r="F760" i="6"/>
  <c r="H759" i="6"/>
  <c r="G759" i="6"/>
  <c r="I758" i="6"/>
  <c r="G758" i="6"/>
  <c r="D758" i="6"/>
  <c r="C758" i="6"/>
  <c r="I757" i="6"/>
  <c r="F757" i="6"/>
  <c r="G756" i="6"/>
  <c r="D756" i="6"/>
  <c r="H755" i="6"/>
  <c r="G755" i="6"/>
  <c r="H754" i="6"/>
  <c r="G754" i="6"/>
  <c r="G753" i="6"/>
  <c r="F753" i="6"/>
  <c r="D753" i="6"/>
  <c r="H753" i="6" s="1"/>
  <c r="C753" i="6"/>
  <c r="H752" i="6"/>
  <c r="G752" i="6"/>
  <c r="H751" i="6"/>
  <c r="D751" i="6"/>
  <c r="I750" i="6"/>
  <c r="H750" i="6"/>
  <c r="G750" i="6"/>
  <c r="D750" i="6"/>
  <c r="I749" i="6"/>
  <c r="H749" i="6"/>
  <c r="F749" i="6"/>
  <c r="D749" i="6"/>
  <c r="C749" i="6"/>
  <c r="G749" i="6" s="1"/>
  <c r="H748" i="6"/>
  <c r="G748" i="6"/>
  <c r="H747" i="6"/>
  <c r="G747" i="6"/>
  <c r="D747" i="6"/>
  <c r="G746" i="6"/>
  <c r="F746" i="6"/>
  <c r="D746" i="6"/>
  <c r="H746" i="6" s="1"/>
  <c r="C746" i="6"/>
  <c r="I745" i="6"/>
  <c r="F745" i="6"/>
  <c r="D745" i="6"/>
  <c r="H745" i="6" s="1"/>
  <c r="C745" i="6"/>
  <c r="G745" i="6" s="1"/>
  <c r="G744" i="6"/>
  <c r="D744" i="6"/>
  <c r="H744" i="6" s="1"/>
  <c r="I743" i="6"/>
  <c r="D743" i="6"/>
  <c r="H743" i="6" s="1"/>
  <c r="I742" i="6"/>
  <c r="H742" i="6"/>
  <c r="G742" i="6"/>
  <c r="D742" i="6"/>
  <c r="I741" i="6"/>
  <c r="F741" i="6"/>
  <c r="D741" i="6"/>
  <c r="H741" i="6" s="1"/>
  <c r="C741" i="6"/>
  <c r="G741" i="6" s="1"/>
  <c r="G740" i="6"/>
  <c r="D740" i="6"/>
  <c r="G739" i="6"/>
  <c r="D739" i="6"/>
  <c r="H738" i="6"/>
  <c r="G738" i="6"/>
  <c r="G737" i="6"/>
  <c r="D737" i="6"/>
  <c r="G736" i="6"/>
  <c r="D736" i="6"/>
  <c r="H736" i="6" s="1"/>
  <c r="G735" i="6"/>
  <c r="D735" i="6"/>
  <c r="G734" i="6"/>
  <c r="D734" i="6"/>
  <c r="D733" i="6" s="1"/>
  <c r="H733" i="6" s="1"/>
  <c r="F733" i="6"/>
  <c r="C733" i="6"/>
  <c r="G733" i="6" s="1"/>
  <c r="G732" i="6"/>
  <c r="D732" i="6"/>
  <c r="H732" i="6" s="1"/>
  <c r="G731" i="6"/>
  <c r="D731" i="6"/>
  <c r="H731" i="6" s="1"/>
  <c r="F730" i="6"/>
  <c r="C730" i="6"/>
  <c r="G730" i="6" s="1"/>
  <c r="I729" i="6"/>
  <c r="G729" i="6"/>
  <c r="F729" i="6"/>
  <c r="C729" i="6"/>
  <c r="C728" i="6" s="1"/>
  <c r="I728" i="6"/>
  <c r="F728" i="6"/>
  <c r="G727" i="6"/>
  <c r="D727" i="6"/>
  <c r="I726" i="6"/>
  <c r="F726" i="6"/>
  <c r="H724" i="6"/>
  <c r="G724" i="6"/>
  <c r="H723" i="6"/>
  <c r="G723" i="6"/>
  <c r="H722" i="6"/>
  <c r="G722" i="6"/>
  <c r="D722" i="6"/>
  <c r="C722" i="6"/>
  <c r="H721" i="6"/>
  <c r="G721" i="6"/>
  <c r="D721" i="6"/>
  <c r="G720" i="6"/>
  <c r="D720" i="6"/>
  <c r="H720" i="6" s="1"/>
  <c r="I719" i="6"/>
  <c r="G719" i="6"/>
  <c r="D719" i="6"/>
  <c r="H719" i="6" s="1"/>
  <c r="I718" i="6"/>
  <c r="G718" i="6"/>
  <c r="D718" i="6"/>
  <c r="H717" i="6"/>
  <c r="G717" i="6"/>
  <c r="I716" i="6"/>
  <c r="F716" i="6"/>
  <c r="C716" i="6"/>
  <c r="G715" i="6"/>
  <c r="D715" i="6"/>
  <c r="H714" i="6"/>
  <c r="G714" i="6"/>
  <c r="I713" i="6"/>
  <c r="G713" i="6"/>
  <c r="D713" i="6"/>
  <c r="H713" i="6" s="1"/>
  <c r="I712" i="6"/>
  <c r="H712" i="6"/>
  <c r="G712" i="6"/>
  <c r="F712" i="6"/>
  <c r="I711" i="6"/>
  <c r="G711" i="6"/>
  <c r="D711" i="6"/>
  <c r="I710" i="6"/>
  <c r="G710" i="6"/>
  <c r="F710" i="6"/>
  <c r="C710" i="6"/>
  <c r="I709" i="6"/>
  <c r="H709" i="6"/>
  <c r="G709" i="6"/>
  <c r="I708" i="6"/>
  <c r="H708" i="6"/>
  <c r="G708" i="6"/>
  <c r="G707" i="6"/>
  <c r="D707" i="6"/>
  <c r="I706" i="6"/>
  <c r="H706" i="6"/>
  <c r="G706" i="6"/>
  <c r="I705" i="6"/>
  <c r="H705" i="6"/>
  <c r="G705" i="6"/>
  <c r="D705" i="6"/>
  <c r="I704" i="6"/>
  <c r="H704" i="6"/>
  <c r="G704" i="6"/>
  <c r="I703" i="6"/>
  <c r="H703" i="6"/>
  <c r="G703" i="6"/>
  <c r="I702" i="6"/>
  <c r="I26" i="6" s="1"/>
  <c r="F702" i="6"/>
  <c r="I700" i="6"/>
  <c r="H700" i="6"/>
  <c r="G700" i="6"/>
  <c r="D700" i="6"/>
  <c r="I699" i="6"/>
  <c r="H699" i="6"/>
  <c r="G699" i="6"/>
  <c r="D699" i="6"/>
  <c r="G698" i="6"/>
  <c r="D698" i="6"/>
  <c r="H698" i="6" s="1"/>
  <c r="I697" i="6"/>
  <c r="G697" i="6"/>
  <c r="D697" i="6"/>
  <c r="I696" i="6"/>
  <c r="G696" i="6"/>
  <c r="F696" i="6"/>
  <c r="C696" i="6"/>
  <c r="I695" i="6"/>
  <c r="C695" i="6"/>
  <c r="G695" i="6" s="1"/>
  <c r="I692" i="6"/>
  <c r="H692" i="6"/>
  <c r="G692" i="6"/>
  <c r="I691" i="6"/>
  <c r="H691" i="6"/>
  <c r="D691" i="6"/>
  <c r="H690" i="6"/>
  <c r="G690" i="6"/>
  <c r="H689" i="6"/>
  <c r="G689" i="6"/>
  <c r="I688" i="6"/>
  <c r="G688" i="6"/>
  <c r="D688" i="6"/>
  <c r="I687" i="6"/>
  <c r="H687" i="6"/>
  <c r="G687" i="6"/>
  <c r="I686" i="6"/>
  <c r="G686" i="6"/>
  <c r="D686" i="6"/>
  <c r="H686" i="6" s="1"/>
  <c r="I685" i="6"/>
  <c r="H685" i="6"/>
  <c r="G685" i="6"/>
  <c r="I684" i="6"/>
  <c r="H684" i="6"/>
  <c r="G684" i="6"/>
  <c r="I683" i="6"/>
  <c r="H683" i="6"/>
  <c r="G683" i="6"/>
  <c r="I682" i="6"/>
  <c r="G682" i="6"/>
  <c r="D682" i="6"/>
  <c r="I681" i="6"/>
  <c r="G681" i="6"/>
  <c r="F681" i="6"/>
  <c r="C681" i="6"/>
  <c r="I680" i="6"/>
  <c r="C680" i="6"/>
  <c r="G680" i="6" s="1"/>
  <c r="G679" i="6"/>
  <c r="D679" i="6"/>
  <c r="I678" i="6"/>
  <c r="H678" i="6"/>
  <c r="G678" i="6"/>
  <c r="G677" i="6"/>
  <c r="D677" i="6"/>
  <c r="H677" i="6" s="1"/>
  <c r="I676" i="6"/>
  <c r="H676" i="6"/>
  <c r="G676" i="6"/>
  <c r="I675" i="6"/>
  <c r="H675" i="6"/>
  <c r="G675" i="6"/>
  <c r="I674" i="6"/>
  <c r="H674" i="6"/>
  <c r="G674" i="6"/>
  <c r="I673" i="6"/>
  <c r="G673" i="6"/>
  <c r="D673" i="6"/>
  <c r="H673" i="6" s="1"/>
  <c r="I672" i="6"/>
  <c r="G672" i="6"/>
  <c r="D672" i="6"/>
  <c r="H672" i="6" s="1"/>
  <c r="C672" i="6"/>
  <c r="I671" i="6"/>
  <c r="H671" i="6"/>
  <c r="G671" i="6"/>
  <c r="I670" i="6"/>
  <c r="G670" i="6"/>
  <c r="D670" i="6"/>
  <c r="H670" i="6" s="1"/>
  <c r="C670" i="6"/>
  <c r="I669" i="6"/>
  <c r="H669" i="6"/>
  <c r="G669" i="6"/>
  <c r="D669" i="6"/>
  <c r="I668" i="6"/>
  <c r="H668" i="6"/>
  <c r="G668" i="6"/>
  <c r="D668" i="6"/>
  <c r="I667" i="6"/>
  <c r="H667" i="6"/>
  <c r="G667" i="6"/>
  <c r="D667" i="6"/>
  <c r="C667" i="6"/>
  <c r="I666" i="6"/>
  <c r="H666" i="6"/>
  <c r="G666" i="6"/>
  <c r="D666" i="6"/>
  <c r="H665" i="6"/>
  <c r="G665" i="6"/>
  <c r="D665" i="6"/>
  <c r="D664" i="6" s="1"/>
  <c r="H664" i="6" s="1"/>
  <c r="I664" i="6"/>
  <c r="G664" i="6"/>
  <c r="F664" i="6"/>
  <c r="C664" i="6"/>
  <c r="C663" i="6" s="1"/>
  <c r="G663" i="6" s="1"/>
  <c r="I663" i="6"/>
  <c r="F663" i="6"/>
  <c r="I661" i="6"/>
  <c r="H661" i="6"/>
  <c r="G661" i="6"/>
  <c r="D661" i="6"/>
  <c r="I660" i="6"/>
  <c r="H660" i="6"/>
  <c r="G660" i="6"/>
  <c r="D660" i="6"/>
  <c r="C660" i="6"/>
  <c r="I659" i="6"/>
  <c r="H659" i="6"/>
  <c r="G659" i="6"/>
  <c r="D659" i="6"/>
  <c r="I658" i="6"/>
  <c r="H658" i="6"/>
  <c r="D658" i="6"/>
  <c r="C658" i="6"/>
  <c r="I657" i="6"/>
  <c r="F657" i="6"/>
  <c r="D657" i="6"/>
  <c r="H657" i="6" s="1"/>
  <c r="I656" i="6"/>
  <c r="H656" i="6"/>
  <c r="G656" i="6"/>
  <c r="D656" i="6"/>
  <c r="D654" i="6" s="1"/>
  <c r="H654" i="6" s="1"/>
  <c r="I655" i="6"/>
  <c r="H655" i="6"/>
  <c r="G655" i="6"/>
  <c r="D655" i="6"/>
  <c r="I654" i="6"/>
  <c r="F654" i="6"/>
  <c r="I652" i="6"/>
  <c r="H652" i="6"/>
  <c r="G652" i="6"/>
  <c r="I651" i="6"/>
  <c r="H651" i="6"/>
  <c r="D651" i="6"/>
  <c r="I650" i="6"/>
  <c r="H650" i="6"/>
  <c r="G650" i="6"/>
  <c r="I649" i="6"/>
  <c r="H649" i="6"/>
  <c r="G649" i="6"/>
  <c r="I648" i="6"/>
  <c r="H648" i="6"/>
  <c r="G648" i="6"/>
  <c r="I647" i="6"/>
  <c r="H647" i="6"/>
  <c r="G647" i="6"/>
  <c r="D647" i="6"/>
  <c r="I646" i="6"/>
  <c r="H646" i="6"/>
  <c r="G646" i="6"/>
  <c r="D646" i="6"/>
  <c r="H645" i="6"/>
  <c r="D645" i="6"/>
  <c r="G644" i="6"/>
  <c r="D644" i="6"/>
  <c r="H644" i="6" s="1"/>
  <c r="I643" i="6"/>
  <c r="G643" i="6"/>
  <c r="D643" i="6"/>
  <c r="I642" i="6"/>
  <c r="F642" i="6"/>
  <c r="C642" i="6"/>
  <c r="G642" i="6" s="1"/>
  <c r="I641" i="6"/>
  <c r="H641" i="6"/>
  <c r="G641" i="6"/>
  <c r="I640" i="6"/>
  <c r="H640" i="6"/>
  <c r="G640" i="6"/>
  <c r="H639" i="6"/>
  <c r="G639" i="6"/>
  <c r="I638" i="6"/>
  <c r="H638" i="6"/>
  <c r="G638" i="6"/>
  <c r="I637" i="6"/>
  <c r="H637" i="6"/>
  <c r="G637" i="6"/>
  <c r="I636" i="6"/>
  <c r="G636" i="6"/>
  <c r="D636" i="6"/>
  <c r="H636" i="6" s="1"/>
  <c r="I635" i="6"/>
  <c r="F635" i="6"/>
  <c r="C635" i="6"/>
  <c r="G635" i="6" s="1"/>
  <c r="I633" i="6"/>
  <c r="H633" i="6"/>
  <c r="G633" i="6"/>
  <c r="D633" i="6"/>
  <c r="I632" i="6"/>
  <c r="H632" i="6"/>
  <c r="G632" i="6"/>
  <c r="D632" i="6"/>
  <c r="C632" i="6"/>
  <c r="I631" i="6"/>
  <c r="H631" i="6"/>
  <c r="D631" i="6"/>
  <c r="C631" i="6"/>
  <c r="G631" i="6" s="1"/>
  <c r="I629" i="6"/>
  <c r="D629" i="6"/>
  <c r="H629" i="6" s="1"/>
  <c r="C629" i="6"/>
  <c r="G629" i="6" s="1"/>
  <c r="I628" i="6"/>
  <c r="H628" i="6"/>
  <c r="G628" i="6"/>
  <c r="I627" i="6"/>
  <c r="H627" i="6"/>
  <c r="G627" i="6"/>
  <c r="I626" i="6"/>
  <c r="H626" i="6"/>
  <c r="G626" i="6"/>
  <c r="D626" i="6"/>
  <c r="I625" i="6"/>
  <c r="H625" i="6"/>
  <c r="G625" i="6"/>
  <c r="I624" i="6"/>
  <c r="H624" i="6"/>
  <c r="G624" i="6"/>
  <c r="I623" i="6"/>
  <c r="G623" i="6"/>
  <c r="D623" i="6"/>
  <c r="H623" i="6" s="1"/>
  <c r="I622" i="6"/>
  <c r="H622" i="6"/>
  <c r="G622" i="6"/>
  <c r="I621" i="6"/>
  <c r="G621" i="6"/>
  <c r="D621" i="6"/>
  <c r="H621" i="6" s="1"/>
  <c r="I620" i="6"/>
  <c r="H620" i="6"/>
  <c r="G620" i="6"/>
  <c r="I619" i="6"/>
  <c r="F619" i="6"/>
  <c r="C619" i="6"/>
  <c r="I618" i="6"/>
  <c r="I617" i="6"/>
  <c r="H617" i="6"/>
  <c r="G617" i="6"/>
  <c r="I616" i="6"/>
  <c r="G616" i="6"/>
  <c r="D616" i="6"/>
  <c r="H616" i="6" s="1"/>
  <c r="C616" i="6"/>
  <c r="I615" i="6"/>
  <c r="G614" i="6"/>
  <c r="D614" i="6"/>
  <c r="D611" i="6" s="1"/>
  <c r="C614" i="6"/>
  <c r="I612" i="6"/>
  <c r="H612" i="6"/>
  <c r="G612" i="6"/>
  <c r="D612" i="6"/>
  <c r="I611" i="6"/>
  <c r="H611" i="6"/>
  <c r="G611" i="6"/>
  <c r="F611" i="6"/>
  <c r="C611" i="6"/>
  <c r="I610" i="6"/>
  <c r="H610" i="6"/>
  <c r="G610" i="6"/>
  <c r="I609" i="6"/>
  <c r="F609" i="6"/>
  <c r="D609" i="6"/>
  <c r="H609" i="6" s="1"/>
  <c r="C609" i="6"/>
  <c r="G609" i="6" s="1"/>
  <c r="I608" i="6"/>
  <c r="H608" i="6"/>
  <c r="G608" i="6"/>
  <c r="H607" i="6"/>
  <c r="G607" i="6"/>
  <c r="D607" i="6"/>
  <c r="I606" i="6"/>
  <c r="F606" i="6"/>
  <c r="D606" i="6"/>
  <c r="H606" i="6" s="1"/>
  <c r="C606" i="6"/>
  <c r="I605" i="6"/>
  <c r="G605" i="6"/>
  <c r="D605" i="6"/>
  <c r="H605" i="6" s="1"/>
  <c r="I604" i="6"/>
  <c r="H604" i="6"/>
  <c r="G604" i="6"/>
  <c r="I603" i="6"/>
  <c r="H603" i="6"/>
  <c r="G603" i="6"/>
  <c r="G602" i="6"/>
  <c r="D602" i="6"/>
  <c r="G601" i="6"/>
  <c r="F601" i="6"/>
  <c r="D601" i="6"/>
  <c r="H601" i="6" s="1"/>
  <c r="C601" i="6"/>
  <c r="I600" i="6"/>
  <c r="H600" i="6"/>
  <c r="G600" i="6"/>
  <c r="D600" i="6"/>
  <c r="I599" i="6"/>
  <c r="H599" i="6"/>
  <c r="G599" i="6"/>
  <c r="I598" i="6"/>
  <c r="H598" i="6"/>
  <c r="G598" i="6"/>
  <c r="F598" i="6"/>
  <c r="D598" i="6"/>
  <c r="C598" i="6"/>
  <c r="I597" i="6"/>
  <c r="I596" i="6"/>
  <c r="G596" i="6"/>
  <c r="D596" i="6"/>
  <c r="H596" i="6" s="1"/>
  <c r="I595" i="6"/>
  <c r="G595" i="6"/>
  <c r="F595" i="6"/>
  <c r="D595" i="6"/>
  <c r="C595" i="6"/>
  <c r="I594" i="6"/>
  <c r="F594" i="6"/>
  <c r="I593" i="6"/>
  <c r="G593" i="6"/>
  <c r="D593" i="6"/>
  <c r="H593" i="6" s="1"/>
  <c r="I592" i="6"/>
  <c r="D592" i="6"/>
  <c r="H592" i="6" s="1"/>
  <c r="C592" i="6"/>
  <c r="I591" i="6"/>
  <c r="H591" i="6"/>
  <c r="G591" i="6"/>
  <c r="I590" i="6"/>
  <c r="G590" i="6"/>
  <c r="D590" i="6"/>
  <c r="H590" i="6" s="1"/>
  <c r="I589" i="6"/>
  <c r="F589" i="6"/>
  <c r="I588" i="6"/>
  <c r="H586" i="6"/>
  <c r="G586" i="6"/>
  <c r="D586" i="6"/>
  <c r="C586" i="6"/>
  <c r="I585" i="6"/>
  <c r="H585" i="6"/>
  <c r="D585" i="6"/>
  <c r="C585" i="6"/>
  <c r="I584" i="6"/>
  <c r="G584" i="6"/>
  <c r="D584" i="6"/>
  <c r="H584" i="6" s="1"/>
  <c r="I583" i="6"/>
  <c r="F583" i="6"/>
  <c r="D583" i="6"/>
  <c r="H583" i="6" s="1"/>
  <c r="I581" i="6"/>
  <c r="H581" i="6"/>
  <c r="G581" i="6"/>
  <c r="D581" i="6"/>
  <c r="C581" i="6"/>
  <c r="H580" i="6"/>
  <c r="G580" i="6"/>
  <c r="D580" i="6"/>
  <c r="I579" i="6"/>
  <c r="H579" i="6"/>
  <c r="G579" i="6"/>
  <c r="D579" i="6"/>
  <c r="I578" i="6"/>
  <c r="H578" i="6"/>
  <c r="F578" i="6"/>
  <c r="D578" i="6"/>
  <c r="C578" i="6"/>
  <c r="G578" i="6" s="1"/>
  <c r="G576" i="6"/>
  <c r="D576" i="6"/>
  <c r="C576" i="6"/>
  <c r="H575" i="6"/>
  <c r="D575" i="6"/>
  <c r="I574" i="6"/>
  <c r="G574" i="6"/>
  <c r="D574" i="6"/>
  <c r="I573" i="6"/>
  <c r="G573" i="6"/>
  <c r="F573" i="6"/>
  <c r="C573" i="6"/>
  <c r="I571" i="6"/>
  <c r="H571" i="6"/>
  <c r="D571" i="6"/>
  <c r="C571" i="6"/>
  <c r="G571" i="6" s="1"/>
  <c r="H570" i="6"/>
  <c r="G570" i="6"/>
  <c r="D570" i="6"/>
  <c r="I569" i="6"/>
  <c r="H569" i="6"/>
  <c r="D569" i="6"/>
  <c r="C569" i="6"/>
  <c r="I568" i="6"/>
  <c r="F568" i="6"/>
  <c r="D568" i="6"/>
  <c r="H568" i="6" s="1"/>
  <c r="I566" i="6"/>
  <c r="H566" i="6"/>
  <c r="E566" i="6"/>
  <c r="D566" i="6"/>
  <c r="C566" i="6"/>
  <c r="G566" i="6" s="1"/>
  <c r="E565" i="6"/>
  <c r="D565" i="6"/>
  <c r="I564" i="6"/>
  <c r="E564" i="6"/>
  <c r="C564" i="6"/>
  <c r="I563" i="6"/>
  <c r="G563" i="6"/>
  <c r="D563" i="6"/>
  <c r="H563" i="6" s="1"/>
  <c r="I562" i="6"/>
  <c r="G560" i="6"/>
  <c r="D560" i="6"/>
  <c r="H559" i="6"/>
  <c r="G559" i="6"/>
  <c r="I558" i="6"/>
  <c r="H558" i="6"/>
  <c r="G558" i="6"/>
  <c r="D558" i="6"/>
  <c r="I557" i="6"/>
  <c r="F557" i="6"/>
  <c r="C557" i="6"/>
  <c r="G557" i="6" s="1"/>
  <c r="G555" i="6"/>
  <c r="D555" i="6"/>
  <c r="H555" i="6" s="1"/>
  <c r="I554" i="6"/>
  <c r="I553" i="6"/>
  <c r="G553" i="6"/>
  <c r="D553" i="6"/>
  <c r="I552" i="6"/>
  <c r="G552" i="6"/>
  <c r="F552" i="6"/>
  <c r="C552" i="6"/>
  <c r="H549" i="6"/>
  <c r="G549" i="6"/>
  <c r="D549" i="6"/>
  <c r="I548" i="6"/>
  <c r="H548" i="6"/>
  <c r="G548" i="6"/>
  <c r="D548" i="6"/>
  <c r="I547" i="6"/>
  <c r="H547" i="6"/>
  <c r="F547" i="6"/>
  <c r="D547" i="6"/>
  <c r="C547" i="6"/>
  <c r="G547" i="6" s="1"/>
  <c r="E545" i="6"/>
  <c r="G545" i="6" s="1"/>
  <c r="C545" i="6"/>
  <c r="E544" i="6"/>
  <c r="D544" i="6"/>
  <c r="C544" i="6"/>
  <c r="I543" i="6"/>
  <c r="H543" i="6"/>
  <c r="E543" i="6"/>
  <c r="D543" i="6"/>
  <c r="C543" i="6"/>
  <c r="I542" i="6"/>
  <c r="I541" i="6"/>
  <c r="F541" i="6"/>
  <c r="I540" i="6"/>
  <c r="F540" i="6"/>
  <c r="H538" i="6"/>
  <c r="G538" i="6"/>
  <c r="D538" i="6"/>
  <c r="G537" i="6"/>
  <c r="D537" i="6"/>
  <c r="H537" i="6" s="1"/>
  <c r="C537" i="6"/>
  <c r="I535" i="6"/>
  <c r="H535" i="6"/>
  <c r="G535" i="6"/>
  <c r="I534" i="6"/>
  <c r="H534" i="6"/>
  <c r="G534" i="6"/>
  <c r="I533" i="6"/>
  <c r="F533" i="6"/>
  <c r="D533" i="6"/>
  <c r="H533" i="6" s="1"/>
  <c r="C533" i="6"/>
  <c r="G533" i="6" s="1"/>
  <c r="G531" i="6"/>
  <c r="D531" i="6"/>
  <c r="H531" i="6" s="1"/>
  <c r="I530" i="6"/>
  <c r="H530" i="6"/>
  <c r="G530" i="6"/>
  <c r="I529" i="6"/>
  <c r="G529" i="6"/>
  <c r="D529" i="6"/>
  <c r="H529" i="6" s="1"/>
  <c r="I528" i="6"/>
  <c r="G528" i="6"/>
  <c r="D528" i="6"/>
  <c r="H528" i="6" s="1"/>
  <c r="I527" i="6"/>
  <c r="H527" i="6"/>
  <c r="G527" i="6"/>
  <c r="I526" i="6"/>
  <c r="F526" i="6"/>
  <c r="D526" i="6"/>
  <c r="H526" i="6" s="1"/>
  <c r="C526" i="6"/>
  <c r="I525" i="6"/>
  <c r="G525" i="6"/>
  <c r="D525" i="6"/>
  <c r="I524" i="6"/>
  <c r="F524" i="6"/>
  <c r="I522" i="6"/>
  <c r="H522" i="6"/>
  <c r="G522" i="6"/>
  <c r="I521" i="6"/>
  <c r="H521" i="6"/>
  <c r="G521" i="6"/>
  <c r="D521" i="6"/>
  <c r="I520" i="6"/>
  <c r="H520" i="6"/>
  <c r="G520" i="6"/>
  <c r="D520" i="6"/>
  <c r="I519" i="6"/>
  <c r="H519" i="6"/>
  <c r="G519" i="6"/>
  <c r="D519" i="6"/>
  <c r="D518" i="6" s="1"/>
  <c r="I518" i="6"/>
  <c r="H518" i="6"/>
  <c r="H16" i="6" s="1"/>
  <c r="F518" i="6"/>
  <c r="C518" i="6"/>
  <c r="G518" i="6" s="1"/>
  <c r="G16" i="6" s="1"/>
  <c r="I516" i="6"/>
  <c r="H516" i="6"/>
  <c r="G516" i="6"/>
  <c r="I515" i="6"/>
  <c r="H515" i="6"/>
  <c r="D515" i="6"/>
  <c r="C515" i="6"/>
  <c r="G515" i="6" s="1"/>
  <c r="I513" i="6"/>
  <c r="G513" i="6"/>
  <c r="D513" i="6"/>
  <c r="H513" i="6" s="1"/>
  <c r="I512" i="6"/>
  <c r="D512" i="6"/>
  <c r="H512" i="6" s="1"/>
  <c r="C512" i="6"/>
  <c r="G512" i="6" s="1"/>
  <c r="H511" i="6"/>
  <c r="G511" i="6"/>
  <c r="H510" i="6"/>
  <c r="G510" i="6"/>
  <c r="D510" i="6"/>
  <c r="C510" i="6"/>
  <c r="H509" i="6"/>
  <c r="H508" i="6"/>
  <c r="D508" i="6"/>
  <c r="C508" i="6"/>
  <c r="G508" i="6" s="1"/>
  <c r="H507" i="6"/>
  <c r="F507" i="6"/>
  <c r="D507" i="6"/>
  <c r="C507" i="6"/>
  <c r="G507" i="6" s="1"/>
  <c r="H506" i="6"/>
  <c r="G505" i="6"/>
  <c r="D505" i="6"/>
  <c r="H505" i="6" s="1"/>
  <c r="G504" i="6"/>
  <c r="D504" i="6"/>
  <c r="H504" i="6" s="1"/>
  <c r="H503" i="6"/>
  <c r="G503" i="6"/>
  <c r="D503" i="6"/>
  <c r="I502" i="6"/>
  <c r="H502" i="6"/>
  <c r="F502" i="6"/>
  <c r="D502" i="6"/>
  <c r="C502" i="6"/>
  <c r="G502" i="6" s="1"/>
  <c r="H501" i="6"/>
  <c r="G501" i="6"/>
  <c r="H500" i="6"/>
  <c r="F500" i="6"/>
  <c r="D500" i="6"/>
  <c r="C500" i="6"/>
  <c r="G500" i="6" s="1"/>
  <c r="H499" i="6"/>
  <c r="G499" i="6"/>
  <c r="D499" i="6"/>
  <c r="H498" i="6"/>
  <c r="G498" i="6"/>
  <c r="H497" i="6"/>
  <c r="G497" i="6"/>
  <c r="H496" i="6"/>
  <c r="G496" i="6"/>
  <c r="D496" i="6"/>
  <c r="G495" i="6"/>
  <c r="D495" i="6"/>
  <c r="H494" i="6"/>
  <c r="D494" i="6"/>
  <c r="F493" i="6"/>
  <c r="C493" i="6"/>
  <c r="I492" i="6"/>
  <c r="F492" i="6"/>
  <c r="H491" i="6"/>
  <c r="G491" i="6"/>
  <c r="H490" i="6"/>
  <c r="D490" i="6"/>
  <c r="C490" i="6"/>
  <c r="G490" i="6" s="1"/>
  <c r="H489" i="6"/>
  <c r="G489" i="6"/>
  <c r="G488" i="6"/>
  <c r="D488" i="6"/>
  <c r="H488" i="6" s="1"/>
  <c r="C488" i="6"/>
  <c r="G487" i="6"/>
  <c r="D487" i="6"/>
  <c r="H487" i="6" s="1"/>
  <c r="G486" i="6"/>
  <c r="D486" i="6"/>
  <c r="H486" i="6" s="1"/>
  <c r="H485" i="6"/>
  <c r="G485" i="6"/>
  <c r="D485" i="6"/>
  <c r="H484" i="6"/>
  <c r="G484" i="6"/>
  <c r="D484" i="6"/>
  <c r="G483" i="6"/>
  <c r="D483" i="6"/>
  <c r="H483" i="6" s="1"/>
  <c r="G482" i="6"/>
  <c r="D482" i="6"/>
  <c r="H482" i="6" s="1"/>
  <c r="H481" i="6"/>
  <c r="G481" i="6"/>
  <c r="D481" i="6"/>
  <c r="H480" i="6"/>
  <c r="G480" i="6"/>
  <c r="G479" i="6"/>
  <c r="D479" i="6"/>
  <c r="H479" i="6" s="1"/>
  <c r="F478" i="6"/>
  <c r="C478" i="6"/>
  <c r="G478" i="6" s="1"/>
  <c r="H477" i="6"/>
  <c r="D477" i="6"/>
  <c r="D476" i="6"/>
  <c r="H476" i="6" s="1"/>
  <c r="G475" i="6"/>
  <c r="D475" i="6"/>
  <c r="G474" i="6"/>
  <c r="D474" i="6"/>
  <c r="G473" i="6"/>
  <c r="D473" i="6"/>
  <c r="H472" i="6"/>
  <c r="G472" i="6"/>
  <c r="D472" i="6"/>
  <c r="I471" i="6"/>
  <c r="F471" i="6"/>
  <c r="C471" i="6"/>
  <c r="H470" i="6"/>
  <c r="H469" i="6"/>
  <c r="H468" i="6"/>
  <c r="G468" i="6"/>
  <c r="H467" i="6"/>
  <c r="G467" i="6"/>
  <c r="H466" i="6"/>
  <c r="G466" i="6"/>
  <c r="H465" i="6"/>
  <c r="G465" i="6"/>
  <c r="I464" i="6"/>
  <c r="H464" i="6"/>
  <c r="F464" i="6"/>
  <c r="D464" i="6"/>
  <c r="C464" i="6"/>
  <c r="G464" i="6" s="1"/>
  <c r="H463" i="6"/>
  <c r="H462" i="6"/>
  <c r="G462" i="6"/>
  <c r="H461" i="6"/>
  <c r="G461" i="6"/>
  <c r="G460" i="6"/>
  <c r="D460" i="6"/>
  <c r="H460" i="6" s="1"/>
  <c r="F459" i="6"/>
  <c r="D459" i="6"/>
  <c r="H459" i="6" s="1"/>
  <c r="C459" i="6"/>
  <c r="G459" i="6" s="1"/>
  <c r="I458" i="6"/>
  <c r="F458" i="6"/>
  <c r="H457" i="6"/>
  <c r="G457" i="6"/>
  <c r="H456" i="6"/>
  <c r="G456" i="6"/>
  <c r="H455" i="6"/>
  <c r="F455" i="6"/>
  <c r="D455" i="6"/>
  <c r="C455" i="6"/>
  <c r="G455" i="6" s="1"/>
  <c r="H454" i="6"/>
  <c r="D453" i="6"/>
  <c r="C453" i="6"/>
  <c r="F452" i="6"/>
  <c r="H451" i="6"/>
  <c r="G451" i="6"/>
  <c r="H450" i="6"/>
  <c r="G450" i="6"/>
  <c r="G449" i="6"/>
  <c r="D449" i="6"/>
  <c r="H449" i="6" s="1"/>
  <c r="G448" i="6"/>
  <c r="D448" i="6"/>
  <c r="H447" i="6"/>
  <c r="G447" i="6"/>
  <c r="D447" i="6"/>
  <c r="G446" i="6"/>
  <c r="F446" i="6"/>
  <c r="C446" i="6"/>
  <c r="C445" i="6"/>
  <c r="G445" i="6" s="1"/>
  <c r="H444" i="6"/>
  <c r="G444" i="6"/>
  <c r="H443" i="6"/>
  <c r="G443" i="6"/>
  <c r="H442" i="6"/>
  <c r="G442" i="6"/>
  <c r="D442" i="6"/>
  <c r="H441" i="6"/>
  <c r="F441" i="6"/>
  <c r="D441" i="6"/>
  <c r="C441" i="6"/>
  <c r="G441" i="6" s="1"/>
  <c r="H440" i="6"/>
  <c r="G440" i="6"/>
  <c r="D440" i="6"/>
  <c r="H439" i="6"/>
  <c r="F439" i="6"/>
  <c r="D439" i="6"/>
  <c r="C439" i="6"/>
  <c r="G439" i="6" s="1"/>
  <c r="F438" i="6"/>
  <c r="D438" i="6"/>
  <c r="H438" i="6" s="1"/>
  <c r="H437" i="6"/>
  <c r="G437" i="6"/>
  <c r="H436" i="6"/>
  <c r="G436" i="6"/>
  <c r="D436" i="6"/>
  <c r="C436" i="6"/>
  <c r="H435" i="6"/>
  <c r="G435" i="6"/>
  <c r="D435" i="6"/>
  <c r="H434" i="6"/>
  <c r="G434" i="6"/>
  <c r="H433" i="6"/>
  <c r="D433" i="6"/>
  <c r="C433" i="6"/>
  <c r="I432" i="6"/>
  <c r="F432" i="6"/>
  <c r="D432" i="6"/>
  <c r="H432" i="6" s="1"/>
  <c r="G431" i="6"/>
  <c r="D431" i="6"/>
  <c r="H431" i="6" s="1"/>
  <c r="F430" i="6"/>
  <c r="C430" i="6"/>
  <c r="G430" i="6" s="1"/>
  <c r="I429" i="6"/>
  <c r="F429" i="6"/>
  <c r="H428" i="6"/>
  <c r="H427" i="6"/>
  <c r="F426" i="6"/>
  <c r="D426" i="6"/>
  <c r="H426" i="6" s="1"/>
  <c r="C426" i="6"/>
  <c r="G425" i="6"/>
  <c r="D425" i="6"/>
  <c r="H425" i="6" s="1"/>
  <c r="G424" i="6"/>
  <c r="D424" i="6"/>
  <c r="H423" i="6"/>
  <c r="G423" i="6"/>
  <c r="D423" i="6"/>
  <c r="G422" i="6"/>
  <c r="D422" i="6"/>
  <c r="H421" i="6"/>
  <c r="G421" i="6"/>
  <c r="F420" i="6"/>
  <c r="C420" i="6"/>
  <c r="G420" i="6" s="1"/>
  <c r="G419" i="6"/>
  <c r="D419" i="6"/>
  <c r="D418" i="6"/>
  <c r="H418" i="6" s="1"/>
  <c r="H417" i="6"/>
  <c r="G417" i="6"/>
  <c r="G416" i="6"/>
  <c r="D416" i="6"/>
  <c r="H416" i="6" s="1"/>
  <c r="F415" i="6"/>
  <c r="D415" i="6"/>
  <c r="C415" i="6"/>
  <c r="G415" i="6" s="1"/>
  <c r="F414" i="6"/>
  <c r="H413" i="6"/>
  <c r="G413" i="6"/>
  <c r="D413" i="6"/>
  <c r="H412" i="6"/>
  <c r="G412" i="6"/>
  <c r="I411" i="6"/>
  <c r="F411" i="6"/>
  <c r="D411" i="6"/>
  <c r="H411" i="6" s="1"/>
  <c r="C411" i="6"/>
  <c r="G411" i="6" s="1"/>
  <c r="I410" i="6"/>
  <c r="H410" i="6"/>
  <c r="G410" i="6"/>
  <c r="G409" i="6"/>
  <c r="D409" i="6"/>
  <c r="H409" i="6" s="1"/>
  <c r="H408" i="6"/>
  <c r="G408" i="6"/>
  <c r="D408" i="6"/>
  <c r="H407" i="6"/>
  <c r="G407" i="6"/>
  <c r="D407" i="6"/>
  <c r="C407" i="6"/>
  <c r="H406" i="6"/>
  <c r="G406" i="6"/>
  <c r="D406" i="6"/>
  <c r="G405" i="6"/>
  <c r="D405" i="6"/>
  <c r="H405" i="6" s="1"/>
  <c r="H404" i="6"/>
  <c r="G404" i="6"/>
  <c r="H403" i="6"/>
  <c r="G403" i="6"/>
  <c r="D403" i="6"/>
  <c r="G402" i="6"/>
  <c r="D402" i="6"/>
  <c r="H402" i="6" s="1"/>
  <c r="D401" i="6"/>
  <c r="H401" i="6" s="1"/>
  <c r="C401" i="6"/>
  <c r="G401" i="6" s="1"/>
  <c r="I400" i="6"/>
  <c r="H400" i="6"/>
  <c r="G400" i="6"/>
  <c r="H399" i="6"/>
  <c r="G399" i="6"/>
  <c r="H398" i="6"/>
  <c r="G398" i="6"/>
  <c r="H397" i="6"/>
  <c r="G397" i="6"/>
  <c r="H396" i="6"/>
  <c r="G396" i="6"/>
  <c r="I395" i="6"/>
  <c r="G395" i="6"/>
  <c r="D395" i="6"/>
  <c r="H395" i="6" s="1"/>
  <c r="I394" i="6"/>
  <c r="G394" i="6"/>
  <c r="D394" i="6"/>
  <c r="H394" i="6" s="1"/>
  <c r="I393" i="6"/>
  <c r="G393" i="6"/>
  <c r="D393" i="6"/>
  <c r="H393" i="6" s="1"/>
  <c r="I392" i="6"/>
  <c r="G392" i="6"/>
  <c r="D392" i="6"/>
  <c r="H392" i="6" s="1"/>
  <c r="H391" i="6"/>
  <c r="G391" i="6"/>
  <c r="H390" i="6"/>
  <c r="G390" i="6"/>
  <c r="H389" i="6"/>
  <c r="G389" i="6"/>
  <c r="H388" i="6"/>
  <c r="G388" i="6"/>
  <c r="I387" i="6"/>
  <c r="G387" i="6"/>
  <c r="D387" i="6"/>
  <c r="H387" i="6" s="1"/>
  <c r="H386" i="6"/>
  <c r="G386" i="6"/>
  <c r="G385" i="6"/>
  <c r="D385" i="6"/>
  <c r="H385" i="6" s="1"/>
  <c r="G384" i="6"/>
  <c r="D384" i="6"/>
  <c r="H384" i="6" s="1"/>
  <c r="H383" i="6"/>
  <c r="G383" i="6"/>
  <c r="G382" i="6"/>
  <c r="D382" i="6"/>
  <c r="H382" i="6" s="1"/>
  <c r="G381" i="6"/>
  <c r="D381" i="6"/>
  <c r="H381" i="6" s="1"/>
  <c r="H380" i="6"/>
  <c r="G380" i="6"/>
  <c r="D380" i="6"/>
  <c r="H379" i="6"/>
  <c r="G379" i="6"/>
  <c r="D379" i="6"/>
  <c r="I378" i="6"/>
  <c r="F378" i="6"/>
  <c r="I377" i="6"/>
  <c r="H377" i="6"/>
  <c r="G377" i="6"/>
  <c r="H376" i="6"/>
  <c r="G376" i="6"/>
  <c r="I375" i="6"/>
  <c r="G375" i="6"/>
  <c r="D375" i="6"/>
  <c r="H375" i="6" s="1"/>
  <c r="G374" i="6"/>
  <c r="D374" i="6"/>
  <c r="H374" i="6" s="1"/>
  <c r="H373" i="6"/>
  <c r="D373" i="6"/>
  <c r="I372" i="6"/>
  <c r="G372" i="6"/>
  <c r="D372" i="6"/>
  <c r="G371" i="6"/>
  <c r="D371" i="6"/>
  <c r="H370" i="6"/>
  <c r="G370" i="6"/>
  <c r="I369" i="6"/>
  <c r="G369" i="6"/>
  <c r="D369" i="6"/>
  <c r="H369" i="6" s="1"/>
  <c r="H368" i="6"/>
  <c r="H367" i="6"/>
  <c r="G367" i="6"/>
  <c r="H366" i="6"/>
  <c r="G366" i="6"/>
  <c r="I365" i="6"/>
  <c r="H365" i="6"/>
  <c r="G365" i="6"/>
  <c r="I364" i="6"/>
  <c r="G364" i="6"/>
  <c r="D364" i="6"/>
  <c r="I363" i="6"/>
  <c r="G363" i="6"/>
  <c r="F363" i="6"/>
  <c r="C363" i="6"/>
  <c r="I362" i="6"/>
  <c r="F362" i="6"/>
  <c r="H361" i="6"/>
  <c r="G361" i="6"/>
  <c r="I360" i="6"/>
  <c r="H360" i="6"/>
  <c r="G360" i="6"/>
  <c r="I359" i="6"/>
  <c r="H359" i="6"/>
  <c r="G359" i="6"/>
  <c r="D359" i="6"/>
  <c r="G358" i="6"/>
  <c r="D358" i="6"/>
  <c r="H358" i="6" s="1"/>
  <c r="G357" i="6"/>
  <c r="D357" i="6"/>
  <c r="H357" i="6" s="1"/>
  <c r="G356" i="6"/>
  <c r="D356" i="6"/>
  <c r="G355" i="6"/>
  <c r="D355" i="6"/>
  <c r="I354" i="6"/>
  <c r="F354" i="6"/>
  <c r="C354" i="6"/>
  <c r="G354" i="6" s="1"/>
  <c r="G353" i="6"/>
  <c r="D353" i="6"/>
  <c r="D351" i="6" s="1"/>
  <c r="H352" i="6"/>
  <c r="G352" i="6"/>
  <c r="I351" i="6"/>
  <c r="H351" i="6"/>
  <c r="F351" i="6"/>
  <c r="C351" i="6"/>
  <c r="C350" i="6" s="1"/>
  <c r="G350" i="6" s="1"/>
  <c r="I350" i="6"/>
  <c r="F350" i="6"/>
  <c r="I349" i="6"/>
  <c r="F349" i="6"/>
  <c r="H348" i="6"/>
  <c r="D348" i="6"/>
  <c r="I347" i="6"/>
  <c r="H347" i="6"/>
  <c r="G347" i="6"/>
  <c r="D347" i="6"/>
  <c r="D346" i="6" s="1"/>
  <c r="I346" i="6"/>
  <c r="H346" i="6"/>
  <c r="G346" i="6"/>
  <c r="F346" i="6"/>
  <c r="C346" i="6"/>
  <c r="H345" i="6"/>
  <c r="G345" i="6"/>
  <c r="H344" i="6"/>
  <c r="G344" i="6"/>
  <c r="H343" i="6"/>
  <c r="F343" i="6"/>
  <c r="D343" i="6"/>
  <c r="C343" i="6"/>
  <c r="G343" i="6" s="1"/>
  <c r="H342" i="6"/>
  <c r="G342" i="6"/>
  <c r="H341" i="6"/>
  <c r="G341" i="6"/>
  <c r="D341" i="6"/>
  <c r="C341" i="6"/>
  <c r="H340" i="6"/>
  <c r="G340" i="6"/>
  <c r="G339" i="6"/>
  <c r="D339" i="6"/>
  <c r="I338" i="6"/>
  <c r="G338" i="6"/>
  <c r="D338" i="6"/>
  <c r="H338" i="6" s="1"/>
  <c r="H337" i="6"/>
  <c r="G337" i="6"/>
  <c r="D337" i="6"/>
  <c r="H336" i="6"/>
  <c r="G336" i="6"/>
  <c r="F336" i="6"/>
  <c r="D336" i="6"/>
  <c r="C336" i="6"/>
  <c r="I335" i="6"/>
  <c r="F335" i="6"/>
  <c r="C335" i="6"/>
  <c r="G335" i="6" s="1"/>
  <c r="G334" i="6"/>
  <c r="D334" i="6"/>
  <c r="H334" i="6" s="1"/>
  <c r="H333" i="6"/>
  <c r="G333" i="6"/>
  <c r="H332" i="6"/>
  <c r="G332" i="6"/>
  <c r="D332" i="6"/>
  <c r="G331" i="6"/>
  <c r="D331" i="6"/>
  <c r="H330" i="6"/>
  <c r="G330" i="6"/>
  <c r="I329" i="6"/>
  <c r="H329" i="6"/>
  <c r="G329" i="6"/>
  <c r="D329" i="6"/>
  <c r="H328" i="6"/>
  <c r="H327" i="6"/>
  <c r="I326" i="6"/>
  <c r="G326" i="6"/>
  <c r="F326" i="6"/>
  <c r="C326" i="6"/>
  <c r="I325" i="6"/>
  <c r="H325" i="6"/>
  <c r="G325" i="6"/>
  <c r="I324" i="6"/>
  <c r="H324" i="6"/>
  <c r="G324" i="6"/>
  <c r="D324" i="6"/>
  <c r="I323" i="6"/>
  <c r="H323" i="6"/>
  <c r="G323" i="6"/>
  <c r="F323" i="6"/>
  <c r="H322" i="6"/>
  <c r="G322" i="6"/>
  <c r="I321" i="6"/>
  <c r="G321" i="6"/>
  <c r="D321" i="6"/>
  <c r="I320" i="6"/>
  <c r="F320" i="6"/>
  <c r="C320" i="6"/>
  <c r="G320" i="6" s="1"/>
  <c r="G319" i="6"/>
  <c r="D319" i="6"/>
  <c r="H318" i="6"/>
  <c r="G318" i="6"/>
  <c r="G317" i="6"/>
  <c r="D317" i="6"/>
  <c r="H317" i="6" s="1"/>
  <c r="I316" i="6"/>
  <c r="H316" i="6"/>
  <c r="G316" i="6"/>
  <c r="I315" i="6"/>
  <c r="H315" i="6"/>
  <c r="G315" i="6"/>
  <c r="I314" i="6"/>
  <c r="H314" i="6"/>
  <c r="G314" i="6"/>
  <c r="H313" i="6"/>
  <c r="G313" i="6"/>
  <c r="H312" i="6"/>
  <c r="G312" i="6"/>
  <c r="D312" i="6"/>
  <c r="I311" i="6"/>
  <c r="F311" i="6"/>
  <c r="D311" i="6"/>
  <c r="H311" i="6" s="1"/>
  <c r="C311" i="6"/>
  <c r="G311" i="6" s="1"/>
  <c r="H310" i="6"/>
  <c r="I309" i="6"/>
  <c r="H309" i="6"/>
  <c r="G309" i="6"/>
  <c r="D309" i="6"/>
  <c r="H308" i="6"/>
  <c r="G308" i="6"/>
  <c r="I307" i="6"/>
  <c r="H307" i="6"/>
  <c r="G307" i="6"/>
  <c r="G306" i="6"/>
  <c r="D306" i="6"/>
  <c r="I305" i="6"/>
  <c r="G305" i="6"/>
  <c r="D305" i="6"/>
  <c r="I304" i="6"/>
  <c r="G304" i="6"/>
  <c r="F304" i="6"/>
  <c r="C304" i="6"/>
  <c r="H303" i="6"/>
  <c r="H302" i="6"/>
  <c r="D302" i="6"/>
  <c r="D301" i="6"/>
  <c r="C301" i="6"/>
  <c r="H300" i="6"/>
  <c r="G300" i="6"/>
  <c r="I299" i="6"/>
  <c r="H299" i="6"/>
  <c r="G299" i="6"/>
  <c r="I298" i="6"/>
  <c r="H298" i="6"/>
  <c r="G298" i="6"/>
  <c r="I297" i="6"/>
  <c r="G297" i="6"/>
  <c r="F297" i="6"/>
  <c r="D297" i="6"/>
  <c r="H297" i="6" s="1"/>
  <c r="C297" i="6"/>
  <c r="I296" i="6"/>
  <c r="F296" i="6"/>
  <c r="I295" i="6"/>
  <c r="H295" i="6"/>
  <c r="G295" i="6"/>
  <c r="H294" i="6"/>
  <c r="G294" i="6"/>
  <c r="D294" i="6"/>
  <c r="I293" i="6"/>
  <c r="H293" i="6"/>
  <c r="G293" i="6"/>
  <c r="D293" i="6"/>
  <c r="I292" i="6"/>
  <c r="H292" i="6"/>
  <c r="G292" i="6"/>
  <c r="G291" i="6"/>
  <c r="D291" i="6"/>
  <c r="H291" i="6" s="1"/>
  <c r="H290" i="6"/>
  <c r="G290" i="6"/>
  <c r="H289" i="6"/>
  <c r="G289" i="6"/>
  <c r="I288" i="6"/>
  <c r="H288" i="6"/>
  <c r="G288" i="6"/>
  <c r="I287" i="6"/>
  <c r="C287" i="6"/>
  <c r="I286" i="6"/>
  <c r="F286" i="6"/>
  <c r="H285" i="6"/>
  <c r="G285" i="6"/>
  <c r="D285" i="6"/>
  <c r="G284" i="6"/>
  <c r="D284" i="6"/>
  <c r="H284" i="6" s="1"/>
  <c r="H283" i="6"/>
  <c r="D282" i="6"/>
  <c r="H282" i="6" s="1"/>
  <c r="C282" i="6"/>
  <c r="C281" i="6" s="1"/>
  <c r="G281" i="6" s="1"/>
  <c r="F281" i="6"/>
  <c r="G280" i="6"/>
  <c r="D280" i="6"/>
  <c r="H280" i="6" s="1"/>
  <c r="G279" i="6"/>
  <c r="D279" i="6"/>
  <c r="H279" i="6" s="1"/>
  <c r="H278" i="6"/>
  <c r="G278" i="6"/>
  <c r="F278" i="6"/>
  <c r="D278" i="6"/>
  <c r="I277" i="6"/>
  <c r="H277" i="6"/>
  <c r="G277" i="6"/>
  <c r="H276" i="6"/>
  <c r="G276" i="6"/>
  <c r="G275" i="6"/>
  <c r="D275" i="6"/>
  <c r="I274" i="6"/>
  <c r="F274" i="6"/>
  <c r="D274" i="6"/>
  <c r="H274" i="6" s="1"/>
  <c r="C274" i="6"/>
  <c r="G274" i="6" s="1"/>
  <c r="I273" i="6"/>
  <c r="G273" i="6"/>
  <c r="F273" i="6"/>
  <c r="C273" i="6"/>
  <c r="H272" i="6"/>
  <c r="G272" i="6"/>
  <c r="G271" i="6"/>
  <c r="D271" i="6"/>
  <c r="H271" i="6" s="1"/>
  <c r="H270" i="6"/>
  <c r="G270" i="6"/>
  <c r="F270" i="6"/>
  <c r="D270" i="6"/>
  <c r="H269" i="6"/>
  <c r="G269" i="6"/>
  <c r="D269" i="6"/>
  <c r="I268" i="6"/>
  <c r="H268" i="6"/>
  <c r="G268" i="6"/>
  <c r="F268" i="6"/>
  <c r="D268" i="6"/>
  <c r="I267" i="6"/>
  <c r="G267" i="6"/>
  <c r="D267" i="6"/>
  <c r="H267" i="6" s="1"/>
  <c r="I266" i="6"/>
  <c r="G266" i="6"/>
  <c r="F266" i="6"/>
  <c r="D266" i="6"/>
  <c r="H266" i="6" s="1"/>
  <c r="G265" i="6"/>
  <c r="D265" i="6"/>
  <c r="H265" i="6" s="1"/>
  <c r="G264" i="6"/>
  <c r="D264" i="6"/>
  <c r="G263" i="6"/>
  <c r="D263" i="6"/>
  <c r="D262" i="6" s="1"/>
  <c r="H262" i="6" s="1"/>
  <c r="C262" i="6"/>
  <c r="G262" i="6" s="1"/>
  <c r="I261" i="6"/>
  <c r="F261" i="6"/>
  <c r="C261" i="6"/>
  <c r="G261" i="6" s="1"/>
  <c r="I260" i="6"/>
  <c r="F260" i="6"/>
  <c r="H259" i="6"/>
  <c r="G259" i="6"/>
  <c r="D259" i="6"/>
  <c r="H258" i="6"/>
  <c r="G258" i="6"/>
  <c r="F257" i="6"/>
  <c r="D257" i="6"/>
  <c r="H257" i="6" s="1"/>
  <c r="C257" i="6"/>
  <c r="G257" i="6" s="1"/>
  <c r="H256" i="6"/>
  <c r="G256" i="6"/>
  <c r="H255" i="6"/>
  <c r="G255" i="6"/>
  <c r="D255" i="6"/>
  <c r="I254" i="6"/>
  <c r="H254" i="6"/>
  <c r="G254" i="6"/>
  <c r="D254" i="6"/>
  <c r="I253" i="6"/>
  <c r="H253" i="6"/>
  <c r="G253" i="6"/>
  <c r="D253" i="6"/>
  <c r="I252" i="6"/>
  <c r="H252" i="6"/>
  <c r="F252" i="6"/>
  <c r="D252" i="6"/>
  <c r="C252" i="6"/>
  <c r="G252" i="6" s="1"/>
  <c r="H251" i="6"/>
  <c r="G250" i="6"/>
  <c r="D250" i="6"/>
  <c r="H250" i="6" s="1"/>
  <c r="H249" i="6"/>
  <c r="G249" i="6"/>
  <c r="D249" i="6"/>
  <c r="G248" i="6"/>
  <c r="D248" i="6"/>
  <c r="G247" i="6"/>
  <c r="F247" i="6"/>
  <c r="C247" i="6"/>
  <c r="I246" i="6"/>
  <c r="G246" i="6"/>
  <c r="F246" i="6"/>
  <c r="C246" i="6"/>
  <c r="I245" i="6"/>
  <c r="I13" i="6" s="1"/>
  <c r="F245" i="6"/>
  <c r="I243" i="6"/>
  <c r="F243" i="6"/>
  <c r="I241" i="6"/>
  <c r="I240" i="6"/>
  <c r="D240" i="6"/>
  <c r="C240" i="6"/>
  <c r="H239" i="6"/>
  <c r="G239" i="6"/>
  <c r="G238" i="6"/>
  <c r="D238" i="6"/>
  <c r="C238" i="6"/>
  <c r="I237" i="6"/>
  <c r="H237" i="6"/>
  <c r="G237" i="6"/>
  <c r="D237" i="6"/>
  <c r="C237" i="6"/>
  <c r="F236" i="6"/>
  <c r="C236" i="6"/>
  <c r="I234" i="6"/>
  <c r="F234" i="6"/>
  <c r="G232" i="6"/>
  <c r="D232" i="6"/>
  <c r="I231" i="6"/>
  <c r="G231" i="6"/>
  <c r="D231" i="6"/>
  <c r="H231" i="6" s="1"/>
  <c r="H230" i="6"/>
  <c r="I229" i="6"/>
  <c r="H229" i="6"/>
  <c r="I228" i="6"/>
  <c r="G228" i="6"/>
  <c r="F228" i="6"/>
  <c r="C228" i="6"/>
  <c r="G227" i="6"/>
  <c r="D227" i="6"/>
  <c r="H226" i="6"/>
  <c r="D226" i="6"/>
  <c r="G225" i="6"/>
  <c r="D225" i="6"/>
  <c r="H225" i="6" s="1"/>
  <c r="G224" i="6"/>
  <c r="D224" i="6"/>
  <c r="H224" i="6" s="1"/>
  <c r="H223" i="6"/>
  <c r="G222" i="6"/>
  <c r="D222" i="6"/>
  <c r="D221" i="6" s="1"/>
  <c r="I221" i="6"/>
  <c r="H221" i="6"/>
  <c r="F221" i="6"/>
  <c r="C221" i="6"/>
  <c r="G221" i="6" s="1"/>
  <c r="G220" i="6"/>
  <c r="D220" i="6"/>
  <c r="H220" i="6" s="1"/>
  <c r="H219" i="6"/>
  <c r="D219" i="6"/>
  <c r="C219" i="6"/>
  <c r="G219" i="6" s="1"/>
  <c r="I218" i="6"/>
  <c r="G218" i="6"/>
  <c r="E218" i="6"/>
  <c r="D218" i="6"/>
  <c r="I217" i="6"/>
  <c r="H217" i="6"/>
  <c r="I216" i="6"/>
  <c r="H216" i="6"/>
  <c r="D216" i="6"/>
  <c r="I215" i="6"/>
  <c r="D215" i="6"/>
  <c r="H215" i="6" s="1"/>
  <c r="I214" i="6"/>
  <c r="H214" i="6"/>
  <c r="I213" i="6"/>
  <c r="H213" i="6"/>
  <c r="I212" i="6"/>
  <c r="H212" i="6"/>
  <c r="I211" i="6"/>
  <c r="H211" i="6"/>
  <c r="I210" i="6"/>
  <c r="H210" i="6"/>
  <c r="I209" i="6"/>
  <c r="H209" i="6"/>
  <c r="D208" i="6"/>
  <c r="H208" i="6" s="1"/>
  <c r="D207" i="6"/>
  <c r="D206" i="6"/>
  <c r="H206" i="6" s="1"/>
  <c r="I205" i="6"/>
  <c r="F205" i="6"/>
  <c r="C205" i="6"/>
  <c r="H204" i="6"/>
  <c r="G204" i="6"/>
  <c r="I203" i="6"/>
  <c r="H203" i="6"/>
  <c r="G203" i="6"/>
  <c r="D203" i="6"/>
  <c r="I202" i="6"/>
  <c r="H202" i="6"/>
  <c r="G202" i="6"/>
  <c r="I201" i="6"/>
  <c r="H201" i="6"/>
  <c r="G201" i="6"/>
  <c r="I200" i="6"/>
  <c r="G200" i="6"/>
  <c r="D200" i="6"/>
  <c r="H200" i="6" s="1"/>
  <c r="I199" i="6"/>
  <c r="G199" i="6"/>
  <c r="D199" i="6"/>
  <c r="H199" i="6" s="1"/>
  <c r="I198" i="6"/>
  <c r="G198" i="6"/>
  <c r="D198" i="6"/>
  <c r="H198" i="6" s="1"/>
  <c r="I197" i="6"/>
  <c r="G197" i="6"/>
  <c r="F197" i="6"/>
  <c r="D197" i="6"/>
  <c r="H197" i="6" s="1"/>
  <c r="C197" i="6"/>
  <c r="G196" i="6"/>
  <c r="D196" i="6"/>
  <c r="H196" i="6" s="1"/>
  <c r="H195" i="6"/>
  <c r="H194" i="6"/>
  <c r="D194" i="6"/>
  <c r="H193" i="6"/>
  <c r="D193" i="6"/>
  <c r="H192" i="6"/>
  <c r="D192" i="6"/>
  <c r="H191" i="6"/>
  <c r="D191" i="6"/>
  <c r="I190" i="6"/>
  <c r="H190" i="6"/>
  <c r="G190" i="6"/>
  <c r="D190" i="6"/>
  <c r="H189" i="6"/>
  <c r="D188" i="6"/>
  <c r="H188" i="6" s="1"/>
  <c r="D187" i="6"/>
  <c r="H187" i="6" s="1"/>
  <c r="D186" i="6"/>
  <c r="H186" i="6" s="1"/>
  <c r="H185" i="6"/>
  <c r="I184" i="6"/>
  <c r="H184" i="6"/>
  <c r="I183" i="6"/>
  <c r="H183" i="6"/>
  <c r="H182" i="6"/>
  <c r="D182" i="6"/>
  <c r="I181" i="6"/>
  <c r="G181" i="6"/>
  <c r="F181" i="6"/>
  <c r="C181" i="6"/>
  <c r="I180" i="6"/>
  <c r="H180" i="6"/>
  <c r="G180" i="6"/>
  <c r="D180" i="6"/>
  <c r="H179" i="6"/>
  <c r="H178" i="6"/>
  <c r="I177" i="6"/>
  <c r="F177" i="6"/>
  <c r="D177" i="6"/>
  <c r="H177" i="6" s="1"/>
  <c r="C177" i="6"/>
  <c r="C176" i="6" s="1"/>
  <c r="I176" i="6"/>
  <c r="F176" i="6"/>
  <c r="G174" i="6"/>
  <c r="D174" i="6"/>
  <c r="G173" i="6"/>
  <c r="D173" i="6"/>
  <c r="G172" i="6"/>
  <c r="D172" i="6"/>
  <c r="C172" i="6"/>
  <c r="H171" i="6"/>
  <c r="D171" i="6"/>
  <c r="H170" i="6"/>
  <c r="I169" i="6"/>
  <c r="H169" i="6"/>
  <c r="D169" i="6"/>
  <c r="C169" i="6"/>
  <c r="H168" i="6"/>
  <c r="G167" i="6"/>
  <c r="D167" i="6"/>
  <c r="G166" i="6"/>
  <c r="D166" i="6"/>
  <c r="G165" i="6"/>
  <c r="D165" i="6"/>
  <c r="D164" i="6" s="1"/>
  <c r="C164" i="6"/>
  <c r="G164" i="6" s="1"/>
  <c r="H163" i="6"/>
  <c r="G163" i="6"/>
  <c r="I162" i="6"/>
  <c r="H162" i="6"/>
  <c r="G162" i="6"/>
  <c r="I161" i="6"/>
  <c r="F161" i="6"/>
  <c r="E159" i="6"/>
  <c r="I158" i="6"/>
  <c r="H157" i="6"/>
  <c r="G157" i="6"/>
  <c r="G156" i="6"/>
  <c r="D156" i="6"/>
  <c r="G155" i="6"/>
  <c r="D155" i="6"/>
  <c r="I154" i="6"/>
  <c r="G153" i="6"/>
  <c r="D153" i="6"/>
  <c r="I152" i="6"/>
  <c r="H152" i="6"/>
  <c r="G152" i="6"/>
  <c r="H151" i="6"/>
  <c r="I150" i="6"/>
  <c r="H150" i="6"/>
  <c r="G150" i="6"/>
  <c r="H149" i="6"/>
  <c r="G149" i="6"/>
  <c r="I148" i="6"/>
  <c r="H148" i="6"/>
  <c r="G148" i="6"/>
  <c r="I147" i="6"/>
  <c r="H147" i="6"/>
  <c r="G147" i="6"/>
  <c r="D147" i="6"/>
  <c r="D145" i="6" s="1"/>
  <c r="H145" i="6" s="1"/>
  <c r="H146" i="6"/>
  <c r="G146" i="6"/>
  <c r="I145" i="6"/>
  <c r="C145" i="6"/>
  <c r="G145" i="6" s="1"/>
  <c r="I144" i="6"/>
  <c r="I143" i="6"/>
  <c r="D143" i="6"/>
  <c r="H143" i="6" s="1"/>
  <c r="I142" i="6"/>
  <c r="H142" i="6"/>
  <c r="G142" i="6"/>
  <c r="I141" i="6"/>
  <c r="H141" i="6"/>
  <c r="G141" i="6"/>
  <c r="I140" i="6"/>
  <c r="H140" i="6"/>
  <c r="G140" i="6"/>
  <c r="I139" i="6"/>
  <c r="I138" i="6"/>
  <c r="H138" i="6"/>
  <c r="G138" i="6"/>
  <c r="I137" i="6"/>
  <c r="H137" i="6"/>
  <c r="G137" i="6"/>
  <c r="H136" i="6"/>
  <c r="I135" i="6"/>
  <c r="H135" i="6"/>
  <c r="G135" i="6"/>
  <c r="H134" i="6"/>
  <c r="G134" i="6"/>
  <c r="I133" i="6"/>
  <c r="H133" i="6"/>
  <c r="G133" i="6"/>
  <c r="I131" i="6"/>
  <c r="G131" i="6"/>
  <c r="D131" i="6"/>
  <c r="H131" i="6" s="1"/>
  <c r="I130" i="6"/>
  <c r="H130" i="6"/>
  <c r="G130" i="6"/>
  <c r="I129" i="6"/>
  <c r="H129" i="6"/>
  <c r="G129" i="6"/>
  <c r="I128" i="6"/>
  <c r="H127" i="6"/>
  <c r="I126" i="6"/>
  <c r="G126" i="6"/>
  <c r="F126" i="6"/>
  <c r="D126" i="6"/>
  <c r="H126" i="6" s="1"/>
  <c r="C126" i="6"/>
  <c r="I125" i="6"/>
  <c r="H125" i="6"/>
  <c r="G125" i="6"/>
  <c r="D125" i="6"/>
  <c r="I124" i="6"/>
  <c r="H124" i="6"/>
  <c r="G124" i="6"/>
  <c r="D124" i="6"/>
  <c r="I123" i="6"/>
  <c r="H122" i="6"/>
  <c r="H121" i="6"/>
  <c r="H120" i="6"/>
  <c r="H119" i="6"/>
  <c r="D119" i="6"/>
  <c r="H118" i="6"/>
  <c r="E118" i="6"/>
  <c r="D118" i="6"/>
  <c r="E117" i="6"/>
  <c r="I117" i="6" s="1"/>
  <c r="E116" i="6"/>
  <c r="H116" i="6" s="1"/>
  <c r="D116" i="6"/>
  <c r="H115" i="6"/>
  <c r="I114" i="6"/>
  <c r="G114" i="6"/>
  <c r="D114" i="6"/>
  <c r="I113" i="6"/>
  <c r="H113" i="6"/>
  <c r="I112" i="6"/>
  <c r="H112" i="6"/>
  <c r="I111" i="6"/>
  <c r="H111" i="6"/>
  <c r="I110" i="6"/>
  <c r="H110" i="6"/>
  <c r="D110" i="6"/>
  <c r="I109" i="6"/>
  <c r="G109" i="6"/>
  <c r="C109" i="6"/>
  <c r="I108" i="6"/>
  <c r="H108" i="6"/>
  <c r="I107" i="6"/>
  <c r="H107" i="6"/>
  <c r="G107" i="6"/>
  <c r="I106" i="6"/>
  <c r="H106" i="6"/>
  <c r="G106" i="6"/>
  <c r="I105" i="6"/>
  <c r="I104" i="6"/>
  <c r="H104" i="6"/>
  <c r="G104" i="6"/>
  <c r="I103" i="6"/>
  <c r="H103" i="6"/>
  <c r="I102" i="6"/>
  <c r="H102" i="6"/>
  <c r="G102" i="6"/>
  <c r="D102" i="6"/>
  <c r="I101" i="6"/>
  <c r="H101" i="6"/>
  <c r="G101" i="6"/>
  <c r="I100" i="6"/>
  <c r="I99" i="6"/>
  <c r="H99" i="6"/>
  <c r="G99" i="6"/>
  <c r="E99" i="6"/>
  <c r="G98" i="6"/>
  <c r="E98" i="6"/>
  <c r="F98" i="6" s="1"/>
  <c r="D97" i="6"/>
  <c r="H97" i="6" s="1"/>
  <c r="I96" i="6"/>
  <c r="G96" i="6"/>
  <c r="D96" i="6"/>
  <c r="H96" i="6" s="1"/>
  <c r="I95" i="6"/>
  <c r="H95" i="6"/>
  <c r="G95" i="6"/>
  <c r="I94" i="6"/>
  <c r="G94" i="6"/>
  <c r="C94" i="6"/>
  <c r="I93" i="6"/>
  <c r="H93" i="6"/>
  <c r="G93" i="6"/>
  <c r="I92" i="6"/>
  <c r="H92" i="6"/>
  <c r="G92" i="6"/>
  <c r="I91" i="6"/>
  <c r="H91" i="6"/>
  <c r="G91" i="6"/>
  <c r="I90" i="6"/>
  <c r="H90" i="6"/>
  <c r="G90" i="6"/>
  <c r="D90" i="6"/>
  <c r="I89" i="6"/>
  <c r="H89" i="6"/>
  <c r="G89" i="6"/>
  <c r="I88" i="6"/>
  <c r="H88" i="6"/>
  <c r="G88" i="6"/>
  <c r="I87" i="6"/>
  <c r="H87" i="6"/>
  <c r="G87" i="6"/>
  <c r="I86" i="6"/>
  <c r="H86" i="6"/>
  <c r="G86" i="6"/>
  <c r="I85" i="6"/>
  <c r="H85" i="6"/>
  <c r="G85" i="6"/>
  <c r="D85" i="6"/>
  <c r="I84" i="6"/>
  <c r="H84" i="6"/>
  <c r="G84" i="6"/>
  <c r="I83" i="6"/>
  <c r="I82" i="6"/>
  <c r="H82" i="6"/>
  <c r="G82" i="6"/>
  <c r="I81" i="6"/>
  <c r="G81" i="6"/>
  <c r="F81" i="6"/>
  <c r="D81" i="6"/>
  <c r="H81" i="6" s="1"/>
  <c r="C81" i="6"/>
  <c r="I80" i="6"/>
  <c r="H80" i="6"/>
  <c r="G80" i="6"/>
  <c r="I79" i="6"/>
  <c r="H79" i="6"/>
  <c r="D79" i="6"/>
  <c r="C79" i="6"/>
  <c r="G79" i="6" s="1"/>
  <c r="I78" i="6"/>
  <c r="H78" i="6"/>
  <c r="G78" i="6"/>
  <c r="I77" i="6"/>
  <c r="H77" i="6"/>
  <c r="G77" i="6"/>
  <c r="I76" i="6"/>
  <c r="H76" i="6"/>
  <c r="G76" i="6"/>
  <c r="I75" i="6"/>
  <c r="G75" i="6"/>
  <c r="D75" i="6"/>
  <c r="H75" i="6" s="1"/>
  <c r="I74" i="6"/>
  <c r="H74" i="6"/>
  <c r="G74" i="6"/>
  <c r="I73" i="6"/>
  <c r="H73" i="6"/>
  <c r="G73" i="6"/>
  <c r="I72" i="6"/>
  <c r="H72" i="6"/>
  <c r="G72" i="6"/>
  <c r="D72" i="6"/>
  <c r="H71" i="6"/>
  <c r="H70" i="6"/>
  <c r="I68" i="6"/>
  <c r="H68" i="6"/>
  <c r="G68" i="6"/>
  <c r="I67" i="6"/>
  <c r="H67" i="6"/>
  <c r="G67" i="6"/>
  <c r="I66" i="6"/>
  <c r="I65" i="6"/>
  <c r="G65" i="6"/>
  <c r="F65" i="6"/>
  <c r="C65" i="6"/>
  <c r="I64" i="6"/>
  <c r="G64" i="6"/>
  <c r="F64" i="6"/>
  <c r="C64" i="6"/>
  <c r="I62" i="6"/>
  <c r="H62" i="6"/>
  <c r="G62" i="6"/>
  <c r="I61" i="6"/>
  <c r="H61" i="6"/>
  <c r="G61" i="6"/>
  <c r="D61" i="6"/>
  <c r="I60" i="6"/>
  <c r="I59" i="6"/>
  <c r="G59" i="6"/>
  <c r="D59" i="6"/>
  <c r="H59" i="6" s="1"/>
  <c r="I58" i="6"/>
  <c r="H58" i="6"/>
  <c r="G58" i="6"/>
  <c r="I57" i="6"/>
  <c r="H57" i="6"/>
  <c r="G57" i="6"/>
  <c r="I56" i="6"/>
  <c r="H56" i="6"/>
  <c r="G56" i="6"/>
  <c r="I55" i="6"/>
  <c r="H55" i="6"/>
  <c r="G55" i="6"/>
  <c r="I54" i="6"/>
  <c r="H54" i="6"/>
  <c r="G54" i="6"/>
  <c r="D54" i="6"/>
  <c r="I53" i="6"/>
  <c r="H53" i="6"/>
  <c r="G53" i="6"/>
  <c r="I52" i="6"/>
  <c r="H52" i="6"/>
  <c r="F52" i="6"/>
  <c r="D52" i="6"/>
  <c r="C52" i="6"/>
  <c r="G52" i="6" s="1"/>
  <c r="I51" i="6"/>
  <c r="G51" i="6"/>
  <c r="D51" i="6"/>
  <c r="H51" i="6" s="1"/>
  <c r="I50" i="6"/>
  <c r="G50" i="6"/>
  <c r="D50" i="6"/>
  <c r="H50" i="6" s="1"/>
  <c r="I49" i="6"/>
  <c r="G49" i="6"/>
  <c r="D49" i="6"/>
  <c r="H49" i="6" s="1"/>
  <c r="I48" i="6"/>
  <c r="G48" i="6"/>
  <c r="D48" i="6"/>
  <c r="H48" i="6" s="1"/>
  <c r="I47" i="6"/>
  <c r="G47" i="6"/>
  <c r="D47" i="6"/>
  <c r="H47" i="6" s="1"/>
  <c r="I46" i="6"/>
  <c r="G46" i="6"/>
  <c r="D46" i="6"/>
  <c r="H46" i="6" s="1"/>
  <c r="I45" i="6"/>
  <c r="G45" i="6"/>
  <c r="D45" i="6"/>
  <c r="I44" i="6"/>
  <c r="F44" i="6"/>
  <c r="C44" i="6"/>
  <c r="G44" i="6" s="1"/>
  <c r="I43" i="6"/>
  <c r="H43" i="6"/>
  <c r="G43" i="6"/>
  <c r="I42" i="6"/>
  <c r="H42" i="6"/>
  <c r="G42" i="6"/>
  <c r="I41" i="6"/>
  <c r="G41" i="6"/>
  <c r="D41" i="6"/>
  <c r="H41" i="6" s="1"/>
  <c r="I40" i="6"/>
  <c r="G40" i="6"/>
  <c r="D40" i="6"/>
  <c r="H40" i="6" s="1"/>
  <c r="I39" i="6"/>
  <c r="D39" i="6"/>
  <c r="H39" i="6" s="1"/>
  <c r="C39" i="6"/>
  <c r="G39" i="6" s="1"/>
  <c r="I38" i="6"/>
  <c r="G38" i="6"/>
  <c r="D38" i="6"/>
  <c r="H38" i="6" s="1"/>
  <c r="I37" i="6"/>
  <c r="G37" i="6"/>
  <c r="D37" i="6"/>
  <c r="H37" i="6" s="1"/>
  <c r="C37" i="6"/>
  <c r="I36" i="6"/>
  <c r="H36" i="6"/>
  <c r="D36" i="6"/>
  <c r="C36" i="6"/>
  <c r="G36" i="6" s="1"/>
  <c r="I35" i="6"/>
  <c r="D35" i="6"/>
  <c r="H35" i="6" s="1"/>
  <c r="C35" i="6"/>
  <c r="G35" i="6" s="1"/>
  <c r="I34" i="6"/>
  <c r="D34" i="6"/>
  <c r="C34" i="6"/>
  <c r="G34" i="6" s="1"/>
  <c r="I33" i="6"/>
  <c r="G33" i="6"/>
  <c r="D33" i="6"/>
  <c r="H33" i="6" s="1"/>
  <c r="C33" i="6"/>
  <c r="I32" i="6"/>
  <c r="F32" i="6"/>
  <c r="I30" i="6"/>
  <c r="E30" i="6"/>
  <c r="I29" i="6"/>
  <c r="E29" i="6"/>
  <c r="I28" i="6"/>
  <c r="G28" i="6"/>
  <c r="E28" i="6"/>
  <c r="C28" i="6"/>
  <c r="I27" i="6"/>
  <c r="E27" i="6"/>
  <c r="E26" i="6"/>
  <c r="I25" i="6"/>
  <c r="G25" i="6"/>
  <c r="E25" i="6"/>
  <c r="C25" i="6"/>
  <c r="I24" i="6"/>
  <c r="G24" i="6"/>
  <c r="E24" i="6"/>
  <c r="C24" i="6"/>
  <c r="I23" i="6"/>
  <c r="H23" i="6"/>
  <c r="E23" i="6"/>
  <c r="D23" i="6"/>
  <c r="I22" i="6"/>
  <c r="G22" i="6"/>
  <c r="E22" i="6"/>
  <c r="C22" i="6"/>
  <c r="I21" i="6"/>
  <c r="H21" i="6"/>
  <c r="G21" i="6"/>
  <c r="E21" i="6"/>
  <c r="D21" i="6"/>
  <c r="C21" i="6"/>
  <c r="I20" i="6"/>
  <c r="E20" i="6"/>
  <c r="I19" i="6"/>
  <c r="H19" i="6"/>
  <c r="G19" i="6"/>
  <c r="E19" i="6"/>
  <c r="D19" i="6"/>
  <c r="C19" i="6"/>
  <c r="I18" i="6"/>
  <c r="H18" i="6"/>
  <c r="G18" i="6"/>
  <c r="E18" i="6"/>
  <c r="D18" i="6"/>
  <c r="C18" i="6"/>
  <c r="I17" i="6"/>
  <c r="E17" i="6"/>
  <c r="I16" i="6"/>
  <c r="E16" i="6"/>
  <c r="D16" i="6"/>
  <c r="C16" i="6"/>
  <c r="I15" i="6"/>
  <c r="H15" i="6"/>
  <c r="G15" i="6"/>
  <c r="E15" i="6"/>
  <c r="D15" i="6"/>
  <c r="C15" i="6"/>
  <c r="I14" i="6"/>
  <c r="E14" i="6"/>
  <c r="L13" i="6"/>
  <c r="K13" i="6"/>
  <c r="K11" i="6" s="1"/>
  <c r="E13" i="6"/>
  <c r="I12" i="6"/>
  <c r="H12" i="6"/>
  <c r="G12" i="6"/>
  <c r="L11" i="6"/>
  <c r="I11" i="6"/>
  <c r="H11" i="6"/>
  <c r="I9" i="6"/>
  <c r="E9" i="6"/>
  <c r="E8" i="6"/>
  <c r="I7" i="6"/>
  <c r="E7" i="6"/>
  <c r="I6" i="6"/>
  <c r="E6" i="6"/>
  <c r="I5" i="6"/>
  <c r="E5" i="6"/>
  <c r="I4" i="6"/>
  <c r="G4" i="6"/>
  <c r="E4" i="6"/>
  <c r="C4" i="6"/>
  <c r="I3" i="6"/>
  <c r="E3" i="6"/>
  <c r="I65" i="5"/>
  <c r="G65" i="5"/>
  <c r="I57" i="5"/>
  <c r="G57" i="5"/>
  <c r="I45" i="5"/>
  <c r="I55" i="5" s="1"/>
  <c r="I56" i="5" s="1"/>
  <c r="I59" i="5" s="1"/>
  <c r="I43" i="5"/>
  <c r="G43" i="5"/>
  <c r="I42" i="5"/>
  <c r="G40" i="5"/>
  <c r="G42" i="5" s="1"/>
  <c r="G45" i="5" s="1"/>
  <c r="G55" i="5" s="1"/>
  <c r="G56" i="5" s="1"/>
  <c r="G59" i="5" s="1"/>
  <c r="I37" i="5"/>
  <c r="I40" i="5" s="1"/>
  <c r="L28" i="5"/>
  <c r="I28" i="5"/>
  <c r="G25" i="5"/>
  <c r="G30" i="5" s="1"/>
  <c r="G28" i="5" s="1"/>
  <c r="I23" i="5"/>
  <c r="I25" i="5" s="1"/>
  <c r="I30" i="5" s="1"/>
  <c r="G23" i="5"/>
  <c r="E23" i="5"/>
  <c r="I17" i="5"/>
  <c r="G17" i="5"/>
  <c r="I13" i="5"/>
  <c r="G13" i="5"/>
  <c r="H1011" i="4"/>
  <c r="G1011" i="4"/>
  <c r="F1011" i="4"/>
  <c r="E1011" i="4"/>
  <c r="D1005" i="4"/>
  <c r="C1005" i="4"/>
  <c r="C1003" i="4" s="1"/>
  <c r="D1004" i="4"/>
  <c r="D1003" i="4"/>
  <c r="D997" i="4"/>
  <c r="C997" i="4"/>
  <c r="D996" i="4"/>
  <c r="D995" i="4"/>
  <c r="D994" i="4"/>
  <c r="C994" i="4"/>
  <c r="D993" i="4"/>
  <c r="D992" i="4"/>
  <c r="C992" i="4"/>
  <c r="D988" i="4"/>
  <c r="D986" i="4"/>
  <c r="D985" i="4" s="1"/>
  <c r="D983" i="4" s="1"/>
  <c r="C985" i="4"/>
  <c r="C983" i="4" s="1"/>
  <c r="C29" i="4" s="1"/>
  <c r="D984" i="4"/>
  <c r="D977" i="4"/>
  <c r="C977" i="4"/>
  <c r="D973" i="4"/>
  <c r="C973" i="4"/>
  <c r="C972" i="4" s="1"/>
  <c r="D972" i="4"/>
  <c r="D963" i="4"/>
  <c r="C963" i="4"/>
  <c r="D960" i="4"/>
  <c r="D959" i="4" s="1"/>
  <c r="C960" i="4"/>
  <c r="C959" i="4"/>
  <c r="D949" i="4"/>
  <c r="D944" i="4" s="1"/>
  <c r="C949" i="4"/>
  <c r="C944" i="4"/>
  <c r="D938" i="4"/>
  <c r="C938" i="4"/>
  <c r="D931" i="4"/>
  <c r="C931" i="4"/>
  <c r="C929" i="4" s="1"/>
  <c r="D929" i="4"/>
  <c r="D927" i="4"/>
  <c r="D925" i="4" s="1"/>
  <c r="D923" i="4" s="1"/>
  <c r="C927" i="4"/>
  <c r="C925" i="4" s="1"/>
  <c r="D924" i="4"/>
  <c r="C923" i="4"/>
  <c r="D909" i="4"/>
  <c r="C909" i="4"/>
  <c r="D904" i="4"/>
  <c r="C904" i="4"/>
  <c r="D898" i="4"/>
  <c r="D892" i="4"/>
  <c r="D886" i="4" s="1"/>
  <c r="C886" i="4"/>
  <c r="C885" i="4" s="1"/>
  <c r="D878" i="4"/>
  <c r="C878" i="4"/>
  <c r="D870" i="4"/>
  <c r="C870" i="4"/>
  <c r="D868" i="4"/>
  <c r="C868" i="4"/>
  <c r="D863" i="4"/>
  <c r="D861" i="4"/>
  <c r="C861" i="4"/>
  <c r="C859" i="4" s="1"/>
  <c r="D859" i="4"/>
  <c r="D854" i="4"/>
  <c r="C854" i="4"/>
  <c r="C852" i="4" s="1"/>
  <c r="D852" i="4"/>
  <c r="D850" i="4"/>
  <c r="D846" i="4"/>
  <c r="D845" i="4"/>
  <c r="C845" i="4"/>
  <c r="D837" i="4"/>
  <c r="C837" i="4"/>
  <c r="D835" i="4"/>
  <c r="D831" i="4" s="1"/>
  <c r="D823" i="4" s="1"/>
  <c r="C831" i="4"/>
  <c r="D827" i="4"/>
  <c r="C827" i="4"/>
  <c r="D825" i="4"/>
  <c r="D824" i="4"/>
  <c r="C824" i="4"/>
  <c r="C823" i="4" s="1"/>
  <c r="D822" i="4"/>
  <c r="D821" i="4"/>
  <c r="D818" i="4"/>
  <c r="D817" i="4" s="1"/>
  <c r="C817" i="4"/>
  <c r="D816" i="4"/>
  <c r="D815" i="4"/>
  <c r="D813" i="4"/>
  <c r="D812" i="4"/>
  <c r="D809" i="4"/>
  <c r="D808" i="4"/>
  <c r="D807" i="4" s="1"/>
  <c r="C807" i="4"/>
  <c r="D806" i="4"/>
  <c r="D805" i="4"/>
  <c r="D803" i="4" s="1"/>
  <c r="C803" i="4"/>
  <c r="C802" i="4"/>
  <c r="D795" i="4"/>
  <c r="C795" i="4"/>
  <c r="D793" i="4"/>
  <c r="D788" i="4"/>
  <c r="C788" i="4"/>
  <c r="D783" i="4"/>
  <c r="D781" i="4"/>
  <c r="D780" i="4"/>
  <c r="D772" i="4" s="1"/>
  <c r="C780" i="4"/>
  <c r="C772" i="4"/>
  <c r="D769" i="4"/>
  <c r="D766" i="4" s="1"/>
  <c r="D765" i="4" s="1"/>
  <c r="D25" i="4" s="1"/>
  <c r="D768" i="4"/>
  <c r="D767" i="4"/>
  <c r="C766" i="4"/>
  <c r="C765" i="4" s="1"/>
  <c r="C25" i="4" s="1"/>
  <c r="D762" i="4"/>
  <c r="D756" i="4"/>
  <c r="D751" i="4" s="1"/>
  <c r="D752" i="4"/>
  <c r="C751" i="4"/>
  <c r="C750" i="4" s="1"/>
  <c r="D750" i="4"/>
  <c r="D722" i="4" s="1"/>
  <c r="D749" i="4"/>
  <c r="D745" i="4"/>
  <c r="D740" i="4"/>
  <c r="C740" i="4"/>
  <c r="D738" i="4"/>
  <c r="C738" i="4"/>
  <c r="D736" i="4"/>
  <c r="C736" i="4"/>
  <c r="D734" i="4"/>
  <c r="C734" i="4"/>
  <c r="D732" i="4"/>
  <c r="C732" i="4"/>
  <c r="D730" i="4"/>
  <c r="C730" i="4"/>
  <c r="D727" i="4"/>
  <c r="D723" i="4" s="1"/>
  <c r="C727" i="4"/>
  <c r="C723" i="4"/>
  <c r="C722" i="4" s="1"/>
  <c r="C24" i="4" s="1"/>
  <c r="D721" i="4"/>
  <c r="D720" i="4"/>
  <c r="C720" i="4"/>
  <c r="D719" i="4"/>
  <c r="D718" i="4"/>
  <c r="C718" i="4"/>
  <c r="C717" i="4" s="1"/>
  <c r="C714" i="4" s="1"/>
  <c r="C23" i="4" s="1"/>
  <c r="D717" i="4"/>
  <c r="D716" i="4"/>
  <c r="D715" i="4"/>
  <c r="D714" i="4"/>
  <c r="D23" i="4" s="1"/>
  <c r="D711" i="4"/>
  <c r="D694" i="4" s="1"/>
  <c r="D706" i="4"/>
  <c r="D705" i="4"/>
  <c r="D702" i="4" s="1"/>
  <c r="D703" i="4"/>
  <c r="C702" i="4"/>
  <c r="C694" i="4" s="1"/>
  <c r="C22" i="4" s="1"/>
  <c r="D695" i="4"/>
  <c r="D691" i="4"/>
  <c r="D690" i="4" s="1"/>
  <c r="D21" i="4" s="1"/>
  <c r="C691" i="4"/>
  <c r="C690" i="4" s="1"/>
  <c r="C21" i="4" s="1"/>
  <c r="D688" i="4"/>
  <c r="C688" i="4"/>
  <c r="C678" i="4" s="1"/>
  <c r="C677" i="4" s="1"/>
  <c r="D685" i="4"/>
  <c r="D682" i="4"/>
  <c r="D680" i="4"/>
  <c r="D678" i="4"/>
  <c r="D677" i="4" s="1"/>
  <c r="D675" i="4"/>
  <c r="C675" i="4"/>
  <c r="D674" i="4"/>
  <c r="C674" i="4"/>
  <c r="C670" i="4" s="1"/>
  <c r="D671" i="4"/>
  <c r="D670" i="4" s="1"/>
  <c r="D668" i="4" s="1"/>
  <c r="C668" i="4"/>
  <c r="D664" i="4"/>
  <c r="C664" i="4"/>
  <c r="D663" i="4"/>
  <c r="D659" i="4"/>
  <c r="C659" i="4"/>
  <c r="D658" i="4"/>
  <c r="D656" i="4"/>
  <c r="C656" i="4"/>
  <c r="D654" i="4"/>
  <c r="D653" i="4"/>
  <c r="C653" i="4"/>
  <c r="D652" i="4"/>
  <c r="D650" i="4"/>
  <c r="C650" i="4"/>
  <c r="C647" i="4" s="1"/>
  <c r="D648" i="4"/>
  <c r="D647" i="4" s="1"/>
  <c r="D646" i="4" s="1"/>
  <c r="C646" i="4"/>
  <c r="D644" i="4"/>
  <c r="C644" i="4"/>
  <c r="D643" i="4"/>
  <c r="D641" i="4" s="1"/>
  <c r="C643" i="4"/>
  <c r="D642" i="4"/>
  <c r="D639" i="4"/>
  <c r="C639" i="4"/>
  <c r="D638" i="4"/>
  <c r="D637" i="4"/>
  <c r="D636" i="4"/>
  <c r="C636" i="4"/>
  <c r="D634" i="4"/>
  <c r="C634" i="4"/>
  <c r="C631" i="4" s="1"/>
  <c r="D632" i="4"/>
  <c r="D629" i="4"/>
  <c r="C629" i="4"/>
  <c r="C624" i="4" s="1"/>
  <c r="D628" i="4"/>
  <c r="D627" i="4"/>
  <c r="C627" i="4"/>
  <c r="D626" i="4"/>
  <c r="D623" i="4"/>
  <c r="C622" i="4"/>
  <c r="D621" i="4"/>
  <c r="D615" i="4"/>
  <c r="C615" i="4"/>
  <c r="D610" i="4"/>
  <c r="C610" i="4"/>
  <c r="D605" i="4"/>
  <c r="C605" i="4"/>
  <c r="D603" i="4"/>
  <c r="C603" i="4"/>
  <c r="D602" i="4"/>
  <c r="C602" i="4"/>
  <c r="D601" i="4"/>
  <c r="C601" i="4"/>
  <c r="D600" i="4"/>
  <c r="C600" i="4"/>
  <c r="D596" i="4"/>
  <c r="D594" i="4"/>
  <c r="C594" i="4"/>
  <c r="D590" i="4"/>
  <c r="C590" i="4"/>
  <c r="D585" i="4"/>
  <c r="D583" i="4"/>
  <c r="D581" i="4" s="1"/>
  <c r="D17" i="4" s="1"/>
  <c r="C583" i="4"/>
  <c r="C581" i="4" s="1"/>
  <c r="C17" i="4" s="1"/>
  <c r="D577" i="4"/>
  <c r="D575" i="4"/>
  <c r="D16" i="4" s="1"/>
  <c r="C575" i="4"/>
  <c r="D572" i="4"/>
  <c r="C572" i="4"/>
  <c r="D569" i="4"/>
  <c r="C569" i="4"/>
  <c r="D566" i="4"/>
  <c r="C566" i="4"/>
  <c r="D563" i="4"/>
  <c r="D562" i="4" s="1"/>
  <c r="C562" i="4"/>
  <c r="D558" i="4"/>
  <c r="D552" i="4"/>
  <c r="C552" i="4"/>
  <c r="D549" i="4"/>
  <c r="C549" i="4"/>
  <c r="D548" i="4"/>
  <c r="D547" i="4"/>
  <c r="D544" i="4"/>
  <c r="D543" i="4"/>
  <c r="D542" i="4"/>
  <c r="C542" i="4"/>
  <c r="C541" i="4"/>
  <c r="D540" i="4"/>
  <c r="D539" i="4"/>
  <c r="D538" i="4"/>
  <c r="D537" i="4"/>
  <c r="D534" i="4"/>
  <c r="D526" i="4" s="1"/>
  <c r="D533" i="4"/>
  <c r="C526" i="4"/>
  <c r="D514" i="4"/>
  <c r="C514" i="4"/>
  <c r="D505" i="4"/>
  <c r="C505" i="4"/>
  <c r="D500" i="4"/>
  <c r="C500" i="4"/>
  <c r="C499" i="4"/>
  <c r="D496" i="4"/>
  <c r="D495" i="4" s="1"/>
  <c r="C496" i="4"/>
  <c r="C495" i="4"/>
  <c r="D492" i="4"/>
  <c r="D489" i="4" s="1"/>
  <c r="D490" i="4"/>
  <c r="C489" i="4"/>
  <c r="C488" i="4" s="1"/>
  <c r="D488" i="4"/>
  <c r="D484" i="4"/>
  <c r="C484" i="4"/>
  <c r="D482" i="4"/>
  <c r="D481" i="4" s="1"/>
  <c r="C482" i="4"/>
  <c r="C481" i="4"/>
  <c r="D479" i="4"/>
  <c r="D475" i="4" s="1"/>
  <c r="C475" i="4"/>
  <c r="D473" i="4"/>
  <c r="C473" i="4"/>
  <c r="C472" i="4" s="1"/>
  <c r="D471" i="4"/>
  <c r="D470" i="4"/>
  <c r="D469" i="4"/>
  <c r="D468" i="4"/>
  <c r="D466" i="4"/>
  <c r="D465" i="4"/>
  <c r="D461" i="4" s="1"/>
  <c r="D460" i="4" s="1"/>
  <c r="C461" i="4"/>
  <c r="C460" i="4"/>
  <c r="D455" i="4"/>
  <c r="C455" i="4"/>
  <c r="D446" i="4"/>
  <c r="D440" i="4"/>
  <c r="C440" i="4"/>
  <c r="D419" i="4"/>
  <c r="D414" i="4"/>
  <c r="D412" i="4"/>
  <c r="D410" i="4" s="1"/>
  <c r="D411" i="4"/>
  <c r="C410" i="4"/>
  <c r="D402" i="4"/>
  <c r="D390" i="4" s="1"/>
  <c r="D389" i="4" s="1"/>
  <c r="D398" i="4"/>
  <c r="D391" i="4"/>
  <c r="C390" i="4"/>
  <c r="C389" i="4" s="1"/>
  <c r="D388" i="4"/>
  <c r="D380" i="4"/>
  <c r="C380" i="4"/>
  <c r="D376" i="4"/>
  <c r="C376" i="4"/>
  <c r="C375" i="4" s="1"/>
  <c r="D375" i="4"/>
  <c r="D372" i="4"/>
  <c r="D370" i="4" s="1"/>
  <c r="C370" i="4"/>
  <c r="D367" i="4"/>
  <c r="C367" i="4"/>
  <c r="D365" i="4"/>
  <c r="C365" i="4"/>
  <c r="D360" i="4"/>
  <c r="D359" i="4"/>
  <c r="C358" i="4"/>
  <c r="C357" i="4"/>
  <c r="D354" i="4"/>
  <c r="D353" i="4"/>
  <c r="D348" i="4"/>
  <c r="D342" i="4" s="1"/>
  <c r="C348" i="4"/>
  <c r="C342" i="4" s="1"/>
  <c r="D346" i="4"/>
  <c r="D339" i="4"/>
  <c r="D333" i="4" s="1"/>
  <c r="C333" i="4"/>
  <c r="D328" i="4"/>
  <c r="D326" i="4"/>
  <c r="C326" i="4"/>
  <c r="D325" i="4"/>
  <c r="D324" i="4"/>
  <c r="C324" i="4"/>
  <c r="D320" i="4"/>
  <c r="C320" i="4"/>
  <c r="C319" i="4"/>
  <c r="D310" i="4"/>
  <c r="C310" i="4"/>
  <c r="D309" i="4"/>
  <c r="C309" i="4"/>
  <c r="D308" i="4"/>
  <c r="D304" i="4"/>
  <c r="C304" i="4"/>
  <c r="D297" i="4"/>
  <c r="C295" i="4"/>
  <c r="D292" i="4"/>
  <c r="C292" i="4"/>
  <c r="C291" i="4"/>
  <c r="D285" i="4"/>
  <c r="D278" i="4" s="1"/>
  <c r="D279" i="4"/>
  <c r="C279" i="4"/>
  <c r="C278" i="4"/>
  <c r="C277" i="4" s="1"/>
  <c r="D274" i="4"/>
  <c r="C274" i="4"/>
  <c r="D271" i="4"/>
  <c r="D269" i="4" s="1"/>
  <c r="C269" i="4"/>
  <c r="D265" i="4"/>
  <c r="D264" i="4"/>
  <c r="D263" i="4" s="1"/>
  <c r="C264" i="4"/>
  <c r="C263" i="4"/>
  <c r="D257" i="4"/>
  <c r="C257" i="4"/>
  <c r="D255" i="4"/>
  <c r="C255" i="4"/>
  <c r="D253" i="4"/>
  <c r="D252" i="4" s="1"/>
  <c r="D8" i="4" s="1"/>
  <c r="C253" i="4"/>
  <c r="C252" i="4"/>
  <c r="C8" i="4" s="1"/>
  <c r="D245" i="4"/>
  <c r="D241" i="4"/>
  <c r="C241" i="4"/>
  <c r="D236" i="4"/>
  <c r="D235" i="4"/>
  <c r="D229" i="4"/>
  <c r="C229" i="4"/>
  <c r="D226" i="4"/>
  <c r="C226" i="4"/>
  <c r="D225" i="4"/>
  <c r="D222" i="4"/>
  <c r="D215" i="4" s="1"/>
  <c r="C215" i="4"/>
  <c r="D205" i="4"/>
  <c r="C205" i="4"/>
  <c r="D201" i="4"/>
  <c r="D200" i="4"/>
  <c r="D199" i="4"/>
  <c r="D198" i="4"/>
  <c r="D190" i="4" s="1"/>
  <c r="D194" i="4"/>
  <c r="D193" i="4"/>
  <c r="C190" i="4"/>
  <c r="D189" i="4"/>
  <c r="D184" i="4"/>
  <c r="C184" i="4"/>
  <c r="D183" i="4"/>
  <c r="D6" i="4" s="1"/>
  <c r="D174" i="4"/>
  <c r="C174" i="4"/>
  <c r="D171" i="4"/>
  <c r="C171" i="4"/>
  <c r="D162" i="4"/>
  <c r="C162" i="4"/>
  <c r="C159" i="4" s="1"/>
  <c r="C5" i="4" s="1"/>
  <c r="D159" i="4"/>
  <c r="D5" i="4" s="1"/>
  <c r="D151" i="4"/>
  <c r="D150" i="4"/>
  <c r="D141" i="4"/>
  <c r="C141" i="4"/>
  <c r="D139" i="4"/>
  <c r="D126" i="4"/>
  <c r="C126" i="4"/>
  <c r="D125" i="4"/>
  <c r="D124" i="4"/>
  <c r="D118" i="4"/>
  <c r="D117" i="4"/>
  <c r="D113" i="4"/>
  <c r="D112" i="4"/>
  <c r="D107" i="4"/>
  <c r="D106" i="4"/>
  <c r="C106" i="4"/>
  <c r="D96" i="4"/>
  <c r="D95" i="4"/>
  <c r="D93" i="4"/>
  <c r="C93" i="4"/>
  <c r="D89" i="4"/>
  <c r="D80" i="4"/>
  <c r="C80" i="4"/>
  <c r="D78" i="4"/>
  <c r="C78" i="4"/>
  <c r="D66" i="4"/>
  <c r="D65" i="4" s="1"/>
  <c r="D4" i="4" s="1"/>
  <c r="C66" i="4"/>
  <c r="C65" i="4" s="1"/>
  <c r="C4" i="4" s="1"/>
  <c r="D53" i="4"/>
  <c r="C53" i="4"/>
  <c r="D49" i="4"/>
  <c r="D45" i="4"/>
  <c r="D44" i="4"/>
  <c r="C44" i="4"/>
  <c r="C32" i="4" s="1"/>
  <c r="D39" i="4"/>
  <c r="C39" i="4"/>
  <c r="D38" i="4"/>
  <c r="D37" i="4"/>
  <c r="C37" i="4"/>
  <c r="D36" i="4"/>
  <c r="C36" i="4"/>
  <c r="D35" i="4"/>
  <c r="C35" i="4"/>
  <c r="D34" i="4"/>
  <c r="C34" i="4"/>
  <c r="D33" i="4"/>
  <c r="D32" i="4" s="1"/>
  <c r="C33" i="4"/>
  <c r="D29" i="4"/>
  <c r="D28" i="4"/>
  <c r="C28" i="4"/>
  <c r="D26" i="4"/>
  <c r="C26" i="4"/>
  <c r="D24" i="4"/>
  <c r="D22" i="4"/>
  <c r="D19" i="4"/>
  <c r="C19" i="4"/>
  <c r="D18" i="4"/>
  <c r="C18" i="4"/>
  <c r="C16" i="4"/>
  <c r="D15" i="4"/>
  <c r="C15" i="4"/>
  <c r="F878" i="3"/>
  <c r="I875" i="3"/>
  <c r="I873" i="3"/>
  <c r="E873" i="3"/>
  <c r="I871" i="3"/>
  <c r="H871" i="3"/>
  <c r="G871" i="3"/>
  <c r="D871" i="3"/>
  <c r="C871" i="3"/>
  <c r="H870" i="3"/>
  <c r="G870" i="3"/>
  <c r="D870" i="3"/>
  <c r="I869" i="3"/>
  <c r="H869" i="3"/>
  <c r="G869" i="3"/>
  <c r="F869" i="3"/>
  <c r="D869" i="3"/>
  <c r="C869" i="3"/>
  <c r="H868" i="3"/>
  <c r="H867" i="3"/>
  <c r="H865" i="3"/>
  <c r="H864" i="3"/>
  <c r="H863" i="3"/>
  <c r="I862" i="3"/>
  <c r="F862" i="3"/>
  <c r="D862" i="3"/>
  <c r="H862" i="3" s="1"/>
  <c r="C862" i="3"/>
  <c r="I861" i="3"/>
  <c r="H861" i="3"/>
  <c r="G861" i="3"/>
  <c r="D861" i="3"/>
  <c r="I860" i="3"/>
  <c r="H860" i="3"/>
  <c r="G860" i="3"/>
  <c r="D860" i="3"/>
  <c r="I859" i="3"/>
  <c r="H859" i="3"/>
  <c r="G859" i="3"/>
  <c r="F859" i="3"/>
  <c r="D859" i="3"/>
  <c r="C859" i="3"/>
  <c r="C850" i="3" s="1"/>
  <c r="G850" i="3" s="1"/>
  <c r="I858" i="3"/>
  <c r="G858" i="3"/>
  <c r="D858" i="3"/>
  <c r="H858" i="3" s="1"/>
  <c r="I857" i="3"/>
  <c r="H857" i="3"/>
  <c r="G857" i="3"/>
  <c r="I856" i="3"/>
  <c r="H856" i="3"/>
  <c r="G856" i="3"/>
  <c r="I855" i="3"/>
  <c r="H855" i="3"/>
  <c r="G855" i="3"/>
  <c r="D855" i="3"/>
  <c r="H854" i="3"/>
  <c r="I853" i="3"/>
  <c r="H853" i="3"/>
  <c r="D853" i="3"/>
  <c r="I852" i="3"/>
  <c r="D852" i="3"/>
  <c r="H852" i="3" s="1"/>
  <c r="C852" i="3"/>
  <c r="G851" i="3"/>
  <c r="D851" i="3"/>
  <c r="I850" i="3"/>
  <c r="F850" i="3"/>
  <c r="F851" i="3" s="1"/>
  <c r="H848" i="3"/>
  <c r="G848" i="3"/>
  <c r="H847" i="3"/>
  <c r="G847" i="3"/>
  <c r="H846" i="3"/>
  <c r="G846" i="3"/>
  <c r="D845" i="3"/>
  <c r="H845" i="3" s="1"/>
  <c r="C845" i="3"/>
  <c r="H844" i="3"/>
  <c r="G844" i="3"/>
  <c r="H843" i="3"/>
  <c r="G843" i="3"/>
  <c r="H842" i="3"/>
  <c r="G842" i="3"/>
  <c r="H841" i="3"/>
  <c r="G841" i="3"/>
  <c r="D841" i="3"/>
  <c r="C841" i="3"/>
  <c r="I838" i="3"/>
  <c r="H838" i="3"/>
  <c r="G838" i="3"/>
  <c r="I837" i="3"/>
  <c r="H837" i="3"/>
  <c r="G837" i="3"/>
  <c r="H836" i="3"/>
  <c r="G836" i="3"/>
  <c r="H835" i="3"/>
  <c r="G835" i="3"/>
  <c r="H834" i="3"/>
  <c r="G834" i="3"/>
  <c r="I833" i="3"/>
  <c r="H833" i="3"/>
  <c r="F833" i="3"/>
  <c r="D833" i="3"/>
  <c r="C833" i="3"/>
  <c r="G833" i="3" s="1"/>
  <c r="I832" i="3"/>
  <c r="H832" i="3"/>
  <c r="G832" i="3"/>
  <c r="I831" i="3"/>
  <c r="H831" i="3"/>
  <c r="G831" i="3"/>
  <c r="I830" i="3"/>
  <c r="H830" i="3"/>
  <c r="F830" i="3"/>
  <c r="D830" i="3"/>
  <c r="C830" i="3"/>
  <c r="I829" i="3"/>
  <c r="D829" i="3"/>
  <c r="H829" i="3" s="1"/>
  <c r="I828" i="3"/>
  <c r="H828" i="3"/>
  <c r="G828" i="3"/>
  <c r="H827" i="3"/>
  <c r="G827" i="3"/>
  <c r="H826" i="3"/>
  <c r="G826" i="3"/>
  <c r="I825" i="3"/>
  <c r="G825" i="3"/>
  <c r="D825" i="3"/>
  <c r="C825" i="3"/>
  <c r="I824" i="3"/>
  <c r="H824" i="3"/>
  <c r="G824" i="3"/>
  <c r="H823" i="3"/>
  <c r="G823" i="3"/>
  <c r="I822" i="3"/>
  <c r="H822" i="3"/>
  <c r="G822" i="3"/>
  <c r="I821" i="3"/>
  <c r="H821" i="3"/>
  <c r="G821" i="3"/>
  <c r="I820" i="3"/>
  <c r="G820" i="3"/>
  <c r="F820" i="3"/>
  <c r="C820" i="3"/>
  <c r="H819" i="3"/>
  <c r="G819" i="3"/>
  <c r="H818" i="3"/>
  <c r="G818" i="3"/>
  <c r="H817" i="3"/>
  <c r="G817" i="3"/>
  <c r="H816" i="3"/>
  <c r="G816" i="3"/>
  <c r="H815" i="3"/>
  <c r="G815" i="3"/>
  <c r="D814" i="3"/>
  <c r="H814" i="3" s="1"/>
  <c r="C814" i="3"/>
  <c r="G814" i="3" s="1"/>
  <c r="H813" i="3"/>
  <c r="G813" i="3"/>
  <c r="H812" i="3"/>
  <c r="G812" i="3"/>
  <c r="H811" i="3"/>
  <c r="G811" i="3"/>
  <c r="H810" i="3"/>
  <c r="G810" i="3"/>
  <c r="H809" i="3"/>
  <c r="G809" i="3"/>
  <c r="I808" i="3"/>
  <c r="H808" i="3"/>
  <c r="D808" i="3"/>
  <c r="D806" i="3" s="1"/>
  <c r="C808" i="3"/>
  <c r="G808" i="3" s="1"/>
  <c r="I807" i="3"/>
  <c r="H807" i="3"/>
  <c r="G807" i="3"/>
  <c r="H805" i="3"/>
  <c r="G805" i="3"/>
  <c r="D804" i="3"/>
  <c r="H804" i="3" s="1"/>
  <c r="C804" i="3"/>
  <c r="I803" i="3"/>
  <c r="H803" i="3"/>
  <c r="G803" i="3"/>
  <c r="I802" i="3"/>
  <c r="D802" i="3"/>
  <c r="H802" i="3" s="1"/>
  <c r="G801" i="3"/>
  <c r="D801" i="3"/>
  <c r="H801" i="3" s="1"/>
  <c r="I800" i="3"/>
  <c r="H799" i="3"/>
  <c r="G799" i="3"/>
  <c r="I798" i="3"/>
  <c r="H798" i="3"/>
  <c r="G798" i="3"/>
  <c r="H797" i="3"/>
  <c r="G797" i="3"/>
  <c r="I796" i="3"/>
  <c r="H796" i="3"/>
  <c r="G796" i="3"/>
  <c r="H795" i="3"/>
  <c r="G795" i="3"/>
  <c r="D795" i="3"/>
  <c r="I794" i="3"/>
  <c r="H794" i="3"/>
  <c r="G794" i="3"/>
  <c r="I793" i="3"/>
  <c r="G793" i="3"/>
  <c r="D793" i="3"/>
  <c r="H792" i="3"/>
  <c r="G792" i="3"/>
  <c r="H791" i="3"/>
  <c r="G791" i="3"/>
  <c r="I790" i="3"/>
  <c r="H790" i="3"/>
  <c r="G790" i="3"/>
  <c r="H789" i="3"/>
  <c r="G789" i="3"/>
  <c r="I788" i="3"/>
  <c r="G788" i="3"/>
  <c r="F788" i="3"/>
  <c r="C788" i="3"/>
  <c r="I787" i="3"/>
  <c r="H787" i="3"/>
  <c r="G787" i="3"/>
  <c r="I786" i="3"/>
  <c r="H786" i="3"/>
  <c r="G786" i="3"/>
  <c r="I785" i="3"/>
  <c r="H785" i="3"/>
  <c r="G785" i="3"/>
  <c r="I784" i="3"/>
  <c r="H784" i="3"/>
  <c r="G784" i="3"/>
  <c r="I783" i="3"/>
  <c r="F783" i="3"/>
  <c r="D783" i="3"/>
  <c r="H783" i="3" s="1"/>
  <c r="C783" i="3"/>
  <c r="G783" i="3" s="1"/>
  <c r="I782" i="3"/>
  <c r="H782" i="3"/>
  <c r="G782" i="3"/>
  <c r="I781" i="3"/>
  <c r="G781" i="3"/>
  <c r="D781" i="3"/>
  <c r="H781" i="3" s="1"/>
  <c r="H780" i="3"/>
  <c r="G780" i="3"/>
  <c r="H779" i="3"/>
  <c r="G779" i="3"/>
  <c r="H778" i="3"/>
  <c r="G778" i="3"/>
  <c r="G777" i="3"/>
  <c r="D777" i="3"/>
  <c r="D772" i="3" s="1"/>
  <c r="H776" i="3"/>
  <c r="G776" i="3"/>
  <c r="H775" i="3"/>
  <c r="G775" i="3"/>
  <c r="D775" i="3"/>
  <c r="H774" i="3"/>
  <c r="G774" i="3"/>
  <c r="H773" i="3"/>
  <c r="G773" i="3"/>
  <c r="I772" i="3"/>
  <c r="G772" i="3"/>
  <c r="F772" i="3"/>
  <c r="C772" i="3"/>
  <c r="I771" i="3"/>
  <c r="H770" i="3"/>
  <c r="G770" i="3"/>
  <c r="I769" i="3"/>
  <c r="H769" i="3"/>
  <c r="G769" i="3"/>
  <c r="I768" i="3"/>
  <c r="H768" i="3"/>
  <c r="G768" i="3"/>
  <c r="I767" i="3"/>
  <c r="H767" i="3"/>
  <c r="G767" i="3"/>
  <c r="I766" i="3"/>
  <c r="H766" i="3"/>
  <c r="G766" i="3"/>
  <c r="I765" i="3"/>
  <c r="H765" i="3"/>
  <c r="F765" i="3"/>
  <c r="D765" i="3"/>
  <c r="C765" i="3"/>
  <c r="G765" i="3" s="1"/>
  <c r="I764" i="3"/>
  <c r="H764" i="3"/>
  <c r="G764" i="3"/>
  <c r="I763" i="3"/>
  <c r="H763" i="3"/>
  <c r="G763" i="3"/>
  <c r="I762" i="3"/>
  <c r="H762" i="3"/>
  <c r="G762" i="3"/>
  <c r="I761" i="3"/>
  <c r="H761" i="3"/>
  <c r="G761" i="3"/>
  <c r="H760" i="3"/>
  <c r="G760" i="3"/>
  <c r="H759" i="3"/>
  <c r="G759" i="3"/>
  <c r="D759" i="3"/>
  <c r="C759" i="3"/>
  <c r="I758" i="3"/>
  <c r="H758" i="3"/>
  <c r="G758" i="3"/>
  <c r="I757" i="3"/>
  <c r="H757" i="3"/>
  <c r="G757" i="3"/>
  <c r="F757" i="3"/>
  <c r="D757" i="3"/>
  <c r="C757" i="3"/>
  <c r="H756" i="3"/>
  <c r="G756" i="3"/>
  <c r="H755" i="3"/>
  <c r="G755" i="3"/>
  <c r="H754" i="3"/>
  <c r="G754" i="3"/>
  <c r="D754" i="3"/>
  <c r="H753" i="3"/>
  <c r="G753" i="3"/>
  <c r="I752" i="3"/>
  <c r="G752" i="3"/>
  <c r="D752" i="3"/>
  <c r="C752" i="3"/>
  <c r="I751" i="3"/>
  <c r="H751" i="3"/>
  <c r="G751" i="3"/>
  <c r="I750" i="3"/>
  <c r="F750" i="3"/>
  <c r="C750" i="3"/>
  <c r="G750" i="3" s="1"/>
  <c r="H749" i="3"/>
  <c r="G749" i="3"/>
  <c r="D748" i="3"/>
  <c r="H748" i="3" s="1"/>
  <c r="C748" i="3"/>
  <c r="I747" i="3"/>
  <c r="H747" i="3"/>
  <c r="G747" i="3"/>
  <c r="I746" i="3"/>
  <c r="F746" i="3"/>
  <c r="D746" i="3"/>
  <c r="H746" i="3" s="1"/>
  <c r="G745" i="3"/>
  <c r="D745" i="3"/>
  <c r="H744" i="3"/>
  <c r="G744" i="3"/>
  <c r="H743" i="3"/>
  <c r="G743" i="3"/>
  <c r="I742" i="3"/>
  <c r="G742" i="3"/>
  <c r="D742" i="3"/>
  <c r="H742" i="3" s="1"/>
  <c r="I741" i="3"/>
  <c r="F741" i="3"/>
  <c r="D741" i="3"/>
  <c r="C741" i="3"/>
  <c r="G741" i="3" s="1"/>
  <c r="I740" i="3"/>
  <c r="H739" i="3"/>
  <c r="G739" i="3"/>
  <c r="I738" i="3"/>
  <c r="D738" i="3"/>
  <c r="C738" i="3"/>
  <c r="G738" i="3" s="1"/>
  <c r="I737" i="3"/>
  <c r="F737" i="3"/>
  <c r="G736" i="3"/>
  <c r="D736" i="3"/>
  <c r="H735" i="3"/>
  <c r="G735" i="3"/>
  <c r="H734" i="3"/>
  <c r="G734" i="3"/>
  <c r="F733" i="3"/>
  <c r="D733" i="3"/>
  <c r="H733" i="3" s="1"/>
  <c r="C733" i="3"/>
  <c r="G733" i="3" s="1"/>
  <c r="H732" i="3"/>
  <c r="G732" i="3"/>
  <c r="I731" i="3"/>
  <c r="G731" i="3"/>
  <c r="D731" i="3"/>
  <c r="I730" i="3"/>
  <c r="F730" i="3"/>
  <c r="C730" i="3"/>
  <c r="G730" i="3" s="1"/>
  <c r="H729" i="3"/>
  <c r="G729" i="3"/>
  <c r="G728" i="3"/>
  <c r="D728" i="3"/>
  <c r="H728" i="3" s="1"/>
  <c r="H727" i="3"/>
  <c r="F727" i="3"/>
  <c r="D727" i="3"/>
  <c r="C727" i="3"/>
  <c r="I726" i="3"/>
  <c r="F726" i="3"/>
  <c r="G725" i="3"/>
  <c r="D725" i="3"/>
  <c r="H725" i="3" s="1"/>
  <c r="I724" i="3"/>
  <c r="D724" i="3"/>
  <c r="H724" i="3" s="1"/>
  <c r="I723" i="3"/>
  <c r="G723" i="3"/>
  <c r="D723" i="3"/>
  <c r="I722" i="3"/>
  <c r="F722" i="3"/>
  <c r="C722" i="3"/>
  <c r="G722" i="3" s="1"/>
  <c r="G721" i="3"/>
  <c r="D721" i="3"/>
  <c r="D714" i="3" s="1"/>
  <c r="H714" i="3" s="1"/>
  <c r="G720" i="3"/>
  <c r="D720" i="3"/>
  <c r="H719" i="3"/>
  <c r="G719" i="3"/>
  <c r="G718" i="3"/>
  <c r="D718" i="3"/>
  <c r="G717" i="3"/>
  <c r="D717" i="3"/>
  <c r="H717" i="3" s="1"/>
  <c r="G716" i="3"/>
  <c r="D716" i="3"/>
  <c r="G715" i="3"/>
  <c r="D715" i="3"/>
  <c r="F714" i="3"/>
  <c r="C714" i="3"/>
  <c r="G714" i="3" s="1"/>
  <c r="G713" i="3"/>
  <c r="D713" i="3"/>
  <c r="H713" i="3" s="1"/>
  <c r="G712" i="3"/>
  <c r="D712" i="3"/>
  <c r="H712" i="3" s="1"/>
  <c r="F711" i="3"/>
  <c r="D711" i="3"/>
  <c r="C711" i="3"/>
  <c r="G711" i="3" s="1"/>
  <c r="I710" i="3"/>
  <c r="G710" i="3"/>
  <c r="F710" i="3"/>
  <c r="C710" i="3"/>
  <c r="I709" i="3"/>
  <c r="F709" i="3"/>
  <c r="H708" i="3"/>
  <c r="G708" i="3"/>
  <c r="I707" i="3"/>
  <c r="F707" i="3"/>
  <c r="H705" i="3"/>
  <c r="G705" i="3"/>
  <c r="H704" i="3"/>
  <c r="G704" i="3"/>
  <c r="D703" i="3"/>
  <c r="H703" i="3" s="1"/>
  <c r="C703" i="3"/>
  <c r="G703" i="3" s="1"/>
  <c r="G702" i="3"/>
  <c r="D702" i="3"/>
  <c r="H702" i="3" s="1"/>
  <c r="H701" i="3"/>
  <c r="G701" i="3"/>
  <c r="I700" i="3"/>
  <c r="H700" i="3"/>
  <c r="G700" i="3"/>
  <c r="I699" i="3"/>
  <c r="H699" i="3"/>
  <c r="G699" i="3"/>
  <c r="H698" i="3"/>
  <c r="G698" i="3"/>
  <c r="I697" i="3"/>
  <c r="H697" i="3"/>
  <c r="F697" i="3"/>
  <c r="D697" i="3"/>
  <c r="C697" i="3"/>
  <c r="H696" i="3"/>
  <c r="G696" i="3"/>
  <c r="H695" i="3"/>
  <c r="G695" i="3"/>
  <c r="H694" i="3"/>
  <c r="I693" i="3"/>
  <c r="G693" i="3"/>
  <c r="D693" i="3"/>
  <c r="H693" i="3" s="1"/>
  <c r="I692" i="3"/>
  <c r="H692" i="3"/>
  <c r="G692" i="3"/>
  <c r="I691" i="3"/>
  <c r="G691" i="3"/>
  <c r="D691" i="3"/>
  <c r="I690" i="3"/>
  <c r="F690" i="3"/>
  <c r="C690" i="3"/>
  <c r="G690" i="3" s="1"/>
  <c r="I689" i="3"/>
  <c r="H689" i="3"/>
  <c r="G689" i="3"/>
  <c r="I688" i="3"/>
  <c r="H688" i="3"/>
  <c r="G688" i="3"/>
  <c r="H687" i="3"/>
  <c r="G687" i="3"/>
  <c r="I686" i="3"/>
  <c r="H686" i="3"/>
  <c r="G686" i="3"/>
  <c r="I685" i="3"/>
  <c r="H685" i="3"/>
  <c r="G685" i="3"/>
  <c r="I684" i="3"/>
  <c r="H684" i="3"/>
  <c r="G684" i="3"/>
  <c r="I683" i="3"/>
  <c r="H683" i="3"/>
  <c r="G683" i="3"/>
  <c r="I682" i="3"/>
  <c r="F682" i="3"/>
  <c r="I680" i="3"/>
  <c r="G680" i="3"/>
  <c r="D680" i="3"/>
  <c r="H680" i="3" s="1"/>
  <c r="I679" i="3"/>
  <c r="G679" i="3"/>
  <c r="D679" i="3"/>
  <c r="H678" i="3"/>
  <c r="G678" i="3"/>
  <c r="I677" i="3"/>
  <c r="H677" i="3"/>
  <c r="G677" i="3"/>
  <c r="D677" i="3"/>
  <c r="I676" i="3"/>
  <c r="F676" i="3"/>
  <c r="C676" i="3"/>
  <c r="I675" i="3"/>
  <c r="I672" i="3"/>
  <c r="H672" i="3"/>
  <c r="G672" i="3"/>
  <c r="I671" i="3"/>
  <c r="D671" i="3"/>
  <c r="H671" i="3" s="1"/>
  <c r="H670" i="3"/>
  <c r="G670" i="3"/>
  <c r="H668" i="3"/>
  <c r="G668" i="3"/>
  <c r="I667" i="3"/>
  <c r="H667" i="3"/>
  <c r="G667" i="3"/>
  <c r="I666" i="3"/>
  <c r="H666" i="3"/>
  <c r="G666" i="3"/>
  <c r="I665" i="3"/>
  <c r="H665" i="3"/>
  <c r="G665" i="3"/>
  <c r="D665" i="3"/>
  <c r="I664" i="3"/>
  <c r="H664" i="3"/>
  <c r="G664" i="3"/>
  <c r="I663" i="3"/>
  <c r="H663" i="3"/>
  <c r="G663" i="3"/>
  <c r="I662" i="3"/>
  <c r="H662" i="3"/>
  <c r="G662" i="3"/>
  <c r="I661" i="3"/>
  <c r="H661" i="3"/>
  <c r="G661" i="3"/>
  <c r="D661" i="3"/>
  <c r="I660" i="3"/>
  <c r="H660" i="3"/>
  <c r="F660" i="3"/>
  <c r="D660" i="3"/>
  <c r="C660" i="3"/>
  <c r="I659" i="3"/>
  <c r="D659" i="3"/>
  <c r="H659" i="3" s="1"/>
  <c r="G658" i="3"/>
  <c r="D658" i="3"/>
  <c r="H658" i="3" s="1"/>
  <c r="I657" i="3"/>
  <c r="H657" i="3"/>
  <c r="G657" i="3"/>
  <c r="H656" i="3"/>
  <c r="G656" i="3"/>
  <c r="D656" i="3"/>
  <c r="I655" i="3"/>
  <c r="H655" i="3"/>
  <c r="G655" i="3"/>
  <c r="I654" i="3"/>
  <c r="H654" i="3"/>
  <c r="G654" i="3"/>
  <c r="I653" i="3"/>
  <c r="H653" i="3"/>
  <c r="G653" i="3"/>
  <c r="I652" i="3"/>
  <c r="H652" i="3"/>
  <c r="G652" i="3"/>
  <c r="I651" i="3"/>
  <c r="H651" i="3"/>
  <c r="D651" i="3"/>
  <c r="C651" i="3"/>
  <c r="G651" i="3" s="1"/>
  <c r="I650" i="3"/>
  <c r="H650" i="3"/>
  <c r="G650" i="3"/>
  <c r="I649" i="3"/>
  <c r="H649" i="3"/>
  <c r="D649" i="3"/>
  <c r="C649" i="3"/>
  <c r="G649" i="3" s="1"/>
  <c r="I648" i="3"/>
  <c r="H648" i="3"/>
  <c r="G648" i="3"/>
  <c r="I647" i="3"/>
  <c r="H647" i="3"/>
  <c r="G647" i="3"/>
  <c r="I646" i="3"/>
  <c r="H646" i="3"/>
  <c r="G646" i="3"/>
  <c r="D646" i="3"/>
  <c r="C646" i="3"/>
  <c r="I645" i="3"/>
  <c r="H645" i="3"/>
  <c r="G645" i="3"/>
  <c r="H644" i="3"/>
  <c r="G644" i="3"/>
  <c r="I643" i="3"/>
  <c r="F643" i="3"/>
  <c r="D643" i="3"/>
  <c r="C643" i="3"/>
  <c r="G643" i="3" s="1"/>
  <c r="I642" i="3"/>
  <c r="F642" i="3"/>
  <c r="I641" i="3"/>
  <c r="G641" i="3"/>
  <c r="D641" i="3"/>
  <c r="H641" i="3" s="1"/>
  <c r="I640" i="3"/>
  <c r="D640" i="3"/>
  <c r="H640" i="3" s="1"/>
  <c r="C640" i="3"/>
  <c r="I639" i="3"/>
  <c r="G639" i="3"/>
  <c r="D639" i="3"/>
  <c r="H639" i="3" s="1"/>
  <c r="I638" i="3"/>
  <c r="G638" i="3"/>
  <c r="D638" i="3"/>
  <c r="C638" i="3"/>
  <c r="I637" i="3"/>
  <c r="F637" i="3"/>
  <c r="I636" i="3"/>
  <c r="G636" i="3"/>
  <c r="D636" i="3"/>
  <c r="H636" i="3" s="1"/>
  <c r="I635" i="3"/>
  <c r="G635" i="3"/>
  <c r="D635" i="3"/>
  <c r="H635" i="3" s="1"/>
  <c r="I634" i="3"/>
  <c r="F634" i="3"/>
  <c r="I632" i="3"/>
  <c r="H632" i="3"/>
  <c r="G632" i="3"/>
  <c r="I631" i="3"/>
  <c r="D631" i="3"/>
  <c r="H631" i="3" s="1"/>
  <c r="I630" i="3"/>
  <c r="H630" i="3"/>
  <c r="G630" i="3"/>
  <c r="I629" i="3"/>
  <c r="H629" i="3"/>
  <c r="G629" i="3"/>
  <c r="I628" i="3"/>
  <c r="H628" i="3"/>
  <c r="G628" i="3"/>
  <c r="I627" i="3"/>
  <c r="H627" i="3"/>
  <c r="G627" i="3"/>
  <c r="I626" i="3"/>
  <c r="G626" i="3"/>
  <c r="D626" i="3"/>
  <c r="H626" i="3" s="1"/>
  <c r="H625" i="3"/>
  <c r="D625" i="3"/>
  <c r="I624" i="3"/>
  <c r="H624" i="3"/>
  <c r="G624" i="3"/>
  <c r="E623" i="3"/>
  <c r="D623" i="3"/>
  <c r="I622" i="3"/>
  <c r="G622" i="3"/>
  <c r="D622" i="3"/>
  <c r="H622" i="3" s="1"/>
  <c r="C622" i="3"/>
  <c r="I621" i="3"/>
  <c r="H621" i="3"/>
  <c r="G621" i="3"/>
  <c r="I620" i="3"/>
  <c r="H620" i="3"/>
  <c r="G620" i="3"/>
  <c r="H619" i="3"/>
  <c r="G619" i="3"/>
  <c r="I618" i="3"/>
  <c r="H618" i="3"/>
  <c r="G618" i="3"/>
  <c r="I617" i="3"/>
  <c r="H617" i="3"/>
  <c r="G617" i="3"/>
  <c r="I616" i="3"/>
  <c r="H616" i="3"/>
  <c r="G616" i="3"/>
  <c r="D616" i="3"/>
  <c r="I615" i="3"/>
  <c r="G615" i="3"/>
  <c r="G22" i="3" s="1"/>
  <c r="F615" i="3"/>
  <c r="D615" i="3"/>
  <c r="H615" i="3" s="1"/>
  <c r="C615" i="3"/>
  <c r="I613" i="3"/>
  <c r="H613" i="3"/>
  <c r="G613" i="3"/>
  <c r="I612" i="3"/>
  <c r="H612" i="3"/>
  <c r="G612" i="3"/>
  <c r="D612" i="3"/>
  <c r="D611" i="3" s="1"/>
  <c r="H611" i="3" s="1"/>
  <c r="C612" i="3"/>
  <c r="I611" i="3"/>
  <c r="I21" i="3" s="1"/>
  <c r="C611" i="3"/>
  <c r="G611" i="3" s="1"/>
  <c r="I609" i="3"/>
  <c r="D609" i="3"/>
  <c r="H609" i="3" s="1"/>
  <c r="C609" i="3"/>
  <c r="G609" i="3" s="1"/>
  <c r="I608" i="3"/>
  <c r="H608" i="3"/>
  <c r="G608" i="3"/>
  <c r="I607" i="3"/>
  <c r="H607" i="3"/>
  <c r="G607" i="3"/>
  <c r="I606" i="3"/>
  <c r="H606" i="3"/>
  <c r="G606" i="3"/>
  <c r="D606" i="3"/>
  <c r="I605" i="3"/>
  <c r="H605" i="3"/>
  <c r="G605" i="3"/>
  <c r="I604" i="3"/>
  <c r="H604" i="3"/>
  <c r="G604" i="3"/>
  <c r="I603" i="3"/>
  <c r="G603" i="3"/>
  <c r="D603" i="3"/>
  <c r="H603" i="3" s="1"/>
  <c r="I602" i="3"/>
  <c r="H602" i="3"/>
  <c r="G602" i="3"/>
  <c r="I601" i="3"/>
  <c r="G601" i="3"/>
  <c r="D601" i="3"/>
  <c r="H601" i="3" s="1"/>
  <c r="I600" i="3"/>
  <c r="H600" i="3"/>
  <c r="G600" i="3"/>
  <c r="I599" i="3"/>
  <c r="G599" i="3"/>
  <c r="F599" i="3"/>
  <c r="D599" i="3"/>
  <c r="C599" i="3"/>
  <c r="I598" i="3"/>
  <c r="G598" i="3"/>
  <c r="C598" i="3"/>
  <c r="I597" i="3"/>
  <c r="H597" i="3"/>
  <c r="G597" i="3"/>
  <c r="I596" i="3"/>
  <c r="G596" i="3"/>
  <c r="D596" i="3"/>
  <c r="H596" i="3" s="1"/>
  <c r="C596" i="3"/>
  <c r="I595" i="3"/>
  <c r="H594" i="3"/>
  <c r="G594" i="3"/>
  <c r="D594" i="3"/>
  <c r="C594" i="3"/>
  <c r="I592" i="3"/>
  <c r="H592" i="3"/>
  <c r="G592" i="3"/>
  <c r="D592" i="3"/>
  <c r="I591" i="3"/>
  <c r="F591" i="3"/>
  <c r="D591" i="3"/>
  <c r="H591" i="3" s="1"/>
  <c r="C591" i="3"/>
  <c r="G591" i="3" s="1"/>
  <c r="I590" i="3"/>
  <c r="H590" i="3"/>
  <c r="G590" i="3"/>
  <c r="I589" i="3"/>
  <c r="D589" i="3"/>
  <c r="H589" i="3" s="1"/>
  <c r="C589" i="3"/>
  <c r="G589" i="3" s="1"/>
  <c r="I588" i="3"/>
  <c r="H588" i="3"/>
  <c r="G588" i="3"/>
  <c r="H586" i="3"/>
  <c r="G586" i="3"/>
  <c r="I585" i="3"/>
  <c r="H585" i="3"/>
  <c r="F585" i="3"/>
  <c r="D585" i="3"/>
  <c r="C585" i="3"/>
  <c r="G585" i="3" s="1"/>
  <c r="G584" i="3"/>
  <c r="E584" i="3"/>
  <c r="D584" i="3"/>
  <c r="H583" i="3"/>
  <c r="G583" i="3"/>
  <c r="H582" i="3"/>
  <c r="G582" i="3"/>
  <c r="H581" i="3"/>
  <c r="G581" i="3"/>
  <c r="G580" i="3"/>
  <c r="F580" i="3"/>
  <c r="C580" i="3"/>
  <c r="I579" i="3"/>
  <c r="H579" i="3"/>
  <c r="G579" i="3"/>
  <c r="D579" i="3"/>
  <c r="I578" i="3"/>
  <c r="H578" i="3"/>
  <c r="G578" i="3"/>
  <c r="I577" i="3"/>
  <c r="H577" i="3"/>
  <c r="F577" i="3"/>
  <c r="D577" i="3"/>
  <c r="C577" i="3"/>
  <c r="I576" i="3"/>
  <c r="I575" i="3"/>
  <c r="G575" i="3"/>
  <c r="D575" i="3"/>
  <c r="H575" i="3" s="1"/>
  <c r="I574" i="3"/>
  <c r="G574" i="3"/>
  <c r="F574" i="3"/>
  <c r="D574" i="3"/>
  <c r="H574" i="3" s="1"/>
  <c r="C574" i="3"/>
  <c r="I573" i="3"/>
  <c r="I572" i="3"/>
  <c r="H572" i="3"/>
  <c r="G572" i="3"/>
  <c r="I571" i="3"/>
  <c r="H571" i="3"/>
  <c r="D571" i="3"/>
  <c r="C571" i="3"/>
  <c r="I570" i="3"/>
  <c r="H570" i="3"/>
  <c r="G570" i="3"/>
  <c r="I569" i="3"/>
  <c r="H569" i="3"/>
  <c r="G569" i="3"/>
  <c r="D569" i="3"/>
  <c r="I568" i="3"/>
  <c r="F568" i="3"/>
  <c r="D568" i="3"/>
  <c r="I567" i="3"/>
  <c r="G565" i="3"/>
  <c r="D565" i="3"/>
  <c r="H565" i="3" s="1"/>
  <c r="C565" i="3"/>
  <c r="I564" i="3"/>
  <c r="H564" i="3"/>
  <c r="G564" i="3"/>
  <c r="D564" i="3"/>
  <c r="C564" i="3"/>
  <c r="I563" i="3"/>
  <c r="G563" i="3"/>
  <c r="E563" i="3"/>
  <c r="D563" i="3"/>
  <c r="I562" i="3"/>
  <c r="F562" i="3"/>
  <c r="C562" i="3"/>
  <c r="G562" i="3" s="1"/>
  <c r="I560" i="3"/>
  <c r="H560" i="3"/>
  <c r="G560" i="3"/>
  <c r="D560" i="3"/>
  <c r="C560" i="3"/>
  <c r="H559" i="3"/>
  <c r="G559" i="3"/>
  <c r="D559" i="3"/>
  <c r="I558" i="3"/>
  <c r="H558" i="3"/>
  <c r="G558" i="3"/>
  <c r="D558" i="3"/>
  <c r="D557" i="3" s="1"/>
  <c r="H557" i="3" s="1"/>
  <c r="I557" i="3"/>
  <c r="F557" i="3"/>
  <c r="C557" i="3"/>
  <c r="G557" i="3" s="1"/>
  <c r="G555" i="3"/>
  <c r="D555" i="3"/>
  <c r="C555" i="3"/>
  <c r="H554" i="3"/>
  <c r="I553" i="3"/>
  <c r="G553" i="3"/>
  <c r="D553" i="3"/>
  <c r="I552" i="3"/>
  <c r="F552" i="3"/>
  <c r="C552" i="3"/>
  <c r="G552" i="3" s="1"/>
  <c r="I550" i="3"/>
  <c r="H550" i="3"/>
  <c r="G550" i="3"/>
  <c r="D550" i="3"/>
  <c r="C550" i="3"/>
  <c r="H549" i="3"/>
  <c r="G549" i="3"/>
  <c r="D549" i="3"/>
  <c r="H548" i="3"/>
  <c r="E548" i="3"/>
  <c r="I548" i="3" s="1"/>
  <c r="D548" i="3"/>
  <c r="C548" i="3"/>
  <c r="I547" i="3"/>
  <c r="F547" i="3"/>
  <c r="D547" i="3"/>
  <c r="H547" i="3" s="1"/>
  <c r="H545" i="3"/>
  <c r="E545" i="3"/>
  <c r="G545" i="3" s="1"/>
  <c r="D545" i="3"/>
  <c r="C545" i="3"/>
  <c r="E544" i="3"/>
  <c r="D544" i="3"/>
  <c r="C544" i="3"/>
  <c r="E543" i="3"/>
  <c r="C543" i="3"/>
  <c r="C541" i="3" s="1"/>
  <c r="I542" i="3"/>
  <c r="G542" i="3"/>
  <c r="D542" i="3"/>
  <c r="I541" i="3"/>
  <c r="F541" i="3"/>
  <c r="H539" i="3"/>
  <c r="G539" i="3"/>
  <c r="H538" i="3"/>
  <c r="G538" i="3"/>
  <c r="I537" i="3"/>
  <c r="H537" i="3"/>
  <c r="G537" i="3"/>
  <c r="I536" i="3"/>
  <c r="G536" i="3"/>
  <c r="F536" i="3"/>
  <c r="D536" i="3"/>
  <c r="H536" i="3" s="1"/>
  <c r="C536" i="3"/>
  <c r="H534" i="3"/>
  <c r="G534" i="3"/>
  <c r="I533" i="3"/>
  <c r="I532" i="3"/>
  <c r="H532" i="3"/>
  <c r="G532" i="3"/>
  <c r="I531" i="3"/>
  <c r="G531" i="3"/>
  <c r="F531" i="3"/>
  <c r="D531" i="3"/>
  <c r="H531" i="3" s="1"/>
  <c r="C531" i="3"/>
  <c r="H528" i="3"/>
  <c r="G528" i="3"/>
  <c r="I527" i="3"/>
  <c r="H527" i="3"/>
  <c r="G527" i="3"/>
  <c r="I526" i="3"/>
  <c r="F526" i="3"/>
  <c r="D526" i="3"/>
  <c r="H526" i="3" s="1"/>
  <c r="C526" i="3"/>
  <c r="G526" i="3" s="1"/>
  <c r="G524" i="3"/>
  <c r="E524" i="3"/>
  <c r="H524" i="3" s="1"/>
  <c r="D524" i="3"/>
  <c r="C524" i="3"/>
  <c r="I523" i="3"/>
  <c r="E523" i="3"/>
  <c r="G523" i="3" s="1"/>
  <c r="D523" i="3"/>
  <c r="C523" i="3"/>
  <c r="G522" i="3"/>
  <c r="E522" i="3"/>
  <c r="I522" i="3" s="1"/>
  <c r="D522" i="3"/>
  <c r="C522" i="3"/>
  <c r="I521" i="3"/>
  <c r="C521" i="3"/>
  <c r="G521" i="3" s="1"/>
  <c r="I520" i="3"/>
  <c r="F520" i="3"/>
  <c r="I519" i="3"/>
  <c r="F519" i="3"/>
  <c r="G517" i="3"/>
  <c r="D517" i="3"/>
  <c r="C516" i="3"/>
  <c r="G516" i="3" s="1"/>
  <c r="I514" i="3"/>
  <c r="H514" i="3"/>
  <c r="G514" i="3"/>
  <c r="I513" i="3"/>
  <c r="H513" i="3"/>
  <c r="G513" i="3"/>
  <c r="I512" i="3"/>
  <c r="H512" i="3"/>
  <c r="F512" i="3"/>
  <c r="D512" i="3"/>
  <c r="C512" i="3"/>
  <c r="H510" i="3"/>
  <c r="G510" i="3"/>
  <c r="I509" i="3"/>
  <c r="H509" i="3"/>
  <c r="G509" i="3"/>
  <c r="I508" i="3"/>
  <c r="H508" i="3"/>
  <c r="G508" i="3"/>
  <c r="I507" i="3"/>
  <c r="G507" i="3"/>
  <c r="D507" i="3"/>
  <c r="H507" i="3" s="1"/>
  <c r="I506" i="3"/>
  <c r="H506" i="3"/>
  <c r="G506" i="3"/>
  <c r="I505" i="3"/>
  <c r="F505" i="3"/>
  <c r="D505" i="3"/>
  <c r="C505" i="3"/>
  <c r="G505" i="3" s="1"/>
  <c r="I504" i="3"/>
  <c r="H504" i="3"/>
  <c r="G504" i="3"/>
  <c r="I503" i="3"/>
  <c r="G503" i="3"/>
  <c r="F503" i="3"/>
  <c r="C503" i="3"/>
  <c r="I501" i="3"/>
  <c r="H501" i="3"/>
  <c r="G501" i="3"/>
  <c r="I500" i="3"/>
  <c r="H500" i="3"/>
  <c r="G500" i="3"/>
  <c r="I499" i="3"/>
  <c r="G499" i="3"/>
  <c r="D499" i="3"/>
  <c r="H499" i="3" s="1"/>
  <c r="I498" i="3"/>
  <c r="H498" i="3"/>
  <c r="G498" i="3"/>
  <c r="I497" i="3"/>
  <c r="F497" i="3"/>
  <c r="D497" i="3"/>
  <c r="H497" i="3" s="1"/>
  <c r="H16" i="3" s="1"/>
  <c r="C497" i="3"/>
  <c r="G497" i="3" s="1"/>
  <c r="I495" i="3"/>
  <c r="H495" i="3"/>
  <c r="G495" i="3"/>
  <c r="I494" i="3"/>
  <c r="D494" i="3"/>
  <c r="H494" i="3" s="1"/>
  <c r="C494" i="3"/>
  <c r="G494" i="3" s="1"/>
  <c r="I492" i="3"/>
  <c r="H492" i="3"/>
  <c r="G492" i="3"/>
  <c r="I491" i="3"/>
  <c r="D491" i="3"/>
  <c r="H491" i="3" s="1"/>
  <c r="C491" i="3"/>
  <c r="G491" i="3" s="1"/>
  <c r="H490" i="3"/>
  <c r="G490" i="3"/>
  <c r="H489" i="3"/>
  <c r="D489" i="3"/>
  <c r="C489" i="3"/>
  <c r="G489" i="3" s="1"/>
  <c r="H488" i="3"/>
  <c r="D487" i="3"/>
  <c r="H487" i="3" s="1"/>
  <c r="C487" i="3"/>
  <c r="F486" i="3"/>
  <c r="D486" i="3"/>
  <c r="H486" i="3" s="1"/>
  <c r="H485" i="3"/>
  <c r="H484" i="3"/>
  <c r="G484" i="3"/>
  <c r="G483" i="3"/>
  <c r="D483" i="3"/>
  <c r="H483" i="3" s="1"/>
  <c r="H482" i="3"/>
  <c r="G482" i="3"/>
  <c r="I481" i="3"/>
  <c r="G481" i="3"/>
  <c r="F481" i="3"/>
  <c r="D481" i="3"/>
  <c r="H481" i="3" s="1"/>
  <c r="C481" i="3"/>
  <c r="H480" i="3"/>
  <c r="G480" i="3"/>
  <c r="F479" i="3"/>
  <c r="D479" i="3"/>
  <c r="H479" i="3" s="1"/>
  <c r="C479" i="3"/>
  <c r="G479" i="3" s="1"/>
  <c r="G478" i="3"/>
  <c r="D478" i="3"/>
  <c r="H478" i="3" s="1"/>
  <c r="H477" i="3"/>
  <c r="G477" i="3"/>
  <c r="H476" i="3"/>
  <c r="G476" i="3"/>
  <c r="G475" i="3"/>
  <c r="D475" i="3"/>
  <c r="G474" i="3"/>
  <c r="D474" i="3"/>
  <c r="H474" i="3" s="1"/>
  <c r="H473" i="3"/>
  <c r="D473" i="3"/>
  <c r="F472" i="3"/>
  <c r="C472" i="3"/>
  <c r="G472" i="3" s="1"/>
  <c r="I471" i="3"/>
  <c r="F471" i="3"/>
  <c r="H470" i="3"/>
  <c r="G470" i="3"/>
  <c r="H469" i="3"/>
  <c r="G469" i="3"/>
  <c r="D469" i="3"/>
  <c r="C469" i="3"/>
  <c r="H468" i="3"/>
  <c r="G468" i="3"/>
  <c r="D467" i="3"/>
  <c r="H467" i="3" s="1"/>
  <c r="C467" i="3"/>
  <c r="G467" i="3" s="1"/>
  <c r="G466" i="3"/>
  <c r="D466" i="3"/>
  <c r="H466" i="3" s="1"/>
  <c r="H465" i="3"/>
  <c r="G465" i="3"/>
  <c r="D465" i="3"/>
  <c r="H464" i="3"/>
  <c r="G464" i="3"/>
  <c r="D464" i="3"/>
  <c r="H463" i="3"/>
  <c r="G463" i="3"/>
  <c r="H462" i="3"/>
  <c r="G462" i="3"/>
  <c r="G461" i="3"/>
  <c r="D461" i="3"/>
  <c r="H461" i="3" s="1"/>
  <c r="G460" i="3"/>
  <c r="D460" i="3"/>
  <c r="H459" i="3"/>
  <c r="G459" i="3"/>
  <c r="G458" i="3"/>
  <c r="D458" i="3"/>
  <c r="H458" i="3" s="1"/>
  <c r="F457" i="3"/>
  <c r="C457" i="3"/>
  <c r="G457" i="3" s="1"/>
  <c r="H456" i="3"/>
  <c r="H455" i="3"/>
  <c r="H454" i="3"/>
  <c r="G454" i="3"/>
  <c r="H453" i="3"/>
  <c r="G453" i="3"/>
  <c r="H452" i="3"/>
  <c r="G452" i="3"/>
  <c r="H451" i="3"/>
  <c r="G451" i="3"/>
  <c r="I450" i="3"/>
  <c r="F450" i="3"/>
  <c r="D450" i="3"/>
  <c r="H450" i="3" s="1"/>
  <c r="C450" i="3"/>
  <c r="G450" i="3" s="1"/>
  <c r="H449" i="3"/>
  <c r="H448" i="3"/>
  <c r="H447" i="3"/>
  <c r="G447" i="3"/>
  <c r="H446" i="3"/>
  <c r="G446" i="3"/>
  <c r="H445" i="3"/>
  <c r="G445" i="3"/>
  <c r="H444" i="3"/>
  <c r="G444" i="3"/>
  <c r="I443" i="3"/>
  <c r="F443" i="3"/>
  <c r="D443" i="3"/>
  <c r="H443" i="3" s="1"/>
  <c r="C443" i="3"/>
  <c r="G443" i="3" s="1"/>
  <c r="H442" i="3"/>
  <c r="H441" i="3"/>
  <c r="G441" i="3"/>
  <c r="H440" i="3"/>
  <c r="G440" i="3"/>
  <c r="H439" i="3"/>
  <c r="G439" i="3"/>
  <c r="F438" i="3"/>
  <c r="D438" i="3"/>
  <c r="H438" i="3" s="1"/>
  <c r="C438" i="3"/>
  <c r="G438" i="3" s="1"/>
  <c r="I437" i="3"/>
  <c r="F437" i="3"/>
  <c r="C437" i="3"/>
  <c r="G437" i="3" s="1"/>
  <c r="H436" i="3"/>
  <c r="G436" i="3"/>
  <c r="H435" i="3"/>
  <c r="G435" i="3"/>
  <c r="F434" i="3"/>
  <c r="D434" i="3"/>
  <c r="H434" i="3" s="1"/>
  <c r="C434" i="3"/>
  <c r="G434" i="3" s="1"/>
  <c r="D433" i="3"/>
  <c r="H433" i="3" s="1"/>
  <c r="C433" i="3"/>
  <c r="G433" i="3" s="1"/>
  <c r="H432" i="3"/>
  <c r="G432" i="3"/>
  <c r="H431" i="3"/>
  <c r="G431" i="3"/>
  <c r="G430" i="3"/>
  <c r="D430" i="3"/>
  <c r="H429" i="3"/>
  <c r="G429" i="3"/>
  <c r="G428" i="3"/>
  <c r="D428" i="3"/>
  <c r="H428" i="3" s="1"/>
  <c r="F427" i="3"/>
  <c r="C427" i="3"/>
  <c r="G427" i="3" s="1"/>
  <c r="G426" i="3"/>
  <c r="C426" i="3"/>
  <c r="H425" i="3"/>
  <c r="G425" i="3"/>
  <c r="H424" i="3"/>
  <c r="G424" i="3"/>
  <c r="H423" i="3"/>
  <c r="G423" i="3"/>
  <c r="F422" i="3"/>
  <c r="D422" i="3"/>
  <c r="H422" i="3" s="1"/>
  <c r="C422" i="3"/>
  <c r="G422" i="3" s="1"/>
  <c r="H421" i="3"/>
  <c r="G421" i="3"/>
  <c r="H420" i="3"/>
  <c r="F420" i="3"/>
  <c r="D420" i="3"/>
  <c r="C420" i="3"/>
  <c r="F419" i="3"/>
  <c r="D419" i="3"/>
  <c r="H419" i="3" s="1"/>
  <c r="H418" i="3"/>
  <c r="G418" i="3"/>
  <c r="H417" i="3"/>
  <c r="G417" i="3"/>
  <c r="D417" i="3"/>
  <c r="C417" i="3"/>
  <c r="H416" i="3"/>
  <c r="G416" i="3"/>
  <c r="H415" i="3"/>
  <c r="G415" i="3"/>
  <c r="H414" i="3"/>
  <c r="G414" i="3"/>
  <c r="D414" i="3"/>
  <c r="C414" i="3"/>
  <c r="I413" i="3"/>
  <c r="F413" i="3"/>
  <c r="D413" i="3"/>
  <c r="C413" i="3"/>
  <c r="G413" i="3" s="1"/>
  <c r="H412" i="3"/>
  <c r="G412" i="3"/>
  <c r="H411" i="3"/>
  <c r="F411" i="3"/>
  <c r="D411" i="3"/>
  <c r="C411" i="3"/>
  <c r="I410" i="3"/>
  <c r="F410" i="3"/>
  <c r="G409" i="3"/>
  <c r="D409" i="3"/>
  <c r="H409" i="3" s="1"/>
  <c r="G408" i="3"/>
  <c r="D408" i="3"/>
  <c r="H407" i="3"/>
  <c r="G407" i="3"/>
  <c r="D407" i="3"/>
  <c r="G406" i="3"/>
  <c r="D406" i="3"/>
  <c r="H406" i="3" s="1"/>
  <c r="H405" i="3"/>
  <c r="G405" i="3"/>
  <c r="G404" i="3"/>
  <c r="D404" i="3"/>
  <c r="D399" i="3" s="1"/>
  <c r="D398" i="3" s="1"/>
  <c r="H398" i="3" s="1"/>
  <c r="H403" i="3"/>
  <c r="D403" i="3"/>
  <c r="H402" i="3"/>
  <c r="G402" i="3"/>
  <c r="H401" i="3"/>
  <c r="G401" i="3"/>
  <c r="H399" i="3"/>
  <c r="F399" i="3"/>
  <c r="C399" i="3"/>
  <c r="G399" i="3" s="1"/>
  <c r="H397" i="3"/>
  <c r="G397" i="3"/>
  <c r="H396" i="3"/>
  <c r="G396" i="3"/>
  <c r="I395" i="3"/>
  <c r="F395" i="3"/>
  <c r="D395" i="3"/>
  <c r="H395" i="3" s="1"/>
  <c r="C395" i="3"/>
  <c r="G395" i="3" s="1"/>
  <c r="I394" i="3"/>
  <c r="H394" i="3"/>
  <c r="G394" i="3"/>
  <c r="H393" i="3"/>
  <c r="G393" i="3"/>
  <c r="H392" i="3"/>
  <c r="G392" i="3"/>
  <c r="D391" i="3"/>
  <c r="H391" i="3" s="1"/>
  <c r="C391" i="3"/>
  <c r="G391" i="3" s="1"/>
  <c r="G390" i="3"/>
  <c r="D390" i="3"/>
  <c r="H389" i="3"/>
  <c r="G389" i="3"/>
  <c r="H388" i="3"/>
  <c r="G388" i="3"/>
  <c r="H387" i="3"/>
  <c r="G387" i="3"/>
  <c r="H386" i="3"/>
  <c r="G386" i="3"/>
  <c r="H385" i="3"/>
  <c r="D385" i="3"/>
  <c r="C385" i="3"/>
  <c r="G385" i="3" s="1"/>
  <c r="I384" i="3"/>
  <c r="H384" i="3"/>
  <c r="G384" i="3"/>
  <c r="H383" i="3"/>
  <c r="G383" i="3"/>
  <c r="H382" i="3"/>
  <c r="G382" i="3"/>
  <c r="H381" i="3"/>
  <c r="G381" i="3"/>
  <c r="H380" i="3"/>
  <c r="G380" i="3"/>
  <c r="I379" i="3"/>
  <c r="H379" i="3"/>
  <c r="G379" i="3"/>
  <c r="I378" i="3"/>
  <c r="H378" i="3"/>
  <c r="G378" i="3"/>
  <c r="I377" i="3"/>
  <c r="H377" i="3"/>
  <c r="G377" i="3"/>
  <c r="I376" i="3"/>
  <c r="H376" i="3"/>
  <c r="G376" i="3"/>
  <c r="H375" i="3"/>
  <c r="G375" i="3"/>
  <c r="H374" i="3"/>
  <c r="G374" i="3"/>
  <c r="H373" i="3"/>
  <c r="G373" i="3"/>
  <c r="H372" i="3"/>
  <c r="G372" i="3"/>
  <c r="I371" i="3"/>
  <c r="H371" i="3"/>
  <c r="G371" i="3"/>
  <c r="H370" i="3"/>
  <c r="G370" i="3"/>
  <c r="H369" i="3"/>
  <c r="G369" i="3"/>
  <c r="D369" i="3"/>
  <c r="H368" i="3"/>
  <c r="G368" i="3"/>
  <c r="H367" i="3"/>
  <c r="G367" i="3"/>
  <c r="H366" i="3"/>
  <c r="G366" i="3"/>
  <c r="D366" i="3"/>
  <c r="H365" i="3"/>
  <c r="G365" i="3"/>
  <c r="H364" i="3"/>
  <c r="G364" i="3"/>
  <c r="D364" i="3"/>
  <c r="H363" i="3"/>
  <c r="G363" i="3"/>
  <c r="D363" i="3"/>
  <c r="I362" i="3"/>
  <c r="F362" i="3"/>
  <c r="C362" i="3"/>
  <c r="I361" i="3"/>
  <c r="H361" i="3"/>
  <c r="G361" i="3"/>
  <c r="H360" i="3"/>
  <c r="G360" i="3"/>
  <c r="I359" i="3"/>
  <c r="H359" i="3"/>
  <c r="G359" i="3"/>
  <c r="H358" i="3"/>
  <c r="G358" i="3"/>
  <c r="H357" i="3"/>
  <c r="I356" i="3"/>
  <c r="H356" i="3"/>
  <c r="G356" i="3"/>
  <c r="H355" i="3"/>
  <c r="G355" i="3"/>
  <c r="D355" i="3"/>
  <c r="H354" i="3"/>
  <c r="G354" i="3"/>
  <c r="I353" i="3"/>
  <c r="G353" i="3"/>
  <c r="D353" i="3"/>
  <c r="H353" i="3" s="1"/>
  <c r="H352" i="3"/>
  <c r="H351" i="3"/>
  <c r="G351" i="3"/>
  <c r="H350" i="3"/>
  <c r="G350" i="3"/>
  <c r="I349" i="3"/>
  <c r="H349" i="3"/>
  <c r="G349" i="3"/>
  <c r="I348" i="3"/>
  <c r="G348" i="3"/>
  <c r="D348" i="3"/>
  <c r="H348" i="3" s="1"/>
  <c r="I347" i="3"/>
  <c r="F347" i="3"/>
  <c r="D347" i="3"/>
  <c r="C347" i="3"/>
  <c r="G347" i="3" s="1"/>
  <c r="I346" i="3"/>
  <c r="F346" i="3"/>
  <c r="H345" i="3"/>
  <c r="G345" i="3"/>
  <c r="I344" i="3"/>
  <c r="H344" i="3"/>
  <c r="G344" i="3"/>
  <c r="I343" i="3"/>
  <c r="H343" i="3"/>
  <c r="G343" i="3"/>
  <c r="H342" i="3"/>
  <c r="G342" i="3"/>
  <c r="H341" i="3"/>
  <c r="G341" i="3"/>
  <c r="H340" i="3"/>
  <c r="G340" i="3"/>
  <c r="H339" i="3"/>
  <c r="G339" i="3"/>
  <c r="I338" i="3"/>
  <c r="F338" i="3"/>
  <c r="D338" i="3"/>
  <c r="H338" i="3" s="1"/>
  <c r="C338" i="3"/>
  <c r="G338" i="3" s="1"/>
  <c r="H337" i="3"/>
  <c r="G337" i="3"/>
  <c r="H336" i="3"/>
  <c r="G336" i="3"/>
  <c r="I335" i="3"/>
  <c r="H335" i="3"/>
  <c r="G335" i="3"/>
  <c r="F335" i="3"/>
  <c r="D335" i="3"/>
  <c r="C335" i="3"/>
  <c r="C334" i="3" s="1"/>
  <c r="I334" i="3"/>
  <c r="F334" i="3"/>
  <c r="I333" i="3"/>
  <c r="F333" i="3"/>
  <c r="H332" i="3"/>
  <c r="D332" i="3"/>
  <c r="I331" i="3"/>
  <c r="H331" i="3"/>
  <c r="G331" i="3"/>
  <c r="D331" i="3"/>
  <c r="D330" i="3" s="1"/>
  <c r="H330" i="3" s="1"/>
  <c r="I330" i="3"/>
  <c r="G330" i="3"/>
  <c r="F330" i="3"/>
  <c r="C330" i="3"/>
  <c r="H329" i="3"/>
  <c r="G329" i="3"/>
  <c r="H328" i="3"/>
  <c r="G328" i="3"/>
  <c r="H327" i="3"/>
  <c r="F327" i="3"/>
  <c r="D327" i="3"/>
  <c r="C327" i="3"/>
  <c r="G327" i="3" s="1"/>
  <c r="H326" i="3"/>
  <c r="G326" i="3"/>
  <c r="H325" i="3"/>
  <c r="G325" i="3"/>
  <c r="D325" i="3"/>
  <c r="C325" i="3"/>
  <c r="H324" i="3"/>
  <c r="G324" i="3"/>
  <c r="H323" i="3"/>
  <c r="G323" i="3"/>
  <c r="I322" i="3"/>
  <c r="H322" i="3"/>
  <c r="G322" i="3"/>
  <c r="D321" i="3"/>
  <c r="H321" i="3" s="1"/>
  <c r="H320" i="3"/>
  <c r="G320" i="3"/>
  <c r="D320" i="3"/>
  <c r="G319" i="3"/>
  <c r="F319" i="3"/>
  <c r="C319" i="3"/>
  <c r="I318" i="3"/>
  <c r="F318" i="3"/>
  <c r="D318" i="3"/>
  <c r="H318" i="3" s="1"/>
  <c r="C318" i="3"/>
  <c r="G318" i="3" s="1"/>
  <c r="H317" i="3"/>
  <c r="G317" i="3"/>
  <c r="H316" i="3"/>
  <c r="G316" i="3"/>
  <c r="G315" i="3"/>
  <c r="D315" i="3"/>
  <c r="G314" i="3"/>
  <c r="D314" i="3"/>
  <c r="H314" i="3" s="1"/>
  <c r="H313" i="3"/>
  <c r="G313" i="3"/>
  <c r="I312" i="3"/>
  <c r="H312" i="3"/>
  <c r="G312" i="3"/>
  <c r="H311" i="3"/>
  <c r="H310" i="3"/>
  <c r="I309" i="3"/>
  <c r="F309" i="3"/>
  <c r="C309" i="3"/>
  <c r="I308" i="3"/>
  <c r="H308" i="3"/>
  <c r="G308" i="3"/>
  <c r="I307" i="3"/>
  <c r="G307" i="3"/>
  <c r="D307" i="3"/>
  <c r="H307" i="3" s="1"/>
  <c r="I306" i="3"/>
  <c r="H306" i="3"/>
  <c r="G306" i="3"/>
  <c r="H305" i="3"/>
  <c r="G305" i="3"/>
  <c r="I304" i="3"/>
  <c r="H304" i="3"/>
  <c r="G304" i="3"/>
  <c r="I303" i="3"/>
  <c r="F303" i="3"/>
  <c r="H302" i="3"/>
  <c r="G302" i="3"/>
  <c r="H301" i="3"/>
  <c r="G301" i="3"/>
  <c r="G300" i="3"/>
  <c r="D300" i="3"/>
  <c r="I299" i="3"/>
  <c r="H299" i="3"/>
  <c r="G299" i="3"/>
  <c r="I298" i="3"/>
  <c r="H298" i="3"/>
  <c r="G298" i="3"/>
  <c r="I297" i="3"/>
  <c r="H297" i="3"/>
  <c r="G297" i="3"/>
  <c r="H296" i="3"/>
  <c r="G296" i="3"/>
  <c r="H295" i="3"/>
  <c r="G295" i="3"/>
  <c r="I294" i="3"/>
  <c r="G294" i="3"/>
  <c r="F294" i="3"/>
  <c r="C294" i="3"/>
  <c r="H293" i="3"/>
  <c r="I292" i="3"/>
  <c r="G292" i="3"/>
  <c r="D292" i="3"/>
  <c r="H292" i="3" s="1"/>
  <c r="H291" i="3"/>
  <c r="G291" i="3"/>
  <c r="I290" i="3"/>
  <c r="H290" i="3"/>
  <c r="G290" i="3"/>
  <c r="G289" i="3"/>
  <c r="D289" i="3"/>
  <c r="H289" i="3" s="1"/>
  <c r="I288" i="3"/>
  <c r="H288" i="3"/>
  <c r="G288" i="3"/>
  <c r="I287" i="3"/>
  <c r="F287" i="3"/>
  <c r="C287" i="3"/>
  <c r="G287" i="3" s="1"/>
  <c r="D286" i="3"/>
  <c r="D285" i="3" s="1"/>
  <c r="H285" i="3" s="1"/>
  <c r="C285" i="3"/>
  <c r="H284" i="3"/>
  <c r="G284" i="3"/>
  <c r="I283" i="3"/>
  <c r="H283" i="3"/>
  <c r="G283" i="3"/>
  <c r="I282" i="3"/>
  <c r="H282" i="3"/>
  <c r="G282" i="3"/>
  <c r="I281" i="3"/>
  <c r="H281" i="3"/>
  <c r="F281" i="3"/>
  <c r="D281" i="3"/>
  <c r="C281" i="3"/>
  <c r="I280" i="3"/>
  <c r="F280" i="3"/>
  <c r="I279" i="3"/>
  <c r="H279" i="3"/>
  <c r="G279" i="3"/>
  <c r="I278" i="3"/>
  <c r="H278" i="3"/>
  <c r="G278" i="3"/>
  <c r="I277" i="3"/>
  <c r="H277" i="3"/>
  <c r="G277" i="3"/>
  <c r="I276" i="3"/>
  <c r="H276" i="3"/>
  <c r="G276" i="3"/>
  <c r="H275" i="3"/>
  <c r="G275" i="3"/>
  <c r="H274" i="3"/>
  <c r="G274" i="3"/>
  <c r="H273" i="3"/>
  <c r="G273" i="3"/>
  <c r="I272" i="3"/>
  <c r="H272" i="3"/>
  <c r="G272" i="3"/>
  <c r="I271" i="3"/>
  <c r="D271" i="3"/>
  <c r="H271" i="3" s="1"/>
  <c r="C271" i="3"/>
  <c r="I270" i="3"/>
  <c r="F270" i="3"/>
  <c r="H269" i="3"/>
  <c r="G269" i="3"/>
  <c r="D269" i="3"/>
  <c r="G268" i="3"/>
  <c r="D268" i="3"/>
  <c r="H267" i="3"/>
  <c r="D266" i="3"/>
  <c r="H266" i="3" s="1"/>
  <c r="F265" i="3"/>
  <c r="C265" i="3"/>
  <c r="G265" i="3" s="1"/>
  <c r="H264" i="3"/>
  <c r="G264" i="3"/>
  <c r="H263" i="3"/>
  <c r="G263" i="3"/>
  <c r="H262" i="3"/>
  <c r="G262" i="3"/>
  <c r="I261" i="3"/>
  <c r="H261" i="3"/>
  <c r="G261" i="3"/>
  <c r="H260" i="3"/>
  <c r="G260" i="3"/>
  <c r="I259" i="3"/>
  <c r="G258" i="3"/>
  <c r="D258" i="3"/>
  <c r="I256" i="3"/>
  <c r="H256" i="3"/>
  <c r="F256" i="3"/>
  <c r="D256" i="3"/>
  <c r="C256" i="3"/>
  <c r="G256" i="3" s="1"/>
  <c r="I255" i="3"/>
  <c r="G255" i="3"/>
  <c r="F255" i="3"/>
  <c r="D255" i="3"/>
  <c r="H255" i="3" s="1"/>
  <c r="C255" i="3"/>
  <c r="H254" i="3"/>
  <c r="G254" i="3"/>
  <c r="H253" i="3"/>
  <c r="G253" i="3"/>
  <c r="H252" i="3"/>
  <c r="G252" i="3"/>
  <c r="H251" i="3"/>
  <c r="G251" i="3"/>
  <c r="I250" i="3"/>
  <c r="H250" i="3"/>
  <c r="G250" i="3"/>
  <c r="D250" i="3"/>
  <c r="I249" i="3"/>
  <c r="H249" i="3"/>
  <c r="G249" i="3"/>
  <c r="I248" i="3"/>
  <c r="H248" i="3"/>
  <c r="G248" i="3"/>
  <c r="F248" i="3"/>
  <c r="H247" i="3"/>
  <c r="G247" i="3"/>
  <c r="H246" i="3"/>
  <c r="G246" i="3"/>
  <c r="H245" i="3"/>
  <c r="G245" i="3"/>
  <c r="H244" i="3"/>
  <c r="F244" i="3"/>
  <c r="D244" i="3"/>
  <c r="C244" i="3"/>
  <c r="G244" i="3" s="1"/>
  <c r="I243" i="3"/>
  <c r="F243" i="3"/>
  <c r="D243" i="3"/>
  <c r="H243" i="3" s="1"/>
  <c r="C243" i="3"/>
  <c r="G243" i="3" s="1"/>
  <c r="I242" i="3"/>
  <c r="F242" i="3"/>
  <c r="H241" i="3"/>
  <c r="G241" i="3"/>
  <c r="H240" i="3"/>
  <c r="G240" i="3"/>
  <c r="G239" i="3"/>
  <c r="F239" i="3"/>
  <c r="D239" i="3"/>
  <c r="H239" i="3" s="1"/>
  <c r="C239" i="3"/>
  <c r="H238" i="3"/>
  <c r="G238" i="3"/>
  <c r="H237" i="3"/>
  <c r="G237" i="3"/>
  <c r="I236" i="3"/>
  <c r="G236" i="3"/>
  <c r="D236" i="3"/>
  <c r="H236" i="3" s="1"/>
  <c r="I235" i="3"/>
  <c r="H235" i="3"/>
  <c r="G235" i="3"/>
  <c r="I234" i="3"/>
  <c r="H234" i="3"/>
  <c r="F234" i="3"/>
  <c r="D234" i="3"/>
  <c r="C234" i="3"/>
  <c r="G234" i="3" s="1"/>
  <c r="H233" i="3"/>
  <c r="H232" i="3"/>
  <c r="G232" i="3"/>
  <c r="H231" i="3"/>
  <c r="G231" i="3"/>
  <c r="H230" i="3"/>
  <c r="G230" i="3"/>
  <c r="D230" i="3"/>
  <c r="G229" i="3"/>
  <c r="F229" i="3"/>
  <c r="D229" i="3"/>
  <c r="H229" i="3" s="1"/>
  <c r="C229" i="3"/>
  <c r="C228" i="3" s="1"/>
  <c r="I228" i="3"/>
  <c r="F228" i="3"/>
  <c r="D228" i="3"/>
  <c r="I227" i="3"/>
  <c r="F227" i="3"/>
  <c r="I225" i="3"/>
  <c r="F225" i="3"/>
  <c r="I223" i="3"/>
  <c r="I222" i="3"/>
  <c r="D222" i="3"/>
  <c r="C222" i="3"/>
  <c r="H221" i="3"/>
  <c r="G221" i="3"/>
  <c r="H220" i="3"/>
  <c r="D220" i="3"/>
  <c r="C220" i="3"/>
  <c r="G220" i="3" s="1"/>
  <c r="I219" i="3"/>
  <c r="D219" i="3"/>
  <c r="H219" i="3" s="1"/>
  <c r="C219" i="3"/>
  <c r="I218" i="3"/>
  <c r="F218" i="3"/>
  <c r="I216" i="3"/>
  <c r="F216" i="3"/>
  <c r="H214" i="3"/>
  <c r="G214" i="3"/>
  <c r="I213" i="3"/>
  <c r="H213" i="3"/>
  <c r="G213" i="3"/>
  <c r="D213" i="3"/>
  <c r="D210" i="3" s="1"/>
  <c r="H210" i="3" s="1"/>
  <c r="H212" i="3"/>
  <c r="H211" i="3"/>
  <c r="I210" i="3"/>
  <c r="F210" i="3"/>
  <c r="C210" i="3"/>
  <c r="G210" i="3" s="1"/>
  <c r="H209" i="3"/>
  <c r="G209" i="3"/>
  <c r="G208" i="3"/>
  <c r="D208" i="3"/>
  <c r="H208" i="3" s="1"/>
  <c r="H207" i="3"/>
  <c r="G207" i="3"/>
  <c r="D207" i="3"/>
  <c r="D205" i="3" s="1"/>
  <c r="H205" i="3" s="1"/>
  <c r="H206" i="3"/>
  <c r="G206" i="3"/>
  <c r="I205" i="3"/>
  <c r="F205" i="3"/>
  <c r="C205" i="3"/>
  <c r="G205" i="3" s="1"/>
  <c r="H204" i="3"/>
  <c r="G204" i="3"/>
  <c r="D203" i="3"/>
  <c r="H203" i="3" s="1"/>
  <c r="C203" i="3"/>
  <c r="G203" i="3" s="1"/>
  <c r="E202" i="3"/>
  <c r="D202" i="3"/>
  <c r="I201" i="3"/>
  <c r="H201" i="3"/>
  <c r="I200" i="3"/>
  <c r="D200" i="3"/>
  <c r="H200" i="3" s="1"/>
  <c r="I199" i="3"/>
  <c r="H198" i="3"/>
  <c r="H197" i="3"/>
  <c r="H196" i="3"/>
  <c r="H195" i="3"/>
  <c r="I194" i="3"/>
  <c r="H194" i="3"/>
  <c r="I193" i="3"/>
  <c r="F193" i="3"/>
  <c r="D193" i="3"/>
  <c r="H193" i="3" s="1"/>
  <c r="C193" i="3"/>
  <c r="H192" i="3"/>
  <c r="G192" i="3"/>
  <c r="H191" i="3"/>
  <c r="G191" i="3"/>
  <c r="I190" i="3"/>
  <c r="H190" i="3"/>
  <c r="G190" i="3"/>
  <c r="I189" i="3"/>
  <c r="H189" i="3"/>
  <c r="G189" i="3"/>
  <c r="I188" i="3"/>
  <c r="H188" i="3"/>
  <c r="G188" i="3"/>
  <c r="H187" i="3"/>
  <c r="G187" i="3"/>
  <c r="I186" i="3"/>
  <c r="H186" i="3"/>
  <c r="G186" i="3"/>
  <c r="I185" i="3"/>
  <c r="F185" i="3"/>
  <c r="D185" i="3"/>
  <c r="H185" i="3" s="1"/>
  <c r="C185" i="3"/>
  <c r="G185" i="3" s="1"/>
  <c r="H184" i="3"/>
  <c r="G184" i="3"/>
  <c r="H183" i="3"/>
  <c r="H182" i="3"/>
  <c r="D182" i="3"/>
  <c r="H181" i="3"/>
  <c r="D181" i="3"/>
  <c r="H180" i="3"/>
  <c r="D180" i="3"/>
  <c r="H179" i="3"/>
  <c r="G179" i="3"/>
  <c r="D179" i="3"/>
  <c r="H178" i="3"/>
  <c r="H177" i="3"/>
  <c r="D177" i="3"/>
  <c r="H176" i="3"/>
  <c r="D176" i="3"/>
  <c r="I175" i="3"/>
  <c r="H175" i="3"/>
  <c r="I174" i="3"/>
  <c r="H174" i="3"/>
  <c r="I172" i="3"/>
  <c r="G172" i="3"/>
  <c r="F172" i="3"/>
  <c r="D172" i="3"/>
  <c r="H172" i="3" s="1"/>
  <c r="C172" i="3"/>
  <c r="I171" i="3"/>
  <c r="H171" i="3"/>
  <c r="G171" i="3"/>
  <c r="D171" i="3"/>
  <c r="H170" i="3"/>
  <c r="H169" i="3"/>
  <c r="I168" i="3"/>
  <c r="F168" i="3"/>
  <c r="D168" i="3"/>
  <c r="H168" i="3" s="1"/>
  <c r="C168" i="3"/>
  <c r="I167" i="3"/>
  <c r="F167" i="3"/>
  <c r="H165" i="3"/>
  <c r="G165" i="3"/>
  <c r="H164" i="3"/>
  <c r="G164" i="3"/>
  <c r="H163" i="3"/>
  <c r="G163" i="3"/>
  <c r="D163" i="3"/>
  <c r="C163" i="3"/>
  <c r="H162" i="3"/>
  <c r="I161" i="3"/>
  <c r="D161" i="3"/>
  <c r="H161" i="3" s="1"/>
  <c r="C161" i="3"/>
  <c r="H160" i="3"/>
  <c r="G160" i="3"/>
  <c r="H159" i="3"/>
  <c r="G159" i="3"/>
  <c r="H158" i="3"/>
  <c r="G158" i="3"/>
  <c r="G157" i="3"/>
  <c r="D157" i="3"/>
  <c r="H157" i="3" s="1"/>
  <c r="C157" i="3"/>
  <c r="I156" i="3"/>
  <c r="H156" i="3"/>
  <c r="G156" i="3"/>
  <c r="I155" i="3"/>
  <c r="H155" i="3"/>
  <c r="G155" i="3"/>
  <c r="I154" i="3"/>
  <c r="G154" i="3"/>
  <c r="F154" i="3"/>
  <c r="D154" i="3"/>
  <c r="H154" i="3" s="1"/>
  <c r="H5" i="3" s="1"/>
  <c r="C154" i="3"/>
  <c r="E152" i="3"/>
  <c r="I152" i="3" s="1"/>
  <c r="I151" i="3"/>
  <c r="I150" i="3"/>
  <c r="H149" i="3"/>
  <c r="G149" i="3"/>
  <c r="G148" i="3"/>
  <c r="D148" i="3"/>
  <c r="G147" i="3"/>
  <c r="D147" i="3"/>
  <c r="G146" i="3"/>
  <c r="D146" i="3"/>
  <c r="I145" i="3"/>
  <c r="H145" i="3"/>
  <c r="G145" i="3"/>
  <c r="I144" i="3"/>
  <c r="H144" i="3"/>
  <c r="G144" i="3"/>
  <c r="H143" i="3"/>
  <c r="G143" i="3"/>
  <c r="I142" i="3"/>
  <c r="H142" i="3"/>
  <c r="G142" i="3"/>
  <c r="I141" i="3"/>
  <c r="H141" i="3"/>
  <c r="G141" i="3"/>
  <c r="H140" i="3"/>
  <c r="G140" i="3"/>
  <c r="I139" i="3"/>
  <c r="G139" i="3"/>
  <c r="F139" i="3"/>
  <c r="D139" i="3"/>
  <c r="H139" i="3" s="1"/>
  <c r="C139" i="3"/>
  <c r="I138" i="3"/>
  <c r="D137" i="3"/>
  <c r="H137" i="3" s="1"/>
  <c r="I136" i="3"/>
  <c r="H136" i="3"/>
  <c r="G136" i="3"/>
  <c r="I135" i="3"/>
  <c r="H135" i="3"/>
  <c r="G135" i="3"/>
  <c r="I134" i="3"/>
  <c r="H134" i="3"/>
  <c r="G134" i="3"/>
  <c r="I133" i="3"/>
  <c r="I132" i="3"/>
  <c r="H132" i="3"/>
  <c r="G132" i="3"/>
  <c r="I131" i="3"/>
  <c r="H131" i="3"/>
  <c r="G131" i="3"/>
  <c r="I129" i="3"/>
  <c r="H129" i="3"/>
  <c r="G129" i="3"/>
  <c r="H128" i="3"/>
  <c r="G128" i="3"/>
  <c r="I127" i="3"/>
  <c r="H127" i="3"/>
  <c r="G127" i="3"/>
  <c r="I126" i="3"/>
  <c r="H126" i="3"/>
  <c r="G126" i="3"/>
  <c r="I125" i="3"/>
  <c r="H125" i="3"/>
  <c r="G125" i="3"/>
  <c r="I124" i="3"/>
  <c r="H124" i="3"/>
  <c r="G124" i="3"/>
  <c r="I123" i="3"/>
  <c r="I122" i="3"/>
  <c r="F122" i="3"/>
  <c r="D122" i="3"/>
  <c r="H122" i="3" s="1"/>
  <c r="C122" i="3"/>
  <c r="G122" i="3" s="1"/>
  <c r="I121" i="3"/>
  <c r="H121" i="3"/>
  <c r="G121" i="3"/>
  <c r="D121" i="3"/>
  <c r="I120" i="3"/>
  <c r="H120" i="3"/>
  <c r="G120" i="3"/>
  <c r="D120" i="3"/>
  <c r="H119" i="3"/>
  <c r="H118" i="3"/>
  <c r="H117" i="3"/>
  <c r="I116" i="3"/>
  <c r="D116" i="3"/>
  <c r="H116" i="3" s="1"/>
  <c r="I115" i="3"/>
  <c r="D114" i="3"/>
  <c r="H114" i="3" s="1"/>
  <c r="I112" i="3"/>
  <c r="G112" i="3"/>
  <c r="D112" i="3"/>
  <c r="H112" i="3" s="1"/>
  <c r="I111" i="3"/>
  <c r="H111" i="3"/>
  <c r="I110" i="3"/>
  <c r="H110" i="3"/>
  <c r="I109" i="3"/>
  <c r="H109" i="3"/>
  <c r="I108" i="3"/>
  <c r="D108" i="3"/>
  <c r="I107" i="3"/>
  <c r="F107" i="3"/>
  <c r="C107" i="3"/>
  <c r="G107" i="3" s="1"/>
  <c r="I106" i="3"/>
  <c r="I105" i="3"/>
  <c r="H105" i="3"/>
  <c r="G105" i="3"/>
  <c r="I104" i="3"/>
  <c r="H104" i="3"/>
  <c r="G104" i="3"/>
  <c r="I103" i="3"/>
  <c r="H103" i="3"/>
  <c r="G103" i="3"/>
  <c r="I102" i="3"/>
  <c r="H101" i="3"/>
  <c r="G101" i="3"/>
  <c r="I100" i="3"/>
  <c r="H100" i="3"/>
  <c r="G100" i="3"/>
  <c r="I98" i="3"/>
  <c r="H98" i="3"/>
  <c r="G98" i="3"/>
  <c r="I97" i="3"/>
  <c r="H97" i="3"/>
  <c r="G97" i="3"/>
  <c r="D96" i="3"/>
  <c r="H96" i="3" s="1"/>
  <c r="I95" i="3"/>
  <c r="H95" i="3"/>
  <c r="G95" i="3"/>
  <c r="D95" i="3"/>
  <c r="I94" i="3"/>
  <c r="H94" i="3"/>
  <c r="G94" i="3"/>
  <c r="I93" i="3"/>
  <c r="G93" i="3"/>
  <c r="F93" i="3"/>
  <c r="D93" i="3"/>
  <c r="H93" i="3" s="1"/>
  <c r="C93" i="3"/>
  <c r="I92" i="3"/>
  <c r="H92" i="3"/>
  <c r="G92" i="3"/>
  <c r="I91" i="3"/>
  <c r="H91" i="3"/>
  <c r="G91" i="3"/>
  <c r="I90" i="3"/>
  <c r="H90" i="3"/>
  <c r="G90" i="3"/>
  <c r="G89" i="3"/>
  <c r="D89" i="3"/>
  <c r="H89" i="3" s="1"/>
  <c r="I88" i="3"/>
  <c r="H88" i="3"/>
  <c r="G88" i="3"/>
  <c r="I87" i="3"/>
  <c r="H87" i="3"/>
  <c r="G87" i="3"/>
  <c r="I86" i="3"/>
  <c r="H86" i="3"/>
  <c r="G86" i="3"/>
  <c r="I85" i="3"/>
  <c r="H85" i="3"/>
  <c r="G85" i="3"/>
  <c r="H84" i="3"/>
  <c r="G84" i="3"/>
  <c r="I83" i="3"/>
  <c r="H83" i="3"/>
  <c r="G83" i="3"/>
  <c r="I82" i="3"/>
  <c r="I81" i="3"/>
  <c r="H81" i="3"/>
  <c r="G81" i="3"/>
  <c r="I80" i="3"/>
  <c r="F80" i="3"/>
  <c r="D80" i="3"/>
  <c r="H80" i="3" s="1"/>
  <c r="C80" i="3"/>
  <c r="G80" i="3" s="1"/>
  <c r="I79" i="3"/>
  <c r="H79" i="3"/>
  <c r="G79" i="3"/>
  <c r="I78" i="3"/>
  <c r="G78" i="3"/>
  <c r="D78" i="3"/>
  <c r="H78" i="3" s="1"/>
  <c r="C78" i="3"/>
  <c r="I77" i="3"/>
  <c r="H77" i="3"/>
  <c r="G77" i="3"/>
  <c r="I76" i="3"/>
  <c r="H76" i="3"/>
  <c r="G76" i="3"/>
  <c r="I75" i="3"/>
  <c r="H75" i="3"/>
  <c r="G75" i="3"/>
  <c r="I74" i="3"/>
  <c r="H74" i="3"/>
  <c r="G74" i="3"/>
  <c r="I73" i="3"/>
  <c r="H73" i="3"/>
  <c r="G73" i="3"/>
  <c r="I72" i="3"/>
  <c r="H72" i="3"/>
  <c r="G72" i="3"/>
  <c r="I71" i="3"/>
  <c r="H71" i="3"/>
  <c r="G71" i="3"/>
  <c r="H70" i="3"/>
  <c r="H69" i="3"/>
  <c r="I68" i="3"/>
  <c r="H68" i="3"/>
  <c r="G68" i="3"/>
  <c r="I67" i="3"/>
  <c r="H67" i="3"/>
  <c r="G67" i="3"/>
  <c r="H66" i="3"/>
  <c r="G66" i="3"/>
  <c r="I65" i="3"/>
  <c r="G65" i="3"/>
  <c r="F65" i="3"/>
  <c r="D65" i="3"/>
  <c r="H65" i="3" s="1"/>
  <c r="C65" i="3"/>
  <c r="I64" i="3"/>
  <c r="I4" i="3" s="1"/>
  <c r="F64" i="3"/>
  <c r="C64" i="3"/>
  <c r="G64" i="3" s="1"/>
  <c r="I62" i="3"/>
  <c r="H62" i="3"/>
  <c r="G62" i="3"/>
  <c r="I61" i="3"/>
  <c r="H61" i="3"/>
  <c r="G61" i="3"/>
  <c r="I60" i="3"/>
  <c r="H60" i="3"/>
  <c r="G60" i="3"/>
  <c r="I59" i="3"/>
  <c r="H59" i="3"/>
  <c r="G59" i="3"/>
  <c r="I58" i="3"/>
  <c r="H58" i="3"/>
  <c r="G58" i="3"/>
  <c r="I57" i="3"/>
  <c r="H57" i="3"/>
  <c r="G57" i="3"/>
  <c r="I56" i="3"/>
  <c r="H56" i="3"/>
  <c r="G56" i="3"/>
  <c r="I55" i="3"/>
  <c r="H55" i="3"/>
  <c r="G55" i="3"/>
  <c r="I54" i="3"/>
  <c r="H54" i="3"/>
  <c r="G54" i="3"/>
  <c r="I53" i="3"/>
  <c r="G53" i="3"/>
  <c r="F53" i="3"/>
  <c r="D53" i="3"/>
  <c r="H53" i="3" s="1"/>
  <c r="C53" i="3"/>
  <c r="I51" i="3"/>
  <c r="H51" i="3"/>
  <c r="G51" i="3"/>
  <c r="I50" i="3"/>
  <c r="H50" i="3"/>
  <c r="G50" i="3"/>
  <c r="I49" i="3"/>
  <c r="G49" i="3"/>
  <c r="D49" i="3"/>
  <c r="H49" i="3" s="1"/>
  <c r="I48" i="3"/>
  <c r="H48" i="3"/>
  <c r="G48" i="3"/>
  <c r="I47" i="3"/>
  <c r="H47" i="3"/>
  <c r="G47" i="3"/>
  <c r="I46" i="3"/>
  <c r="H46" i="3"/>
  <c r="G46" i="3"/>
  <c r="I45" i="3"/>
  <c r="H45" i="3"/>
  <c r="G45" i="3"/>
  <c r="D45" i="3"/>
  <c r="I44" i="3"/>
  <c r="H44" i="3"/>
  <c r="G44" i="3"/>
  <c r="F44" i="3"/>
  <c r="D44" i="3"/>
  <c r="C44" i="3"/>
  <c r="I43" i="3"/>
  <c r="H43" i="3"/>
  <c r="G43" i="3"/>
  <c r="I42" i="3"/>
  <c r="H42" i="3"/>
  <c r="G42" i="3"/>
  <c r="I41" i="3"/>
  <c r="H41" i="3"/>
  <c r="G41" i="3"/>
  <c r="I40" i="3"/>
  <c r="H40" i="3"/>
  <c r="G40" i="3"/>
  <c r="I39" i="3"/>
  <c r="D39" i="3"/>
  <c r="H39" i="3" s="1"/>
  <c r="C39" i="3"/>
  <c r="G39" i="3" s="1"/>
  <c r="I38" i="3"/>
  <c r="G38" i="3"/>
  <c r="D38" i="3"/>
  <c r="H38" i="3" s="1"/>
  <c r="I37" i="3"/>
  <c r="D37" i="3"/>
  <c r="H37" i="3" s="1"/>
  <c r="C37" i="3"/>
  <c r="G37" i="3" s="1"/>
  <c r="I36" i="3"/>
  <c r="G36" i="3"/>
  <c r="D36" i="3"/>
  <c r="H36" i="3" s="1"/>
  <c r="C36" i="3"/>
  <c r="I35" i="3"/>
  <c r="H35" i="3"/>
  <c r="D35" i="3"/>
  <c r="C35" i="3"/>
  <c r="G35" i="3" s="1"/>
  <c r="I34" i="3"/>
  <c r="D34" i="3"/>
  <c r="H34" i="3" s="1"/>
  <c r="C34" i="3"/>
  <c r="G34" i="3" s="1"/>
  <c r="I33" i="3"/>
  <c r="D33" i="3"/>
  <c r="C33" i="3"/>
  <c r="G33" i="3" s="1"/>
  <c r="I32" i="3"/>
  <c r="F32" i="3"/>
  <c r="I30" i="3"/>
  <c r="E30" i="3"/>
  <c r="I29" i="3"/>
  <c r="G29" i="3"/>
  <c r="E29" i="3"/>
  <c r="C29" i="3"/>
  <c r="I28" i="3"/>
  <c r="E28" i="3"/>
  <c r="I27" i="3"/>
  <c r="E27" i="3"/>
  <c r="I26" i="3"/>
  <c r="E26" i="3"/>
  <c r="I25" i="3"/>
  <c r="E25" i="3"/>
  <c r="I24" i="3"/>
  <c r="E24" i="3"/>
  <c r="I23" i="3"/>
  <c r="E23" i="3"/>
  <c r="I22" i="3"/>
  <c r="H22" i="3"/>
  <c r="E22" i="3"/>
  <c r="D22" i="3"/>
  <c r="C22" i="3"/>
  <c r="H21" i="3"/>
  <c r="G21" i="3"/>
  <c r="E21" i="3"/>
  <c r="D21" i="3"/>
  <c r="C21" i="3"/>
  <c r="I20" i="3"/>
  <c r="E20" i="3"/>
  <c r="I19" i="3"/>
  <c r="G19" i="3"/>
  <c r="E19" i="3"/>
  <c r="C19" i="3"/>
  <c r="I18" i="3"/>
  <c r="H18" i="3"/>
  <c r="E18" i="3"/>
  <c r="D18" i="3"/>
  <c r="I17" i="3"/>
  <c r="G17" i="3"/>
  <c r="E17" i="3"/>
  <c r="C17" i="3"/>
  <c r="I16" i="3"/>
  <c r="G16" i="3"/>
  <c r="E16" i="3"/>
  <c r="D16" i="3"/>
  <c r="C16" i="3"/>
  <c r="I15" i="3"/>
  <c r="H15" i="3"/>
  <c r="G15" i="3"/>
  <c r="E15" i="3"/>
  <c r="D15" i="3"/>
  <c r="C15" i="3"/>
  <c r="I14" i="3"/>
  <c r="E14" i="3"/>
  <c r="L13" i="3"/>
  <c r="K13" i="3"/>
  <c r="I13" i="3"/>
  <c r="E13" i="3"/>
  <c r="I12" i="3"/>
  <c r="H12" i="3"/>
  <c r="G12" i="3"/>
  <c r="L11" i="3"/>
  <c r="K11" i="3"/>
  <c r="I11" i="3"/>
  <c r="I9" i="3"/>
  <c r="I878" i="3" s="1"/>
  <c r="E9" i="3"/>
  <c r="E878" i="3" s="1"/>
  <c r="I8" i="3"/>
  <c r="E8" i="3"/>
  <c r="I7" i="3"/>
  <c r="E7" i="3"/>
  <c r="I6" i="3"/>
  <c r="E6" i="3"/>
  <c r="I5" i="3"/>
  <c r="G5" i="3"/>
  <c r="E5" i="3"/>
  <c r="C5" i="3"/>
  <c r="G4" i="3"/>
  <c r="E4" i="3"/>
  <c r="C4" i="3"/>
  <c r="I3" i="3"/>
  <c r="E3" i="3"/>
  <c r="C966" i="2"/>
  <c r="C964" i="2"/>
  <c r="C960" i="2"/>
  <c r="C957" i="2"/>
  <c r="C955" i="2"/>
  <c r="C949" i="2"/>
  <c r="C947" i="2" s="1"/>
  <c r="C941" i="2"/>
  <c r="C937" i="2"/>
  <c r="C936" i="2"/>
  <c r="C927" i="2"/>
  <c r="C924" i="2"/>
  <c r="C923" i="2" s="1"/>
  <c r="C913" i="2"/>
  <c r="C908" i="2" s="1"/>
  <c r="C902" i="2"/>
  <c r="C895" i="2"/>
  <c r="C893" i="2"/>
  <c r="C891" i="2"/>
  <c r="C889" i="2" s="1"/>
  <c r="C873" i="2"/>
  <c r="C868" i="2"/>
  <c r="C851" i="2"/>
  <c r="C843" i="2"/>
  <c r="C835" i="2"/>
  <c r="C833" i="2" s="1"/>
  <c r="C826" i="2"/>
  <c r="C824" i="2"/>
  <c r="C819" i="2"/>
  <c r="C817" i="2" s="1"/>
  <c r="C809" i="2" s="1"/>
  <c r="C810" i="2"/>
  <c r="C802" i="2"/>
  <c r="C796" i="2"/>
  <c r="C792" i="2"/>
  <c r="C789" i="2"/>
  <c r="C783" i="2"/>
  <c r="C773" i="2"/>
  <c r="C769" i="2"/>
  <c r="C761" i="2"/>
  <c r="C754" i="2"/>
  <c r="C747" i="2"/>
  <c r="C739" i="2"/>
  <c r="C733" i="2"/>
  <c r="C732" i="2" s="1"/>
  <c r="C718" i="2"/>
  <c r="C717" i="2"/>
  <c r="C707" i="2"/>
  <c r="C705" i="2"/>
  <c r="C703" i="2"/>
  <c r="C701" i="2"/>
  <c r="C699" i="2"/>
  <c r="C697" i="2"/>
  <c r="C694" i="2"/>
  <c r="C690" i="2"/>
  <c r="C689" i="2" s="1"/>
  <c r="C687" i="2"/>
  <c r="C685" i="2"/>
  <c r="C684" i="2"/>
  <c r="C681" i="2" s="1"/>
  <c r="C670" i="2"/>
  <c r="C662" i="2"/>
  <c r="C659" i="2"/>
  <c r="C658" i="2" s="1"/>
  <c r="C656" i="2"/>
  <c r="C646" i="2"/>
  <c r="C645" i="2"/>
  <c r="C643" i="2"/>
  <c r="C642" i="2"/>
  <c r="C638" i="2"/>
  <c r="C636" i="2"/>
  <c r="C632" i="2"/>
  <c r="C627" i="2"/>
  <c r="C624" i="2"/>
  <c r="C621" i="2"/>
  <c r="C620" i="2" s="1"/>
  <c r="C618" i="2"/>
  <c r="C615" i="2"/>
  <c r="C614" i="2"/>
  <c r="C612" i="2"/>
  <c r="C611" i="2"/>
  <c r="C609" i="2"/>
  <c r="C607" i="2"/>
  <c r="C604" i="2" s="1"/>
  <c r="C602" i="2"/>
  <c r="C599" i="2"/>
  <c r="C597" i="2"/>
  <c r="C592" i="2" s="1"/>
  <c r="C595" i="2"/>
  <c r="C591" i="2"/>
  <c r="C590" i="2"/>
  <c r="C588" i="2" s="1"/>
  <c r="C583" i="2"/>
  <c r="C578" i="2"/>
  <c r="C573" i="2"/>
  <c r="C571" i="2"/>
  <c r="C570" i="2"/>
  <c r="C569" i="2"/>
  <c r="C568" i="2" s="1"/>
  <c r="C562" i="2"/>
  <c r="C558" i="2"/>
  <c r="C551" i="2"/>
  <c r="C549" i="2" s="1"/>
  <c r="C543" i="2"/>
  <c r="C540" i="2"/>
  <c r="C537" i="2"/>
  <c r="C534" i="2"/>
  <c r="C530" i="2"/>
  <c r="C520" i="2"/>
  <c r="C517" i="2"/>
  <c r="C511" i="2"/>
  <c r="C510" i="2"/>
  <c r="C495" i="2"/>
  <c r="C485" i="2"/>
  <c r="C478" i="2"/>
  <c r="C474" i="2"/>
  <c r="C473" i="2" s="1"/>
  <c r="C470" i="2"/>
  <c r="C469" i="2" s="1"/>
  <c r="C463" i="2"/>
  <c r="C462" i="2" s="1"/>
  <c r="C458" i="2"/>
  <c r="C456" i="2"/>
  <c r="C455" i="2"/>
  <c r="C449" i="2"/>
  <c r="C447" i="2"/>
  <c r="C446" i="2" s="1"/>
  <c r="C436" i="2"/>
  <c r="C435" i="2" s="1"/>
  <c r="C430" i="2"/>
  <c r="C384" i="2"/>
  <c r="C365" i="2"/>
  <c r="C364" i="2" s="1"/>
  <c r="C356" i="2"/>
  <c r="C352" i="2"/>
  <c r="C351" i="2"/>
  <c r="C350" i="2" s="1"/>
  <c r="C347" i="2"/>
  <c r="C344" i="2"/>
  <c r="C342" i="2"/>
  <c r="C335" i="2"/>
  <c r="C334" i="2"/>
  <c r="C327" i="2"/>
  <c r="C321" i="2"/>
  <c r="C312" i="2"/>
  <c r="C305" i="2"/>
  <c r="C301" i="2"/>
  <c r="C300" i="2"/>
  <c r="C291" i="2"/>
  <c r="C290" i="2" s="1"/>
  <c r="C285" i="2"/>
  <c r="C276" i="2"/>
  <c r="C273" i="2"/>
  <c r="C272" i="2"/>
  <c r="C260" i="2"/>
  <c r="C259" i="2"/>
  <c r="C258" i="2" s="1"/>
  <c r="C255" i="2"/>
  <c r="C250" i="2"/>
  <c r="C246" i="2"/>
  <c r="C245" i="2" s="1"/>
  <c r="C239" i="2"/>
  <c r="C234" i="2" s="1"/>
  <c r="C237" i="2"/>
  <c r="C235" i="2"/>
  <c r="C224" i="2"/>
  <c r="C214" i="2"/>
  <c r="C209" i="2"/>
  <c r="C200" i="2"/>
  <c r="C190" i="2"/>
  <c r="C181" i="2"/>
  <c r="C176" i="2"/>
  <c r="C175" i="2"/>
  <c r="C166" i="2"/>
  <c r="C163" i="2"/>
  <c r="C154" i="2"/>
  <c r="C151" i="2"/>
  <c r="C133" i="2"/>
  <c r="C119" i="2"/>
  <c r="C103" i="2"/>
  <c r="C91" i="2"/>
  <c r="C78" i="2"/>
  <c r="C76" i="2"/>
  <c r="C66" i="2"/>
  <c r="C65" i="2"/>
  <c r="C53" i="2"/>
  <c r="C44" i="2"/>
  <c r="C39" i="2"/>
  <c r="C37" i="2"/>
  <c r="C36" i="2"/>
  <c r="C35" i="2"/>
  <c r="C34" i="2"/>
  <c r="C33" i="2"/>
  <c r="C32" i="2" s="1"/>
  <c r="C232" i="2" s="1"/>
  <c r="C242" i="2" s="1"/>
  <c r="C28" i="2"/>
  <c r="C26" i="2"/>
  <c r="C24" i="2"/>
  <c r="C20" i="2"/>
  <c r="C14" i="2"/>
  <c r="C13" i="2"/>
  <c r="C30" i="2" s="1"/>
  <c r="C11" i="2" s="1"/>
  <c r="C7" i="2"/>
  <c r="C9" i="2" s="1"/>
  <c r="G921" i="1"/>
  <c r="C920" i="1"/>
  <c r="G919" i="1"/>
  <c r="F919" i="1"/>
  <c r="E919" i="1"/>
  <c r="D919" i="1"/>
  <c r="C919" i="1"/>
  <c r="G913" i="1"/>
  <c r="F913" i="1"/>
  <c r="E913" i="1"/>
  <c r="D913" i="1"/>
  <c r="C913" i="1"/>
  <c r="G910" i="1"/>
  <c r="F910" i="1"/>
  <c r="E910" i="1"/>
  <c r="D910" i="1"/>
  <c r="D899" i="1" s="1"/>
  <c r="D49" i="1" s="1"/>
  <c r="C910" i="1"/>
  <c r="C907" i="1"/>
  <c r="G906" i="1"/>
  <c r="F906" i="1"/>
  <c r="E906" i="1"/>
  <c r="D906" i="1"/>
  <c r="C906" i="1"/>
  <c r="F902" i="1"/>
  <c r="E902" i="1"/>
  <c r="D902" i="1"/>
  <c r="G901" i="1"/>
  <c r="F901" i="1"/>
  <c r="F899" i="1" s="1"/>
  <c r="F49" i="1" s="1"/>
  <c r="E901" i="1"/>
  <c r="D901" i="1"/>
  <c r="C901" i="1"/>
  <c r="G899" i="1"/>
  <c r="E899" i="1"/>
  <c r="C899" i="1"/>
  <c r="C49" i="1" s="1"/>
  <c r="G891" i="1"/>
  <c r="F891" i="1"/>
  <c r="E891" i="1"/>
  <c r="D891" i="1"/>
  <c r="C891" i="1"/>
  <c r="F886" i="1"/>
  <c r="E886" i="1"/>
  <c r="D886" i="1"/>
  <c r="D885" i="1" s="1"/>
  <c r="D47" i="1" s="1"/>
  <c r="C886" i="1"/>
  <c r="G885" i="1"/>
  <c r="F885" i="1"/>
  <c r="E885" i="1"/>
  <c r="E47" i="1" s="1"/>
  <c r="C885" i="1"/>
  <c r="C880" i="1"/>
  <c r="G879" i="1"/>
  <c r="F879" i="1"/>
  <c r="E879" i="1"/>
  <c r="D879" i="1"/>
  <c r="C879" i="1"/>
  <c r="D878" i="1"/>
  <c r="G876" i="1"/>
  <c r="G875" i="1" s="1"/>
  <c r="F876" i="1"/>
  <c r="E876" i="1"/>
  <c r="E875" i="1" s="1"/>
  <c r="D876" i="1"/>
  <c r="C876" i="1"/>
  <c r="C875" i="1" s="1"/>
  <c r="F875" i="1"/>
  <c r="D875" i="1"/>
  <c r="E872" i="1"/>
  <c r="D872" i="1"/>
  <c r="C872" i="1"/>
  <c r="D862" i="1"/>
  <c r="D861" i="1"/>
  <c r="D854" i="1" s="1"/>
  <c r="D849" i="1" s="1"/>
  <c r="D860" i="1"/>
  <c r="D858" i="1"/>
  <c r="G854" i="1"/>
  <c r="F854" i="1"/>
  <c r="F849" i="1" s="1"/>
  <c r="E854" i="1"/>
  <c r="C854" i="1"/>
  <c r="G849" i="1"/>
  <c r="E849" i="1"/>
  <c r="C849" i="1"/>
  <c r="D848" i="1"/>
  <c r="C848" i="1"/>
  <c r="D847" i="1"/>
  <c r="D845" i="1"/>
  <c r="D843" i="1" s="1"/>
  <c r="D844" i="1"/>
  <c r="G843" i="1"/>
  <c r="F843" i="1"/>
  <c r="E843" i="1"/>
  <c r="C843" i="1"/>
  <c r="D842" i="1"/>
  <c r="D836" i="1"/>
  <c r="D831" i="1" s="1"/>
  <c r="D829" i="1" s="1"/>
  <c r="D835" i="1"/>
  <c r="C835" i="1"/>
  <c r="D833" i="1"/>
  <c r="G831" i="1"/>
  <c r="G829" i="1" s="1"/>
  <c r="F831" i="1"/>
  <c r="E831" i="1"/>
  <c r="C831" i="1"/>
  <c r="C829" i="1" s="1"/>
  <c r="F829" i="1"/>
  <c r="E829" i="1"/>
  <c r="D821" i="1"/>
  <c r="C821" i="1"/>
  <c r="G820" i="1"/>
  <c r="G818" i="1" s="1"/>
  <c r="F820" i="1"/>
  <c r="E820" i="1"/>
  <c r="D820" i="1"/>
  <c r="C820" i="1"/>
  <c r="C818" i="1" s="1"/>
  <c r="C816" i="1" s="1"/>
  <c r="C782" i="1" s="1"/>
  <c r="F818" i="1"/>
  <c r="E818" i="1"/>
  <c r="D818" i="1"/>
  <c r="F816" i="1"/>
  <c r="E816" i="1"/>
  <c r="E782" i="1" s="1"/>
  <c r="F811" i="1"/>
  <c r="D811" i="1"/>
  <c r="D803" i="1" s="1"/>
  <c r="D808" i="1"/>
  <c r="C808" i="1"/>
  <c r="D805" i="1"/>
  <c r="G803" i="1"/>
  <c r="F803" i="1"/>
  <c r="E803" i="1"/>
  <c r="C803" i="1"/>
  <c r="G798" i="1"/>
  <c r="F798" i="1"/>
  <c r="E798" i="1"/>
  <c r="D798" i="1"/>
  <c r="C798" i="1"/>
  <c r="D790" i="1"/>
  <c r="D787" i="1"/>
  <c r="D786" i="1"/>
  <c r="D783" i="1" s="1"/>
  <c r="D784" i="1"/>
  <c r="C784" i="1"/>
  <c r="G783" i="1"/>
  <c r="F783" i="1"/>
  <c r="F782" i="1" s="1"/>
  <c r="E783" i="1"/>
  <c r="C783" i="1"/>
  <c r="F779" i="1"/>
  <c r="D778" i="1"/>
  <c r="D776" i="1"/>
  <c r="D773" i="1"/>
  <c r="D768" i="1" s="1"/>
  <c r="D772" i="1"/>
  <c r="D771" i="1"/>
  <c r="D770" i="1"/>
  <c r="G768" i="1"/>
  <c r="G766" i="1" s="1"/>
  <c r="F768" i="1"/>
  <c r="E768" i="1"/>
  <c r="C768" i="1"/>
  <c r="C766" i="1" s="1"/>
  <c r="F766" i="1"/>
  <c r="E766" i="1"/>
  <c r="D766" i="1"/>
  <c r="F764" i="1"/>
  <c r="E764" i="1"/>
  <c r="D764" i="1"/>
  <c r="C764" i="1"/>
  <c r="D760" i="1"/>
  <c r="F759" i="1"/>
  <c r="G758" i="1"/>
  <c r="G756" i="1" s="1"/>
  <c r="G746" i="1" s="1"/>
  <c r="G734" i="1" s="1"/>
  <c r="E758" i="1"/>
  <c r="D758" i="1"/>
  <c r="C758" i="1"/>
  <c r="C756" i="1" s="1"/>
  <c r="D757" i="1"/>
  <c r="D756" i="1" s="1"/>
  <c r="F756" i="1"/>
  <c r="E756" i="1"/>
  <c r="G753" i="1"/>
  <c r="F753" i="1"/>
  <c r="D753" i="1"/>
  <c r="D751" i="1" s="1"/>
  <c r="C753" i="1"/>
  <c r="G751" i="1"/>
  <c r="F751" i="1"/>
  <c r="E751" i="1"/>
  <c r="E746" i="1" s="1"/>
  <c r="E734" i="1" s="1"/>
  <c r="E702" i="1" s="1"/>
  <c r="C751" i="1"/>
  <c r="G747" i="1"/>
  <c r="F747" i="1"/>
  <c r="F746" i="1" s="1"/>
  <c r="F734" i="1" s="1"/>
  <c r="E747" i="1"/>
  <c r="D747" i="1"/>
  <c r="C747" i="1"/>
  <c r="C746" i="1"/>
  <c r="C738" i="1"/>
  <c r="D737" i="1"/>
  <c r="D736" i="1"/>
  <c r="C736" i="1"/>
  <c r="C735" i="1" s="1"/>
  <c r="C734" i="1" s="1"/>
  <c r="G735" i="1"/>
  <c r="F735" i="1"/>
  <c r="E735" i="1"/>
  <c r="D735" i="1"/>
  <c r="G730" i="1"/>
  <c r="F730" i="1"/>
  <c r="F722" i="1" s="1"/>
  <c r="D730" i="1"/>
  <c r="C730" i="1"/>
  <c r="D727" i="1"/>
  <c r="C727" i="1"/>
  <c r="G726" i="1"/>
  <c r="F726" i="1"/>
  <c r="D726" i="1"/>
  <c r="C726" i="1"/>
  <c r="C722" i="1" s="1"/>
  <c r="D724" i="1"/>
  <c r="G723" i="1"/>
  <c r="F723" i="1"/>
  <c r="D723" i="1"/>
  <c r="D722" i="1" s="1"/>
  <c r="C723" i="1"/>
  <c r="G722" i="1"/>
  <c r="E722" i="1"/>
  <c r="E704" i="1" s="1"/>
  <c r="D719" i="1"/>
  <c r="C719" i="1"/>
  <c r="C718" i="1" s="1"/>
  <c r="G718" i="1"/>
  <c r="F718" i="1"/>
  <c r="E718" i="1"/>
  <c r="D718" i="1"/>
  <c r="D712" i="1"/>
  <c r="G711" i="1"/>
  <c r="F711" i="1"/>
  <c r="E711" i="1"/>
  <c r="D711" i="1"/>
  <c r="C711" i="1"/>
  <c r="D708" i="1"/>
  <c r="D706" i="1" s="1"/>
  <c r="E707" i="1"/>
  <c r="D707" i="1"/>
  <c r="G706" i="1"/>
  <c r="F706" i="1"/>
  <c r="F705" i="1" s="1"/>
  <c r="F704" i="1" s="1"/>
  <c r="E706" i="1"/>
  <c r="C706" i="1"/>
  <c r="G705" i="1"/>
  <c r="G704" i="1" s="1"/>
  <c r="E705" i="1"/>
  <c r="C705" i="1"/>
  <c r="C704" i="1" s="1"/>
  <c r="G698" i="1"/>
  <c r="D697" i="1"/>
  <c r="D694" i="1" s="1"/>
  <c r="D679" i="1" s="1"/>
  <c r="D45" i="1" s="1"/>
  <c r="D696" i="1"/>
  <c r="G694" i="1"/>
  <c r="F694" i="1"/>
  <c r="E694" i="1"/>
  <c r="C694" i="1"/>
  <c r="D690" i="1"/>
  <c r="G689" i="1"/>
  <c r="G687" i="1" s="1"/>
  <c r="G679" i="1" s="1"/>
  <c r="G45" i="1" s="1"/>
  <c r="D688" i="1"/>
  <c r="F687" i="1"/>
  <c r="E687" i="1"/>
  <c r="E679" i="1" s="1"/>
  <c r="E45" i="1" s="1"/>
  <c r="D687" i="1"/>
  <c r="C687" i="1"/>
  <c r="F679" i="1"/>
  <c r="F45" i="1" s="1"/>
  <c r="C679" i="1"/>
  <c r="E677" i="1"/>
  <c r="E44" i="1" s="1"/>
  <c r="E676" i="1"/>
  <c r="E675" i="1"/>
  <c r="G674" i="1"/>
  <c r="G673" i="1" s="1"/>
  <c r="G41" i="1" s="1"/>
  <c r="E674" i="1"/>
  <c r="E673" i="1" s="1"/>
  <c r="C674" i="1"/>
  <c r="C673" i="1"/>
  <c r="C41" i="1" s="1"/>
  <c r="G663" i="1"/>
  <c r="F663" i="1"/>
  <c r="E663" i="1"/>
  <c r="D663" i="1"/>
  <c r="D662" i="1" s="1"/>
  <c r="D40" i="1" s="1"/>
  <c r="C663" i="1"/>
  <c r="G662" i="1"/>
  <c r="F662" i="1"/>
  <c r="E662" i="1"/>
  <c r="E40" i="1" s="1"/>
  <c r="C662" i="1"/>
  <c r="G655" i="1"/>
  <c r="F655" i="1"/>
  <c r="E655" i="1"/>
  <c r="D655" i="1"/>
  <c r="C655" i="1"/>
  <c r="G653" i="1"/>
  <c r="F653" i="1"/>
  <c r="E653" i="1"/>
  <c r="D653" i="1"/>
  <c r="C653" i="1"/>
  <c r="G651" i="1"/>
  <c r="F651" i="1"/>
  <c r="E651" i="1"/>
  <c r="D651" i="1"/>
  <c r="C651" i="1"/>
  <c r="G649" i="1"/>
  <c r="F649" i="1"/>
  <c r="E649" i="1"/>
  <c r="D649" i="1"/>
  <c r="C649" i="1"/>
  <c r="G646" i="1"/>
  <c r="F646" i="1"/>
  <c r="F634" i="1" s="1"/>
  <c r="E646" i="1"/>
  <c r="D646" i="1"/>
  <c r="C646" i="1"/>
  <c r="G644" i="1"/>
  <c r="G634" i="1" s="1"/>
  <c r="F644" i="1"/>
  <c r="E644" i="1"/>
  <c r="D644" i="1"/>
  <c r="C644" i="1"/>
  <c r="C634" i="1" s="1"/>
  <c r="C633" i="1" s="1"/>
  <c r="C38" i="1" s="1"/>
  <c r="G642" i="1"/>
  <c r="F642" i="1"/>
  <c r="E642" i="1"/>
  <c r="D642" i="1"/>
  <c r="D634" i="1" s="1"/>
  <c r="C642" i="1"/>
  <c r="G638" i="1"/>
  <c r="F638" i="1"/>
  <c r="E638" i="1"/>
  <c r="E634" i="1" s="1"/>
  <c r="D638" i="1"/>
  <c r="C638" i="1"/>
  <c r="G633" i="1"/>
  <c r="G38" i="1" s="1"/>
  <c r="G630" i="1"/>
  <c r="C630" i="1"/>
  <c r="C629" i="1"/>
  <c r="C628" i="1"/>
  <c r="C627" i="1" s="1"/>
  <c r="C625" i="1" s="1"/>
  <c r="C37" i="1" s="1"/>
  <c r="G627" i="1"/>
  <c r="F627" i="1"/>
  <c r="E627" i="1"/>
  <c r="D627" i="1"/>
  <c r="D625" i="1" s="1"/>
  <c r="D37" i="1" s="1"/>
  <c r="C626" i="1"/>
  <c r="G625" i="1"/>
  <c r="F625" i="1"/>
  <c r="F37" i="1" s="1"/>
  <c r="E625" i="1"/>
  <c r="C623" i="1"/>
  <c r="C622" i="1"/>
  <c r="G619" i="1"/>
  <c r="C619" i="1"/>
  <c r="C618" i="1"/>
  <c r="C617" i="1"/>
  <c r="C616" i="1"/>
  <c r="G615" i="1"/>
  <c r="G614" i="1" s="1"/>
  <c r="G608" i="1" s="1"/>
  <c r="G36" i="1" s="1"/>
  <c r="C615" i="1"/>
  <c r="C614" i="1" s="1"/>
  <c r="F614" i="1"/>
  <c r="E614" i="1"/>
  <c r="D614" i="1"/>
  <c r="D608" i="1" s="1"/>
  <c r="D36" i="1" s="1"/>
  <c r="C613" i="1"/>
  <c r="C611" i="1"/>
  <c r="C610" i="1"/>
  <c r="C609" i="1"/>
  <c r="F608" i="1"/>
  <c r="E608" i="1"/>
  <c r="E36" i="1" s="1"/>
  <c r="G606" i="1"/>
  <c r="G605" i="1" s="1"/>
  <c r="C606" i="1"/>
  <c r="C605" i="1" s="1"/>
  <c r="G604" i="1"/>
  <c r="C604" i="1"/>
  <c r="G603" i="1"/>
  <c r="C603" i="1"/>
  <c r="G591" i="1"/>
  <c r="F591" i="1"/>
  <c r="F590" i="1" s="1"/>
  <c r="E591" i="1"/>
  <c r="D591" i="1"/>
  <c r="C591" i="1"/>
  <c r="G590" i="1"/>
  <c r="E590" i="1"/>
  <c r="D590" i="1"/>
  <c r="C590" i="1"/>
  <c r="G588" i="1"/>
  <c r="F588" i="1"/>
  <c r="E588" i="1"/>
  <c r="D588" i="1"/>
  <c r="C588" i="1"/>
  <c r="G587" i="1"/>
  <c r="C584" i="1"/>
  <c r="G583" i="1"/>
  <c r="G581" i="1" s="1"/>
  <c r="F583" i="1"/>
  <c r="E583" i="1"/>
  <c r="D583" i="1"/>
  <c r="C583" i="1"/>
  <c r="C581" i="1" s="1"/>
  <c r="C565" i="1" s="1"/>
  <c r="F581" i="1"/>
  <c r="E581" i="1"/>
  <c r="D581" i="1"/>
  <c r="G578" i="1"/>
  <c r="F578" i="1"/>
  <c r="E578" i="1"/>
  <c r="D578" i="1"/>
  <c r="C578" i="1"/>
  <c r="C577" i="1"/>
  <c r="G573" i="1"/>
  <c r="F573" i="1"/>
  <c r="E573" i="1"/>
  <c r="D573" i="1"/>
  <c r="C573" i="1"/>
  <c r="G571" i="1"/>
  <c r="G570" i="1"/>
  <c r="F570" i="1"/>
  <c r="E570" i="1"/>
  <c r="E565" i="1" s="1"/>
  <c r="D570" i="1"/>
  <c r="C570" i="1"/>
  <c r="C569" i="1"/>
  <c r="G568" i="1"/>
  <c r="G566" i="1" s="1"/>
  <c r="G565" i="1" s="1"/>
  <c r="C568" i="1"/>
  <c r="C567" i="1"/>
  <c r="F566" i="1"/>
  <c r="F565" i="1" s="1"/>
  <c r="E566" i="1"/>
  <c r="D566" i="1"/>
  <c r="C566" i="1"/>
  <c r="G563" i="1"/>
  <c r="C563" i="1"/>
  <c r="C562" i="1"/>
  <c r="C561" i="1"/>
  <c r="C560" i="1" s="1"/>
  <c r="C559" i="1" s="1"/>
  <c r="G560" i="1"/>
  <c r="F560" i="1"/>
  <c r="E560" i="1"/>
  <c r="D560" i="1"/>
  <c r="D559" i="1" s="1"/>
  <c r="G559" i="1"/>
  <c r="F559" i="1"/>
  <c r="E559" i="1"/>
  <c r="G557" i="1"/>
  <c r="G554" i="1" s="1"/>
  <c r="C557" i="1"/>
  <c r="C555" i="1"/>
  <c r="F554" i="1"/>
  <c r="E554" i="1"/>
  <c r="D554" i="1"/>
  <c r="G552" i="1"/>
  <c r="G551" i="1"/>
  <c r="C550" i="1"/>
  <c r="F549" i="1"/>
  <c r="E549" i="1"/>
  <c r="D549" i="1"/>
  <c r="C549" i="1"/>
  <c r="C545" i="1"/>
  <c r="G544" i="1"/>
  <c r="F544" i="1"/>
  <c r="E544" i="1"/>
  <c r="D544" i="1"/>
  <c r="C544" i="1"/>
  <c r="G542" i="1"/>
  <c r="C542" i="1"/>
  <c r="C540" i="1"/>
  <c r="G539" i="1"/>
  <c r="F539" i="1"/>
  <c r="E539" i="1"/>
  <c r="D539" i="1"/>
  <c r="C539" i="1"/>
  <c r="G537" i="1"/>
  <c r="F537" i="1"/>
  <c r="E537" i="1"/>
  <c r="D537" i="1"/>
  <c r="D533" i="1" s="1"/>
  <c r="F536" i="1"/>
  <c r="E536" i="1"/>
  <c r="E533" i="1" s="1"/>
  <c r="D536" i="1"/>
  <c r="C536" i="1"/>
  <c r="G535" i="1"/>
  <c r="F535" i="1"/>
  <c r="F533" i="1" s="1"/>
  <c r="E535" i="1"/>
  <c r="D535" i="1"/>
  <c r="C535" i="1"/>
  <c r="C534" i="1"/>
  <c r="C531" i="1"/>
  <c r="G530" i="1"/>
  <c r="G528" i="1" s="1"/>
  <c r="C530" i="1"/>
  <c r="C529" i="1"/>
  <c r="F528" i="1"/>
  <c r="E528" i="1"/>
  <c r="D528" i="1"/>
  <c r="C524" i="1"/>
  <c r="G523" i="1"/>
  <c r="F523" i="1"/>
  <c r="E523" i="1"/>
  <c r="D523" i="1"/>
  <c r="C523" i="1"/>
  <c r="G521" i="1"/>
  <c r="G520" i="1"/>
  <c r="G518" i="1" s="1"/>
  <c r="C520" i="1"/>
  <c r="C519" i="1"/>
  <c r="C518" i="1" s="1"/>
  <c r="F518" i="1"/>
  <c r="E518" i="1"/>
  <c r="D518" i="1"/>
  <c r="G516" i="1"/>
  <c r="F516" i="1"/>
  <c r="E516" i="1"/>
  <c r="E513" i="1" s="1"/>
  <c r="E512" i="1" s="1"/>
  <c r="D516" i="1"/>
  <c r="C516" i="1"/>
  <c r="G515" i="1"/>
  <c r="F515" i="1"/>
  <c r="F513" i="1" s="1"/>
  <c r="F512" i="1" s="1"/>
  <c r="F32" i="1" s="1"/>
  <c r="E515" i="1"/>
  <c r="D515" i="1"/>
  <c r="G514" i="1"/>
  <c r="G513" i="1" s="1"/>
  <c r="F514" i="1"/>
  <c r="E514" i="1"/>
  <c r="D514" i="1"/>
  <c r="D513" i="1"/>
  <c r="F511" i="1"/>
  <c r="F31" i="1" s="1"/>
  <c r="G507" i="1"/>
  <c r="G30" i="1" s="1"/>
  <c r="F507" i="1"/>
  <c r="E507" i="1"/>
  <c r="D507" i="1"/>
  <c r="C507" i="1"/>
  <c r="C30" i="1" s="1"/>
  <c r="G503" i="1"/>
  <c r="E503" i="1"/>
  <c r="C503" i="1"/>
  <c r="G496" i="1"/>
  <c r="G492" i="1" s="1"/>
  <c r="E496" i="1"/>
  <c r="D496" i="1"/>
  <c r="C496" i="1"/>
  <c r="C493" i="1"/>
  <c r="C492" i="1" s="1"/>
  <c r="F492" i="1"/>
  <c r="E492" i="1"/>
  <c r="D492" i="1"/>
  <c r="D28" i="1" s="1"/>
  <c r="C490" i="1"/>
  <c r="C487" i="1"/>
  <c r="G486" i="1"/>
  <c r="E486" i="1"/>
  <c r="C486" i="1"/>
  <c r="G481" i="1"/>
  <c r="F481" i="1"/>
  <c r="E481" i="1"/>
  <c r="D481" i="1"/>
  <c r="C481" i="1"/>
  <c r="G476" i="1"/>
  <c r="F476" i="1"/>
  <c r="E476" i="1"/>
  <c r="D476" i="1"/>
  <c r="C476" i="1"/>
  <c r="G472" i="1"/>
  <c r="F472" i="1"/>
  <c r="E472" i="1"/>
  <c r="D472" i="1"/>
  <c r="C472" i="1"/>
  <c r="G469" i="1"/>
  <c r="F469" i="1"/>
  <c r="E469" i="1"/>
  <c r="D469" i="1"/>
  <c r="C469" i="1"/>
  <c r="G455" i="1"/>
  <c r="F455" i="1"/>
  <c r="F445" i="1" s="1"/>
  <c r="E455" i="1"/>
  <c r="D455" i="1"/>
  <c r="C455" i="1"/>
  <c r="G449" i="1"/>
  <c r="G445" i="1" s="1"/>
  <c r="F449" i="1"/>
  <c r="E449" i="1"/>
  <c r="D449" i="1"/>
  <c r="C449" i="1"/>
  <c r="C445" i="1" s="1"/>
  <c r="G446" i="1"/>
  <c r="F446" i="1"/>
  <c r="E446" i="1"/>
  <c r="D446" i="1"/>
  <c r="D445" i="1" s="1"/>
  <c r="C446" i="1"/>
  <c r="E445" i="1"/>
  <c r="G435" i="1"/>
  <c r="F435" i="1"/>
  <c r="F432" i="1" s="1"/>
  <c r="E435" i="1"/>
  <c r="D435" i="1"/>
  <c r="C435" i="1"/>
  <c r="G433" i="1"/>
  <c r="G432" i="1" s="1"/>
  <c r="F433" i="1"/>
  <c r="E433" i="1"/>
  <c r="E432" i="1" s="1"/>
  <c r="D433" i="1"/>
  <c r="C433" i="1"/>
  <c r="C432" i="1" s="1"/>
  <c r="D432" i="1"/>
  <c r="D23" i="1" s="1"/>
  <c r="G427" i="1"/>
  <c r="F427" i="1"/>
  <c r="E427" i="1"/>
  <c r="D427" i="1"/>
  <c r="C427" i="1"/>
  <c r="G392" i="1"/>
  <c r="F392" i="1"/>
  <c r="F370" i="1" s="1"/>
  <c r="E392" i="1"/>
  <c r="D392" i="1"/>
  <c r="C392" i="1"/>
  <c r="G383" i="1"/>
  <c r="G371" i="1" s="1"/>
  <c r="G370" i="1" s="1"/>
  <c r="F371" i="1"/>
  <c r="E371" i="1"/>
  <c r="D371" i="1"/>
  <c r="D370" i="1" s="1"/>
  <c r="C371" i="1"/>
  <c r="E370" i="1"/>
  <c r="E22" i="1" s="1"/>
  <c r="C370" i="1"/>
  <c r="G368" i="1"/>
  <c r="F368" i="1"/>
  <c r="F355" i="1" s="1"/>
  <c r="E368" i="1"/>
  <c r="D368" i="1"/>
  <c r="C368" i="1"/>
  <c r="G361" i="1"/>
  <c r="G355" i="1" s="1"/>
  <c r="G354" i="1" s="1"/>
  <c r="F361" i="1"/>
  <c r="E361" i="1"/>
  <c r="D361" i="1"/>
  <c r="C361" i="1"/>
  <c r="C355" i="1" s="1"/>
  <c r="C354" i="1" s="1"/>
  <c r="G356" i="1"/>
  <c r="F356" i="1"/>
  <c r="E356" i="1"/>
  <c r="D356" i="1"/>
  <c r="D355" i="1" s="1"/>
  <c r="C356" i="1"/>
  <c r="E355" i="1"/>
  <c r="F354" i="1"/>
  <c r="G351" i="1"/>
  <c r="F351" i="1"/>
  <c r="E351" i="1"/>
  <c r="D351" i="1"/>
  <c r="C351" i="1"/>
  <c r="G348" i="1"/>
  <c r="F348" i="1"/>
  <c r="E348" i="1"/>
  <c r="D348" i="1"/>
  <c r="C348" i="1"/>
  <c r="G339" i="1"/>
  <c r="F339" i="1"/>
  <c r="E339" i="1"/>
  <c r="E338" i="1" s="1"/>
  <c r="D339" i="1"/>
  <c r="C339" i="1"/>
  <c r="G338" i="1"/>
  <c r="F338" i="1"/>
  <c r="D338" i="1"/>
  <c r="C338" i="1"/>
  <c r="G333" i="1"/>
  <c r="F333" i="1"/>
  <c r="E333" i="1"/>
  <c r="D333" i="1"/>
  <c r="C333" i="1"/>
  <c r="C315" i="1" s="1"/>
  <c r="C19" i="1" s="1"/>
  <c r="G325" i="1"/>
  <c r="F325" i="1"/>
  <c r="E325" i="1"/>
  <c r="D325" i="1"/>
  <c r="D315" i="1" s="1"/>
  <c r="C325" i="1"/>
  <c r="G319" i="1"/>
  <c r="F319" i="1"/>
  <c r="E319" i="1"/>
  <c r="E315" i="1" s="1"/>
  <c r="E19" i="1" s="1"/>
  <c r="D319" i="1"/>
  <c r="C319" i="1"/>
  <c r="G316" i="1"/>
  <c r="F316" i="1"/>
  <c r="F315" i="1" s="1"/>
  <c r="E316" i="1"/>
  <c r="D316" i="1"/>
  <c r="C316" i="1"/>
  <c r="G315" i="1"/>
  <c r="G19" i="1" s="1"/>
  <c r="G302" i="1"/>
  <c r="F302" i="1"/>
  <c r="E302" i="1"/>
  <c r="D302" i="1"/>
  <c r="D301" i="1" s="1"/>
  <c r="C302" i="1"/>
  <c r="G301" i="1"/>
  <c r="F301" i="1"/>
  <c r="E301" i="1"/>
  <c r="C301" i="1"/>
  <c r="G298" i="1"/>
  <c r="F298" i="1"/>
  <c r="F280" i="1" s="1"/>
  <c r="E298" i="1"/>
  <c r="D298" i="1"/>
  <c r="C298" i="1"/>
  <c r="G293" i="1"/>
  <c r="G280" i="1" s="1"/>
  <c r="G17" i="1" s="1"/>
  <c r="F293" i="1"/>
  <c r="E293" i="1"/>
  <c r="D293" i="1"/>
  <c r="C293" i="1"/>
  <c r="G282" i="1"/>
  <c r="F282" i="1"/>
  <c r="D282" i="1"/>
  <c r="C282" i="1"/>
  <c r="C281" i="1" s="1"/>
  <c r="C280" i="1" s="1"/>
  <c r="C17" i="1" s="1"/>
  <c r="G281" i="1"/>
  <c r="F281" i="1"/>
  <c r="E281" i="1"/>
  <c r="D281" i="1"/>
  <c r="D280" i="1" s="1"/>
  <c r="E280" i="1"/>
  <c r="G277" i="1"/>
  <c r="F277" i="1"/>
  <c r="E277" i="1"/>
  <c r="D277" i="1"/>
  <c r="C277" i="1"/>
  <c r="C274" i="1"/>
  <c r="C272" i="1" s="1"/>
  <c r="G272" i="1"/>
  <c r="F272" i="1"/>
  <c r="E272" i="1"/>
  <c r="D272" i="1"/>
  <c r="D267" i="1" s="1"/>
  <c r="D266" i="1" s="1"/>
  <c r="C270" i="1"/>
  <c r="G268" i="1"/>
  <c r="F268" i="1"/>
  <c r="F267" i="1" s="1"/>
  <c r="F266" i="1" s="1"/>
  <c r="E268" i="1"/>
  <c r="D268" i="1"/>
  <c r="C268" i="1"/>
  <c r="G267" i="1"/>
  <c r="G266" i="1" s="1"/>
  <c r="E267" i="1"/>
  <c r="C267" i="1"/>
  <c r="F261" i="1"/>
  <c r="F259" i="1" s="1"/>
  <c r="F254" i="1" s="1"/>
  <c r="G259" i="1"/>
  <c r="G254" i="1" s="1"/>
  <c r="E259" i="1"/>
  <c r="D259" i="1"/>
  <c r="C259" i="1"/>
  <c r="C254" i="1" s="1"/>
  <c r="C9" i="1" s="1"/>
  <c r="G255" i="1"/>
  <c r="D255" i="1"/>
  <c r="D254" i="1" s="1"/>
  <c r="C255" i="1"/>
  <c r="E254" i="1"/>
  <c r="G246" i="1"/>
  <c r="F246" i="1"/>
  <c r="E246" i="1"/>
  <c r="D246" i="1"/>
  <c r="C246" i="1"/>
  <c r="G235" i="1"/>
  <c r="F235" i="1"/>
  <c r="E235" i="1"/>
  <c r="D235" i="1"/>
  <c r="C235" i="1"/>
  <c r="G230" i="1"/>
  <c r="F230" i="1"/>
  <c r="E230" i="1"/>
  <c r="D230" i="1"/>
  <c r="C230" i="1"/>
  <c r="F227" i="1"/>
  <c r="E227" i="1"/>
  <c r="G223" i="1"/>
  <c r="F223" i="1"/>
  <c r="E223" i="1"/>
  <c r="D223" i="1"/>
  <c r="C223" i="1"/>
  <c r="G215" i="1"/>
  <c r="G198" i="1" s="1"/>
  <c r="F215" i="1"/>
  <c r="E215" i="1"/>
  <c r="D215" i="1"/>
  <c r="C215" i="1"/>
  <c r="C198" i="1" s="1"/>
  <c r="G203" i="1"/>
  <c r="F203" i="1"/>
  <c r="E203" i="1"/>
  <c r="D203" i="1"/>
  <c r="C203" i="1"/>
  <c r="G202" i="1"/>
  <c r="E202" i="1"/>
  <c r="D202" i="1"/>
  <c r="C202" i="1"/>
  <c r="G199" i="1"/>
  <c r="F199" i="1"/>
  <c r="E199" i="1"/>
  <c r="E198" i="1" s="1"/>
  <c r="D199" i="1"/>
  <c r="D198" i="1" s="1"/>
  <c r="D7" i="1" s="1"/>
  <c r="C199" i="1"/>
  <c r="F198" i="1"/>
  <c r="F7" i="1" s="1"/>
  <c r="G192" i="1"/>
  <c r="F192" i="1"/>
  <c r="E192" i="1"/>
  <c r="D192" i="1"/>
  <c r="C192" i="1"/>
  <c r="G182" i="1"/>
  <c r="G179" i="1" s="1"/>
  <c r="G177" i="1" s="1"/>
  <c r="G6" i="1" s="1"/>
  <c r="F179" i="1"/>
  <c r="F177" i="1" s="1"/>
  <c r="E179" i="1"/>
  <c r="E177" i="1" s="1"/>
  <c r="D179" i="1"/>
  <c r="C179" i="1"/>
  <c r="G178" i="1"/>
  <c r="D177" i="1"/>
  <c r="C177" i="1"/>
  <c r="C6" i="1" s="1"/>
  <c r="G163" i="1"/>
  <c r="F163" i="1"/>
  <c r="E163" i="1"/>
  <c r="D163" i="1"/>
  <c r="C163" i="1"/>
  <c r="F150" i="1"/>
  <c r="G145" i="1"/>
  <c r="F145" i="1"/>
  <c r="E145" i="1"/>
  <c r="D145" i="1"/>
  <c r="C145" i="1"/>
  <c r="F144" i="1"/>
  <c r="E144" i="1"/>
  <c r="G129" i="1"/>
  <c r="F129" i="1"/>
  <c r="E129" i="1"/>
  <c r="D129" i="1"/>
  <c r="C129" i="1"/>
  <c r="G117" i="1"/>
  <c r="F117" i="1"/>
  <c r="E117" i="1"/>
  <c r="D117" i="1"/>
  <c r="C117" i="1"/>
  <c r="F114" i="1"/>
  <c r="F104" i="1" s="1"/>
  <c r="F87" i="1" s="1"/>
  <c r="F5" i="1" s="1"/>
  <c r="G112" i="1"/>
  <c r="D112" i="1"/>
  <c r="C112" i="1"/>
  <c r="G110" i="1"/>
  <c r="G104" i="1" s="1"/>
  <c r="G87" i="1" s="1"/>
  <c r="E104" i="1"/>
  <c r="D104" i="1"/>
  <c r="C104" i="1"/>
  <c r="G88" i="1"/>
  <c r="F88" i="1"/>
  <c r="E88" i="1"/>
  <c r="D88" i="1"/>
  <c r="C88" i="1"/>
  <c r="C87" i="1"/>
  <c r="E85" i="1"/>
  <c r="D85" i="1"/>
  <c r="C85" i="1"/>
  <c r="F82" i="1"/>
  <c r="D82" i="1"/>
  <c r="D76" i="1" s="1"/>
  <c r="D53" i="1" s="1"/>
  <c r="C78" i="1"/>
  <c r="G76" i="1"/>
  <c r="F76" i="1"/>
  <c r="E76" i="1"/>
  <c r="E53" i="1" s="1"/>
  <c r="C76" i="1"/>
  <c r="G70" i="1"/>
  <c r="F70" i="1"/>
  <c r="F53" i="1" s="1"/>
  <c r="F4" i="1" s="1"/>
  <c r="E70" i="1"/>
  <c r="D70" i="1"/>
  <c r="C70" i="1"/>
  <c r="G66" i="1"/>
  <c r="F66" i="1"/>
  <c r="E66" i="1"/>
  <c r="D66" i="1"/>
  <c r="C66" i="1"/>
  <c r="G60" i="1"/>
  <c r="E60" i="1"/>
  <c r="D60" i="1"/>
  <c r="C60" i="1"/>
  <c r="G58" i="1"/>
  <c r="E58" i="1"/>
  <c r="D58" i="1"/>
  <c r="C58" i="1"/>
  <c r="C53" i="1" s="1"/>
  <c r="E57" i="1"/>
  <c r="D57" i="1"/>
  <c r="C57" i="1"/>
  <c r="G56" i="1"/>
  <c r="C56" i="1"/>
  <c r="G55" i="1"/>
  <c r="C55" i="1"/>
  <c r="G54" i="1"/>
  <c r="E54" i="1"/>
  <c r="D54" i="1"/>
  <c r="C54" i="1"/>
  <c r="G53" i="1"/>
  <c r="G49" i="1"/>
  <c r="E49" i="1"/>
  <c r="G48" i="1"/>
  <c r="F48" i="1"/>
  <c r="E48" i="1"/>
  <c r="D48" i="1"/>
  <c r="C48" i="1"/>
  <c r="G47" i="1"/>
  <c r="F47" i="1"/>
  <c r="C47" i="1"/>
  <c r="C45" i="1"/>
  <c r="G44" i="1"/>
  <c r="F44" i="1"/>
  <c r="D44" i="1"/>
  <c r="C44" i="1"/>
  <c r="G43" i="1"/>
  <c r="F43" i="1"/>
  <c r="E43" i="1"/>
  <c r="D43" i="1"/>
  <c r="C43" i="1"/>
  <c r="G42" i="1"/>
  <c r="F42" i="1"/>
  <c r="E42" i="1"/>
  <c r="D42" i="1"/>
  <c r="C42" i="1"/>
  <c r="F41" i="1"/>
  <c r="E41" i="1"/>
  <c r="D41" i="1"/>
  <c r="G40" i="1"/>
  <c r="F40" i="1"/>
  <c r="C40" i="1"/>
  <c r="G39" i="1"/>
  <c r="C39" i="1"/>
  <c r="G37" i="1"/>
  <c r="E37" i="1"/>
  <c r="F36" i="1"/>
  <c r="G35" i="1"/>
  <c r="F35" i="1"/>
  <c r="E35" i="1"/>
  <c r="D35" i="1"/>
  <c r="C35" i="1"/>
  <c r="F34" i="1"/>
  <c r="D34" i="1"/>
  <c r="F33" i="1"/>
  <c r="D33" i="1"/>
  <c r="G31" i="1"/>
  <c r="F30" i="1"/>
  <c r="E30" i="1"/>
  <c r="D30" i="1"/>
  <c r="G29" i="1"/>
  <c r="F29" i="1"/>
  <c r="E29" i="1"/>
  <c r="D29" i="1"/>
  <c r="C29" i="1"/>
  <c r="G28" i="1"/>
  <c r="F28" i="1"/>
  <c r="E28" i="1"/>
  <c r="C28" i="1"/>
  <c r="C27" i="1"/>
  <c r="G26" i="1"/>
  <c r="F26" i="1"/>
  <c r="E26" i="1"/>
  <c r="D26" i="1"/>
  <c r="C26" i="1"/>
  <c r="G25" i="1"/>
  <c r="F25" i="1"/>
  <c r="E25" i="1"/>
  <c r="D25" i="1"/>
  <c r="C25" i="1"/>
  <c r="F24" i="1"/>
  <c r="E24" i="1"/>
  <c r="D24" i="1"/>
  <c r="C24" i="1"/>
  <c r="G23" i="1"/>
  <c r="G20" i="1" s="1"/>
  <c r="F23" i="1"/>
  <c r="E23" i="1"/>
  <c r="C23" i="1"/>
  <c r="F22" i="1"/>
  <c r="D22" i="1"/>
  <c r="C22" i="1"/>
  <c r="G21" i="1"/>
  <c r="F21" i="1"/>
  <c r="E21" i="1"/>
  <c r="D21" i="1"/>
  <c r="C21" i="1"/>
  <c r="F20" i="1"/>
  <c r="C20" i="1"/>
  <c r="F19" i="1"/>
  <c r="D19" i="1"/>
  <c r="G18" i="1"/>
  <c r="F18" i="1"/>
  <c r="E18" i="1"/>
  <c r="D18" i="1"/>
  <c r="C18" i="1"/>
  <c r="F17" i="1"/>
  <c r="E17" i="1"/>
  <c r="D17" i="1"/>
  <c r="E16" i="1"/>
  <c r="D16" i="1"/>
  <c r="C16" i="1"/>
  <c r="F15" i="1"/>
  <c r="G12" i="1"/>
  <c r="E12" i="1"/>
  <c r="F9" i="1"/>
  <c r="D9" i="1"/>
  <c r="C7" i="1"/>
  <c r="F6" i="1"/>
  <c r="D6" i="1"/>
  <c r="C5" i="1"/>
  <c r="D4" i="1"/>
  <c r="D15" i="1" l="1"/>
  <c r="E511" i="1"/>
  <c r="E31" i="1" s="1"/>
  <c r="E32" i="1"/>
  <c r="F633" i="1"/>
  <c r="F38" i="1" s="1"/>
  <c r="F39" i="1"/>
  <c r="C252" i="1"/>
  <c r="C263" i="1" s="1"/>
  <c r="C10" i="1" s="1"/>
  <c r="C4" i="1"/>
  <c r="C608" i="1"/>
  <c r="C36" i="1" s="1"/>
  <c r="G281" i="3"/>
  <c r="G411" i="3"/>
  <c r="C410" i="3"/>
  <c r="G410" i="3" s="1"/>
  <c r="H599" i="3"/>
  <c r="D598" i="3"/>
  <c r="H598" i="3" s="1"/>
  <c r="G804" i="3"/>
  <c r="C802" i="3"/>
  <c r="G15" i="1"/>
  <c r="F16" i="1"/>
  <c r="D354" i="1"/>
  <c r="D20" i="1" s="1"/>
  <c r="C537" i="1"/>
  <c r="C554" i="1"/>
  <c r="D565" i="1"/>
  <c r="D782" i="1"/>
  <c r="C788" i="2"/>
  <c r="D107" i="3"/>
  <c r="H108" i="3"/>
  <c r="C167" i="3"/>
  <c r="G219" i="3"/>
  <c r="C218" i="3"/>
  <c r="C242" i="3"/>
  <c r="G242" i="3" s="1"/>
  <c r="D287" i="3"/>
  <c r="H287" i="3" s="1"/>
  <c r="G334" i="3"/>
  <c r="D427" i="3"/>
  <c r="H430" i="3"/>
  <c r="H568" i="3"/>
  <c r="D567" i="3"/>
  <c r="H567" i="3" s="1"/>
  <c r="H643" i="3"/>
  <c r="D642" i="3"/>
  <c r="G660" i="3"/>
  <c r="C659" i="3"/>
  <c r="G697" i="3"/>
  <c r="C682" i="3"/>
  <c r="C801" i="4"/>
  <c r="C801" i="2"/>
  <c r="H523" i="3"/>
  <c r="D521" i="3"/>
  <c r="F252" i="1"/>
  <c r="E87" i="1"/>
  <c r="E252" i="1" s="1"/>
  <c r="E263" i="1" s="1"/>
  <c r="C266" i="1"/>
  <c r="D512" i="1"/>
  <c r="C528" i="1"/>
  <c r="C515" i="1"/>
  <c r="C533" i="1"/>
  <c r="E633" i="1"/>
  <c r="E38" i="1" s="1"/>
  <c r="E39" i="1"/>
  <c r="D633" i="1"/>
  <c r="D38" i="1" s="1"/>
  <c r="D39" i="1"/>
  <c r="C702" i="1"/>
  <c r="C46" i="1" s="1"/>
  <c r="D734" i="1"/>
  <c r="D746" i="1"/>
  <c r="C567" i="2"/>
  <c r="C566" i="2" s="1"/>
  <c r="C594" i="2"/>
  <c r="C768" i="2"/>
  <c r="C767" i="2" s="1"/>
  <c r="D5" i="3"/>
  <c r="H33" i="3"/>
  <c r="D32" i="3"/>
  <c r="G228" i="3"/>
  <c r="G271" i="3"/>
  <c r="C270" i="3"/>
  <c r="G270" i="3" s="1"/>
  <c r="G309" i="3"/>
  <c r="C303" i="3"/>
  <c r="G303" i="3" s="1"/>
  <c r="D334" i="3"/>
  <c r="G420" i="3"/>
  <c r="C419" i="3"/>
  <c r="G419" i="3" s="1"/>
  <c r="H638" i="3"/>
  <c r="D637" i="3"/>
  <c r="H772" i="3"/>
  <c r="D771" i="3"/>
  <c r="H771" i="3" s="1"/>
  <c r="G236" i="6"/>
  <c r="G8" i="6" s="1"/>
  <c r="C8" i="6"/>
  <c r="H248" i="6"/>
  <c r="D247" i="6"/>
  <c r="H301" i="6"/>
  <c r="D304" i="6"/>
  <c r="H304" i="6" s="1"/>
  <c r="H305" i="6"/>
  <c r="D816" i="1"/>
  <c r="H390" i="3"/>
  <c r="D362" i="3"/>
  <c r="H362" i="3" s="1"/>
  <c r="H460" i="3"/>
  <c r="D457" i="3"/>
  <c r="H457" i="3" s="1"/>
  <c r="G541" i="3"/>
  <c r="G577" i="3"/>
  <c r="C573" i="3"/>
  <c r="G573" i="3" s="1"/>
  <c r="H711" i="3"/>
  <c r="D710" i="3"/>
  <c r="D524" i="6"/>
  <c r="H525" i="6"/>
  <c r="G16" i="1"/>
  <c r="G252" i="1"/>
  <c r="G263" i="1" s="1"/>
  <c r="D87" i="1"/>
  <c r="E266" i="1"/>
  <c r="E354" i="1"/>
  <c r="E20" i="1" s="1"/>
  <c r="C514" i="1"/>
  <c r="C513" i="1" s="1"/>
  <c r="C512" i="1" s="1"/>
  <c r="G533" i="1"/>
  <c r="G512" i="1" s="1"/>
  <c r="G511" i="1" s="1"/>
  <c r="G549" i="1"/>
  <c r="G536" i="1"/>
  <c r="F702" i="1"/>
  <c r="F46" i="1" s="1"/>
  <c r="D705" i="1"/>
  <c r="D704" i="1" s="1"/>
  <c r="G816" i="1"/>
  <c r="G782" i="1" s="1"/>
  <c r="G702" i="1" s="1"/>
  <c r="C244" i="2"/>
  <c r="C887" i="2"/>
  <c r="C850" i="2" s="1"/>
  <c r="I202" i="3"/>
  <c r="H202" i="3"/>
  <c r="G202" i="3"/>
  <c r="H228" i="3"/>
  <c r="H268" i="3"/>
  <c r="D265" i="3"/>
  <c r="H300" i="3"/>
  <c r="D294" i="3"/>
  <c r="H294" i="3" s="1"/>
  <c r="H315" i="3"/>
  <c r="D309" i="3"/>
  <c r="H347" i="3"/>
  <c r="G362" i="3"/>
  <c r="C346" i="3"/>
  <c r="G346" i="3" s="1"/>
  <c r="C398" i="3"/>
  <c r="G398" i="3" s="1"/>
  <c r="H413" i="3"/>
  <c r="D410" i="3"/>
  <c r="H410" i="3" s="1"/>
  <c r="D472" i="3"/>
  <c r="H475" i="3"/>
  <c r="G512" i="3"/>
  <c r="G18" i="3" s="1"/>
  <c r="C18" i="3"/>
  <c r="H517" i="3"/>
  <c r="D516" i="3"/>
  <c r="D552" i="3"/>
  <c r="H552" i="3" s="1"/>
  <c r="H553" i="3"/>
  <c r="D543" i="3"/>
  <c r="H543" i="3" s="1"/>
  <c r="C746" i="3"/>
  <c r="G748" i="3"/>
  <c r="D3" i="4"/>
  <c r="D250" i="4"/>
  <c r="C3" i="4"/>
  <c r="C623" i="4"/>
  <c r="C641" i="4"/>
  <c r="C32" i="3"/>
  <c r="D437" i="3"/>
  <c r="H437" i="3" s="1"/>
  <c r="D541" i="3"/>
  <c r="H541" i="3" s="1"/>
  <c r="H542" i="3"/>
  <c r="G543" i="3"/>
  <c r="I544" i="3"/>
  <c r="H544" i="3"/>
  <c r="G544" i="3"/>
  <c r="G548" i="3"/>
  <c r="C547" i="3"/>
  <c r="G547" i="3" s="1"/>
  <c r="H584" i="3"/>
  <c r="D580" i="3"/>
  <c r="H580" i="3" s="1"/>
  <c r="I623" i="3"/>
  <c r="F622" i="3"/>
  <c r="H623" i="3"/>
  <c r="G623" i="3"/>
  <c r="H679" i="3"/>
  <c r="D676" i="3"/>
  <c r="D722" i="3"/>
  <c r="H722" i="3" s="1"/>
  <c r="H723" i="3"/>
  <c r="D730" i="3"/>
  <c r="H731" i="3"/>
  <c r="H806" i="3"/>
  <c r="D800" i="3"/>
  <c r="H800" i="3" s="1"/>
  <c r="G845" i="3"/>
  <c r="C840" i="3"/>
  <c r="C183" i="4"/>
  <c r="C6" i="4" s="1"/>
  <c r="D358" i="4"/>
  <c r="D357" i="4"/>
  <c r="D374" i="4"/>
  <c r="D14" i="4" s="1"/>
  <c r="D541" i="4"/>
  <c r="C626" i="4"/>
  <c r="D624" i="4"/>
  <c r="C652" i="4"/>
  <c r="D205" i="6"/>
  <c r="H205" i="6" s="1"/>
  <c r="H207" i="6"/>
  <c r="H286" i="3"/>
  <c r="D319" i="3"/>
  <c r="H319" i="3" s="1"/>
  <c r="H563" i="3"/>
  <c r="D562" i="3"/>
  <c r="H562" i="3" s="1"/>
  <c r="C568" i="3"/>
  <c r="G571" i="3"/>
  <c r="G640" i="3"/>
  <c r="C637" i="3"/>
  <c r="D690" i="3"/>
  <c r="H691" i="3"/>
  <c r="G727" i="3"/>
  <c r="C726" i="3"/>
  <c r="H741" i="3"/>
  <c r="D820" i="3"/>
  <c r="H820" i="3" s="1"/>
  <c r="H825" i="3"/>
  <c r="G830" i="3"/>
  <c r="C829" i="3"/>
  <c r="G829" i="3" s="1"/>
  <c r="C262" i="4"/>
  <c r="D319" i="4"/>
  <c r="C374" i="4"/>
  <c r="C14" i="4" s="1"/>
  <c r="D472" i="4"/>
  <c r="C620" i="4"/>
  <c r="D631" i="4"/>
  <c r="D622" i="4"/>
  <c r="D620" i="4" s="1"/>
  <c r="D599" i="4" s="1"/>
  <c r="D598" i="4" s="1"/>
  <c r="D20" i="4" s="1"/>
  <c r="D802" i="4"/>
  <c r="D801" i="4" s="1"/>
  <c r="D844" i="4"/>
  <c r="D836" i="4" s="1"/>
  <c r="C844" i="4"/>
  <c r="C836" i="4" s="1"/>
  <c r="H34" i="6"/>
  <c r="C589" i="6"/>
  <c r="G592" i="6"/>
  <c r="G728" i="6"/>
  <c r="D167" i="3"/>
  <c r="D218" i="3"/>
  <c r="D270" i="3"/>
  <c r="H270" i="3" s="1"/>
  <c r="C486" i="3"/>
  <c r="G487" i="3"/>
  <c r="H505" i="3"/>
  <c r="D503" i="3"/>
  <c r="G676" i="3"/>
  <c r="C675" i="3"/>
  <c r="H738" i="3"/>
  <c r="D750" i="3"/>
  <c r="H750" i="3" s="1"/>
  <c r="H752" i="3"/>
  <c r="H793" i="3"/>
  <c r="D788" i="3"/>
  <c r="H788" i="3" s="1"/>
  <c r="D850" i="3"/>
  <c r="D295" i="4"/>
  <c r="D291" i="4"/>
  <c r="D277" i="4" s="1"/>
  <c r="D262" i="4" s="1"/>
  <c r="D499" i="4"/>
  <c r="C599" i="4"/>
  <c r="C598" i="4" s="1"/>
  <c r="C20" i="4" s="1"/>
  <c r="D885" i="4"/>
  <c r="I159" i="6"/>
  <c r="F145" i="6"/>
  <c r="C168" i="6"/>
  <c r="C161" i="6"/>
  <c r="G176" i="6"/>
  <c r="G6" i="6" s="1"/>
  <c r="C6" i="6"/>
  <c r="H643" i="6"/>
  <c r="D642" i="6"/>
  <c r="F521" i="3"/>
  <c r="H522" i="3"/>
  <c r="I543" i="3"/>
  <c r="I545" i="3"/>
  <c r="D573" i="3"/>
  <c r="H573" i="3" s="1"/>
  <c r="H114" i="6"/>
  <c r="D109" i="6"/>
  <c r="H109" i="6" s="1"/>
  <c r="D161" i="6"/>
  <c r="H339" i="6"/>
  <c r="D335" i="6"/>
  <c r="H335" i="6" s="1"/>
  <c r="H453" i="6"/>
  <c r="D452" i="6"/>
  <c r="H452" i="6" s="1"/>
  <c r="H473" i="6"/>
  <c r="D471" i="6"/>
  <c r="H471" i="6" s="1"/>
  <c r="C492" i="6"/>
  <c r="G492" i="6" s="1"/>
  <c r="G493" i="6"/>
  <c r="H560" i="6"/>
  <c r="D545" i="6"/>
  <c r="H545" i="6" s="1"/>
  <c r="D557" i="6"/>
  <c r="H557" i="6" s="1"/>
  <c r="D760" i="6"/>
  <c r="H760" i="6" s="1"/>
  <c r="H761" i="6"/>
  <c r="D552" i="7"/>
  <c r="D545" i="7"/>
  <c r="C806" i="3"/>
  <c r="G806" i="3" s="1"/>
  <c r="D44" i="6"/>
  <c r="H44" i="6" s="1"/>
  <c r="H45" i="6"/>
  <c r="H218" i="6"/>
  <c r="D228" i="6"/>
  <c r="H228" i="6" s="1"/>
  <c r="H238" i="6"/>
  <c r="D236" i="6"/>
  <c r="H321" i="6"/>
  <c r="D320" i="6"/>
  <c r="H320" i="6" s="1"/>
  <c r="D326" i="6"/>
  <c r="H326" i="6" s="1"/>
  <c r="H331" i="6"/>
  <c r="D354" i="6"/>
  <c r="H354" i="6" s="1"/>
  <c r="D363" i="6"/>
  <c r="H364" i="6"/>
  <c r="I544" i="6"/>
  <c r="H544" i="6"/>
  <c r="F542" i="6"/>
  <c r="G544" i="6"/>
  <c r="G585" i="6"/>
  <c r="C583" i="6"/>
  <c r="G583" i="6" s="1"/>
  <c r="C565" i="6"/>
  <c r="C562" i="6" s="1"/>
  <c r="G562" i="6" s="1"/>
  <c r="H595" i="6"/>
  <c r="D594" i="6"/>
  <c r="H594" i="6" s="1"/>
  <c r="G606" i="6"/>
  <c r="C594" i="6"/>
  <c r="G594" i="6" s="1"/>
  <c r="G716" i="6"/>
  <c r="C702" i="6"/>
  <c r="H846" i="6"/>
  <c r="D841" i="6"/>
  <c r="H841" i="6" s="1"/>
  <c r="D840" i="3"/>
  <c r="C32" i="6"/>
  <c r="D65" i="6"/>
  <c r="D94" i="6"/>
  <c r="H94" i="6" s="1"/>
  <c r="D181" i="6"/>
  <c r="H181" i="6" s="1"/>
  <c r="G287" i="6"/>
  <c r="C286" i="6"/>
  <c r="G286" i="6" s="1"/>
  <c r="H415" i="6"/>
  <c r="C438" i="6"/>
  <c r="G438" i="6" s="1"/>
  <c r="G471" i="6"/>
  <c r="C458" i="6"/>
  <c r="G458" i="6" s="1"/>
  <c r="G564" i="6"/>
  <c r="D573" i="6"/>
  <c r="H573" i="6" s="1"/>
  <c r="H574" i="6"/>
  <c r="D564" i="6"/>
  <c r="F94" i="6"/>
  <c r="H98" i="6"/>
  <c r="D261" i="6"/>
  <c r="D287" i="6"/>
  <c r="C296" i="6"/>
  <c r="G296" i="6" s="1"/>
  <c r="C378" i="6"/>
  <c r="H448" i="6"/>
  <c r="D446" i="6"/>
  <c r="G543" i="6"/>
  <c r="C542" i="6"/>
  <c r="G569" i="6"/>
  <c r="C568" i="6"/>
  <c r="G568" i="6" s="1"/>
  <c r="D696" i="6"/>
  <c r="H697" i="6"/>
  <c r="D730" i="6"/>
  <c r="I98" i="6"/>
  <c r="D378" i="6"/>
  <c r="H378" i="6" s="1"/>
  <c r="G433" i="6"/>
  <c r="C432" i="6"/>
  <c r="H495" i="6"/>
  <c r="D493" i="6"/>
  <c r="D542" i="6"/>
  <c r="H565" i="6"/>
  <c r="G619" i="6"/>
  <c r="C618" i="6"/>
  <c r="G618" i="6" s="1"/>
  <c r="G658" i="6"/>
  <c r="C657" i="6"/>
  <c r="D710" i="6"/>
  <c r="H711" i="6"/>
  <c r="H718" i="6"/>
  <c r="D716" i="6"/>
  <c r="H716" i="6" s="1"/>
  <c r="H772" i="6"/>
  <c r="D770" i="6"/>
  <c r="H770" i="6" s="1"/>
  <c r="D785" i="6"/>
  <c r="H785" i="6" s="1"/>
  <c r="H786" i="6"/>
  <c r="H810" i="6"/>
  <c r="D808" i="6"/>
  <c r="H808" i="6" s="1"/>
  <c r="D295" i="7"/>
  <c r="C565" i="7"/>
  <c r="C562" i="7" s="1"/>
  <c r="C583" i="7"/>
  <c r="F109" i="6"/>
  <c r="C260" i="6"/>
  <c r="G260" i="6" s="1"/>
  <c r="D273" i="6"/>
  <c r="H273" i="6" s="1"/>
  <c r="D281" i="6"/>
  <c r="H281" i="6" s="1"/>
  <c r="G351" i="6"/>
  <c r="H422" i="6"/>
  <c r="D420" i="6"/>
  <c r="H420" i="6" s="1"/>
  <c r="D430" i="6"/>
  <c r="C452" i="6"/>
  <c r="G452" i="6" s="1"/>
  <c r="D478" i="6"/>
  <c r="H478" i="6" s="1"/>
  <c r="G526" i="6"/>
  <c r="C524" i="6"/>
  <c r="D552" i="6"/>
  <c r="H552" i="6" s="1"/>
  <c r="H553" i="6"/>
  <c r="F562" i="6"/>
  <c r="I565" i="6"/>
  <c r="D589" i="6"/>
  <c r="D619" i="6"/>
  <c r="D681" i="6"/>
  <c r="H682" i="6"/>
  <c r="H727" i="6"/>
  <c r="G792" i="6"/>
  <c r="H824" i="6"/>
  <c r="D822" i="6"/>
  <c r="G846" i="6"/>
  <c r="C841" i="6"/>
  <c r="G841" i="6" s="1"/>
  <c r="C244" i="7"/>
  <c r="D492" i="7"/>
  <c r="D578" i="7"/>
  <c r="D564" i="7"/>
  <c r="D594" i="7"/>
  <c r="D760" i="7"/>
  <c r="D757" i="7" s="1"/>
  <c r="C414" i="6"/>
  <c r="G414" i="6" s="1"/>
  <c r="D792" i="6"/>
  <c r="H851" i="6"/>
  <c r="D850" i="6"/>
  <c r="H850" i="6" s="1"/>
  <c r="H862" i="6"/>
  <c r="D861" i="6"/>
  <c r="H875" i="6"/>
  <c r="D874" i="6"/>
  <c r="D893" i="6"/>
  <c r="H893" i="6" s="1"/>
  <c r="D220" i="7"/>
  <c r="D175" i="7" s="1"/>
  <c r="D6" i="7" s="1"/>
  <c r="D261" i="7"/>
  <c r="H758" i="6"/>
  <c r="D757" i="6"/>
  <c r="H757" i="6" s="1"/>
  <c r="G761" i="6"/>
  <c r="C760" i="6"/>
  <c r="C820" i="6"/>
  <c r="G820" i="6" s="1"/>
  <c r="C893" i="6"/>
  <c r="G893" i="6" s="1"/>
  <c r="G895" i="6"/>
  <c r="C32" i="7"/>
  <c r="D94" i="7"/>
  <c r="D144" i="7"/>
  <c r="D171" i="7"/>
  <c r="D160" i="7" s="1"/>
  <c r="D5" i="7" s="1"/>
  <c r="D251" i="7"/>
  <c r="D245" i="7" s="1"/>
  <c r="D244" i="7" s="1"/>
  <c r="C295" i="7"/>
  <c r="D543" i="7"/>
  <c r="D542" i="7" s="1"/>
  <c r="D541" i="7" s="1"/>
  <c r="D557" i="7"/>
  <c r="C729" i="7"/>
  <c r="C728" i="7" s="1"/>
  <c r="C726" i="7" s="1"/>
  <c r="C27" i="7" s="1"/>
  <c r="D319" i="7"/>
  <c r="D346" i="7"/>
  <c r="D458" i="7"/>
  <c r="D349" i="7" s="1"/>
  <c r="D14" i="7" s="1"/>
  <c r="D524" i="7"/>
  <c r="D17" i="7" s="1"/>
  <c r="C542" i="7"/>
  <c r="C541" i="7" s="1"/>
  <c r="C540" i="7" s="1"/>
  <c r="C20" i="7" s="1"/>
  <c r="D642" i="7"/>
  <c r="D680" i="7"/>
  <c r="D679" i="7" s="1"/>
  <c r="D662" i="7" s="1"/>
  <c r="D24" i="7" s="1"/>
  <c r="D820" i="7"/>
  <c r="D791" i="7" s="1"/>
  <c r="D854" i="7"/>
  <c r="D44" i="7"/>
  <c r="D32" i="7" s="1"/>
  <c r="D64" i="7"/>
  <c r="D4" i="7" s="1"/>
  <c r="D227" i="7"/>
  <c r="D334" i="7"/>
  <c r="D335" i="7"/>
  <c r="C458" i="7"/>
  <c r="C349" i="7" s="1"/>
  <c r="C14" i="7" s="1"/>
  <c r="D562" i="7"/>
  <c r="D635" i="7"/>
  <c r="D22" i="7" s="1"/>
  <c r="D702" i="7"/>
  <c r="D26" i="7" s="1"/>
  <c r="C702" i="7"/>
  <c r="C26" i="7" s="1"/>
  <c r="D733" i="7"/>
  <c r="D729" i="7" s="1"/>
  <c r="D728" i="7" s="1"/>
  <c r="D726" i="7" s="1"/>
  <c r="D27" i="7" s="1"/>
  <c r="C791" i="7"/>
  <c r="D13" i="7" l="1"/>
  <c r="G922" i="1"/>
  <c r="D13" i="4"/>
  <c r="D233" i="7"/>
  <c r="D3" i="7"/>
  <c r="C899" i="7"/>
  <c r="C30" i="7" s="1"/>
  <c r="C11" i="7" s="1"/>
  <c r="C13" i="7"/>
  <c r="H710" i="6"/>
  <c r="D702" i="6"/>
  <c r="G542" i="6"/>
  <c r="H676" i="3"/>
  <c r="D675" i="3"/>
  <c r="H861" i="6"/>
  <c r="H28" i="6" s="1"/>
  <c r="D28" i="6"/>
  <c r="H792" i="6"/>
  <c r="C791" i="6"/>
  <c r="G791" i="6" s="1"/>
  <c r="H589" i="6"/>
  <c r="D588" i="6"/>
  <c r="H588" i="6" s="1"/>
  <c r="D176" i="6"/>
  <c r="G657" i="6"/>
  <c r="C654" i="6"/>
  <c r="G565" i="6"/>
  <c r="H696" i="6"/>
  <c r="D695" i="6"/>
  <c r="G32" i="6"/>
  <c r="G3" i="6" s="1"/>
  <c r="C3" i="6"/>
  <c r="C234" i="6"/>
  <c r="H161" i="6"/>
  <c r="H5" i="6" s="1"/>
  <c r="D5" i="6"/>
  <c r="H642" i="6"/>
  <c r="D635" i="6"/>
  <c r="C5" i="6"/>
  <c r="G161" i="6"/>
  <c r="G5" i="6" s="1"/>
  <c r="G675" i="3"/>
  <c r="G25" i="3" s="1"/>
  <c r="C25" i="3"/>
  <c r="H167" i="3"/>
  <c r="H6" i="3" s="1"/>
  <c r="D6" i="3"/>
  <c r="G589" i="6"/>
  <c r="C588" i="6"/>
  <c r="G588" i="6" s="1"/>
  <c r="C1008" i="4"/>
  <c r="C30" i="4" s="1"/>
  <c r="C11" i="4" s="1"/>
  <c r="C13" i="4"/>
  <c r="D726" i="3"/>
  <c r="H726" i="3" s="1"/>
  <c r="H730" i="3"/>
  <c r="C3" i="3"/>
  <c r="C216" i="3"/>
  <c r="G32" i="3"/>
  <c r="G3" i="3" s="1"/>
  <c r="D346" i="3"/>
  <c r="H346" i="3" s="1"/>
  <c r="D702" i="1"/>
  <c r="D46" i="1" s="1"/>
  <c r="E922" i="1"/>
  <c r="E15" i="1"/>
  <c r="H32" i="3"/>
  <c r="H3" i="3" s="1"/>
  <c r="D3" i="3"/>
  <c r="D511" i="1"/>
  <c r="D31" i="1" s="1"/>
  <c r="D32" i="1"/>
  <c r="H521" i="3"/>
  <c r="D520" i="3"/>
  <c r="C799" i="4"/>
  <c r="C27" i="4" s="1"/>
  <c r="G659" i="3"/>
  <c r="C642" i="3"/>
  <c r="F922" i="1"/>
  <c r="F50" i="1" s="1"/>
  <c r="F12" i="1" s="1"/>
  <c r="D618" i="6"/>
  <c r="H618" i="6" s="1"/>
  <c r="H619" i="6"/>
  <c r="G378" i="6"/>
  <c r="C362" i="6"/>
  <c r="H363" i="6"/>
  <c r="D362" i="6"/>
  <c r="H362" i="6" s="1"/>
  <c r="C634" i="3"/>
  <c r="G637" i="3"/>
  <c r="H710" i="3"/>
  <c r="D709" i="3"/>
  <c r="C765" i="2"/>
  <c r="F263" i="1"/>
  <c r="F10" i="1" s="1"/>
  <c r="F8" i="1"/>
  <c r="G167" i="3"/>
  <c r="G6" i="3" s="1"/>
  <c r="C6" i="3"/>
  <c r="D540" i="7"/>
  <c r="D20" i="7" s="1"/>
  <c r="G760" i="6"/>
  <c r="C757" i="6"/>
  <c r="H681" i="6"/>
  <c r="D680" i="6"/>
  <c r="G524" i="6"/>
  <c r="G17" i="6" s="1"/>
  <c r="C17" i="6"/>
  <c r="H430" i="6"/>
  <c r="D429" i="6"/>
  <c r="H429" i="6" s="1"/>
  <c r="D458" i="6"/>
  <c r="H458" i="6" s="1"/>
  <c r="D445" i="6"/>
  <c r="H445" i="6" s="1"/>
  <c r="H446" i="6"/>
  <c r="H287" i="6"/>
  <c r="D286" i="6"/>
  <c r="H286" i="6" s="1"/>
  <c r="H564" i="6"/>
  <c r="D562" i="6"/>
  <c r="H562" i="6" s="1"/>
  <c r="D414" i="6"/>
  <c r="H414" i="6" s="1"/>
  <c r="H840" i="3"/>
  <c r="H28" i="3" s="1"/>
  <c r="D28" i="3"/>
  <c r="G702" i="6"/>
  <c r="G26" i="6" s="1"/>
  <c r="C26" i="6"/>
  <c r="D8" i="6"/>
  <c r="H236" i="6"/>
  <c r="H8" i="6" s="1"/>
  <c r="D350" i="6"/>
  <c r="H850" i="3"/>
  <c r="H29" i="3" s="1"/>
  <c r="D29" i="3"/>
  <c r="G486" i="3"/>
  <c r="C471" i="3"/>
  <c r="G471" i="3" s="1"/>
  <c r="D32" i="6"/>
  <c r="D799" i="4"/>
  <c r="D27" i="4" s="1"/>
  <c r="D740" i="3"/>
  <c r="C250" i="4"/>
  <c r="G746" i="3"/>
  <c r="C740" i="3"/>
  <c r="H516" i="3"/>
  <c r="H19" i="3" s="1"/>
  <c r="D19" i="3"/>
  <c r="D5" i="1"/>
  <c r="D252" i="1"/>
  <c r="H524" i="6"/>
  <c r="H17" i="6" s="1"/>
  <c r="D17" i="6"/>
  <c r="D296" i="6"/>
  <c r="H296" i="6" s="1"/>
  <c r="H637" i="3"/>
  <c r="D634" i="3"/>
  <c r="H334" i="3"/>
  <c r="C922" i="1"/>
  <c r="C50" i="1" s="1"/>
  <c r="C12" i="1" s="1"/>
  <c r="C15" i="1"/>
  <c r="G218" i="3"/>
  <c r="G8" i="3" s="1"/>
  <c r="C8" i="3"/>
  <c r="H107" i="3"/>
  <c r="D64" i="3"/>
  <c r="D216" i="3" s="1"/>
  <c r="C280" i="3"/>
  <c r="G280" i="3" s="1"/>
  <c r="H493" i="6"/>
  <c r="D492" i="6"/>
  <c r="H492" i="6" s="1"/>
  <c r="H65" i="6"/>
  <c r="D64" i="6"/>
  <c r="H218" i="3"/>
  <c r="H8" i="3" s="1"/>
  <c r="D8" i="3"/>
  <c r="C709" i="3"/>
  <c r="G726" i="3"/>
  <c r="C245" i="6"/>
  <c r="C28" i="3"/>
  <c r="G840" i="3"/>
  <c r="G28" i="3" s="1"/>
  <c r="H247" i="6"/>
  <c r="D246" i="6"/>
  <c r="D426" i="3"/>
  <c r="H426" i="3" s="1"/>
  <c r="H427" i="3"/>
  <c r="G802" i="3"/>
  <c r="C800" i="3"/>
  <c r="C233" i="7"/>
  <c r="C3" i="7"/>
  <c r="H874" i="6"/>
  <c r="D872" i="6"/>
  <c r="H822" i="6"/>
  <c r="D820" i="6"/>
  <c r="H820" i="6" s="1"/>
  <c r="H542" i="6"/>
  <c r="D541" i="6"/>
  <c r="G432" i="6"/>
  <c r="C429" i="6"/>
  <c r="G429" i="6" s="1"/>
  <c r="H730" i="6"/>
  <c r="D729" i="6"/>
  <c r="H261" i="6"/>
  <c r="D260" i="6"/>
  <c r="H260" i="6" s="1"/>
  <c r="C872" i="6"/>
  <c r="H503" i="3"/>
  <c r="H17" i="3" s="1"/>
  <c r="D17" i="3"/>
  <c r="H690" i="3"/>
  <c r="D682" i="3"/>
  <c r="G568" i="3"/>
  <c r="C567" i="3"/>
  <c r="D260" i="4"/>
  <c r="D9" i="4" s="1"/>
  <c r="D7" i="4"/>
  <c r="H472" i="3"/>
  <c r="D471" i="3"/>
  <c r="H471" i="3" s="1"/>
  <c r="H309" i="3"/>
  <c r="D303" i="3"/>
  <c r="D242" i="3"/>
  <c r="H265" i="3"/>
  <c r="C969" i="2"/>
  <c r="C511" i="1"/>
  <c r="C31" i="1" s="1"/>
  <c r="C32" i="1"/>
  <c r="C227" i="3"/>
  <c r="G682" i="3"/>
  <c r="G26" i="3" s="1"/>
  <c r="C26" i="3"/>
  <c r="H642" i="3"/>
  <c r="H24" i="3" s="1"/>
  <c r="D24" i="3"/>
  <c r="D922" i="1"/>
  <c r="D50" i="1" s="1"/>
  <c r="D12" i="1" s="1"/>
  <c r="D225" i="3" l="1"/>
  <c r="H216" i="3"/>
  <c r="H7" i="3" s="1"/>
  <c r="D7" i="3"/>
  <c r="H634" i="3"/>
  <c r="H23" i="3" s="1"/>
  <c r="D23" i="3"/>
  <c r="G757" i="6"/>
  <c r="C726" i="6"/>
  <c r="H709" i="3"/>
  <c r="C24" i="3"/>
  <c r="G642" i="3"/>
  <c r="G24" i="3" s="1"/>
  <c r="H695" i="6"/>
  <c r="H25" i="6" s="1"/>
  <c r="D25" i="6"/>
  <c r="D1008" i="4"/>
  <c r="D30" i="4" s="1"/>
  <c r="D11" i="4" s="1"/>
  <c r="G709" i="3"/>
  <c r="H740" i="3"/>
  <c r="D737" i="3"/>
  <c r="H737" i="3" s="1"/>
  <c r="C13" i="3"/>
  <c r="G227" i="3"/>
  <c r="G13" i="3" s="1"/>
  <c r="G567" i="3"/>
  <c r="C520" i="3"/>
  <c r="D263" i="1"/>
  <c r="D10" i="1" s="1"/>
  <c r="D8" i="1"/>
  <c r="H176" i="6"/>
  <c r="H6" i="6" s="1"/>
  <c r="D6" i="6"/>
  <c r="H675" i="3"/>
  <c r="H25" i="3" s="1"/>
  <c r="D25" i="3"/>
  <c r="H702" i="6"/>
  <c r="H26" i="6" s="1"/>
  <c r="D26" i="6"/>
  <c r="C737" i="3"/>
  <c r="G737" i="3" s="1"/>
  <c r="G740" i="3"/>
  <c r="H635" i="6"/>
  <c r="H22" i="6" s="1"/>
  <c r="D22" i="6"/>
  <c r="D29" i="6"/>
  <c r="H872" i="6"/>
  <c r="H29" i="6" s="1"/>
  <c r="G245" i="6"/>
  <c r="G13" i="6" s="1"/>
  <c r="C13" i="6"/>
  <c r="H680" i="6"/>
  <c r="D663" i="6"/>
  <c r="G362" i="6"/>
  <c r="C349" i="6"/>
  <c r="D791" i="6"/>
  <c r="H791" i="6" s="1"/>
  <c r="D242" i="7"/>
  <c r="D9" i="7" s="1"/>
  <c r="D7" i="7"/>
  <c r="H64" i="3"/>
  <c r="H4" i="3" s="1"/>
  <c r="D4" i="3"/>
  <c r="C242" i="7"/>
  <c r="C9" i="7" s="1"/>
  <c r="C7" i="7"/>
  <c r="C7" i="6"/>
  <c r="C243" i="6"/>
  <c r="G234" i="6"/>
  <c r="G7" i="6" s="1"/>
  <c r="H242" i="3"/>
  <c r="H729" i="6"/>
  <c r="D728" i="6"/>
  <c r="D540" i="6"/>
  <c r="H541" i="6"/>
  <c r="G800" i="3"/>
  <c r="C771" i="3"/>
  <c r="G771" i="3" s="1"/>
  <c r="H246" i="6"/>
  <c r="D245" i="6"/>
  <c r="D333" i="3"/>
  <c r="D234" i="6"/>
  <c r="D3" i="6"/>
  <c r="H32" i="6"/>
  <c r="H3" i="6" s="1"/>
  <c r="H303" i="3"/>
  <c r="D280" i="3"/>
  <c r="H280" i="3" s="1"/>
  <c r="H682" i="3"/>
  <c r="H26" i="3" s="1"/>
  <c r="D26" i="3"/>
  <c r="G872" i="6"/>
  <c r="G29" i="6" s="1"/>
  <c r="C29" i="6"/>
  <c r="D4" i="6"/>
  <c r="H64" i="6"/>
  <c r="H4" i="6" s="1"/>
  <c r="C260" i="4"/>
  <c r="C9" i="4" s="1"/>
  <c r="C1011" i="4" s="1"/>
  <c r="C7" i="4"/>
  <c r="H350" i="6"/>
  <c r="D349" i="6"/>
  <c r="G634" i="3"/>
  <c r="G23" i="3" s="1"/>
  <c r="C23" i="3"/>
  <c r="C333" i="3"/>
  <c r="H520" i="3"/>
  <c r="D519" i="3"/>
  <c r="C225" i="3"/>
  <c r="G216" i="3"/>
  <c r="G7" i="3" s="1"/>
  <c r="C7" i="3"/>
  <c r="G654" i="6"/>
  <c r="G23" i="6" s="1"/>
  <c r="C23" i="6"/>
  <c r="C541" i="6"/>
  <c r="D899" i="7"/>
  <c r="D30" i="7" s="1"/>
  <c r="D11" i="7" s="1"/>
  <c r="G541" i="6" l="1"/>
  <c r="C540" i="6"/>
  <c r="C14" i="3"/>
  <c r="G333" i="3"/>
  <c r="G14" i="3" s="1"/>
  <c r="H540" i="6"/>
  <c r="H20" i="6" s="1"/>
  <c r="D20" i="6"/>
  <c r="C519" i="3"/>
  <c r="G520" i="3"/>
  <c r="C707" i="3"/>
  <c r="D243" i="6"/>
  <c r="H234" i="6"/>
  <c r="H7" i="6" s="1"/>
  <c r="D7" i="6"/>
  <c r="H728" i="6"/>
  <c r="D726" i="6"/>
  <c r="H663" i="6"/>
  <c r="H24" i="6" s="1"/>
  <c r="D24" i="6"/>
  <c r="D1011" i="4"/>
  <c r="G726" i="6"/>
  <c r="G27" i="6" s="1"/>
  <c r="C27" i="6"/>
  <c r="H519" i="3"/>
  <c r="H20" i="3" s="1"/>
  <c r="D20" i="3"/>
  <c r="C9" i="6"/>
  <c r="G243" i="6"/>
  <c r="G9" i="6" s="1"/>
  <c r="C9" i="3"/>
  <c r="G225" i="3"/>
  <c r="G9" i="3" s="1"/>
  <c r="H333" i="3"/>
  <c r="H14" i="3" s="1"/>
  <c r="D14" i="3"/>
  <c r="D14" i="6"/>
  <c r="H349" i="6"/>
  <c r="H14" i="6" s="1"/>
  <c r="D899" i="6"/>
  <c r="H245" i="6"/>
  <c r="H13" i="6" s="1"/>
  <c r="D13" i="6"/>
  <c r="D227" i="3"/>
  <c r="G349" i="6"/>
  <c r="G14" i="6" s="1"/>
  <c r="C14" i="6"/>
  <c r="D707" i="3"/>
  <c r="H225" i="3"/>
  <c r="H9" i="3" s="1"/>
  <c r="D9" i="3"/>
  <c r="H899" i="6" l="1"/>
  <c r="H30" i="6" s="1"/>
  <c r="D30" i="6"/>
  <c r="H726" i="6"/>
  <c r="H27" i="6" s="1"/>
  <c r="D27" i="6"/>
  <c r="H243" i="6"/>
  <c r="H9" i="6" s="1"/>
  <c r="D9" i="6"/>
  <c r="G519" i="3"/>
  <c r="G20" i="3" s="1"/>
  <c r="C20" i="3"/>
  <c r="G707" i="3"/>
  <c r="G27" i="3" s="1"/>
  <c r="C27" i="3"/>
  <c r="G540" i="6"/>
  <c r="G20" i="6" s="1"/>
  <c r="C20" i="6"/>
  <c r="C899" i="6"/>
  <c r="D878" i="3"/>
  <c r="D875" i="3"/>
  <c r="H227" i="3"/>
  <c r="H13" i="3" s="1"/>
  <c r="D13" i="3"/>
  <c r="H707" i="3"/>
  <c r="H27" i="3" s="1"/>
  <c r="D27" i="3"/>
  <c r="C878" i="3"/>
  <c r="C875" i="3"/>
  <c r="G899" i="6" l="1"/>
  <c r="C30" i="6"/>
  <c r="C11" i="6" s="1"/>
  <c r="G11" i="6" s="1"/>
  <c r="H875" i="3"/>
  <c r="D30" i="3"/>
  <c r="D11" i="3" s="1"/>
  <c r="H11" i="3" s="1"/>
  <c r="G875" i="3"/>
  <c r="C30" i="3"/>
  <c r="C11" i="3" s="1"/>
  <c r="G11" i="3" s="1"/>
  <c r="G30" i="3" l="1"/>
  <c r="G878" i="3"/>
  <c r="H30" i="3"/>
  <c r="H878" i="3"/>
  <c r="G30" i="6"/>
</calcChain>
</file>

<file path=xl/comments1.xml><?xml version="1.0" encoding="utf-8"?>
<comments xmlns="http://schemas.openxmlformats.org/spreadsheetml/2006/main">
  <authors>
    <author>tc={00E8003D-0012-43D1-AE24-005B0076006A}</author>
    <author>tc={00330095-009E-4160-A3BE-009200BF0005}</author>
    <author>tc={00BD004F-00AF-49B2-825A-0067009900EF}</author>
  </authors>
  <commentList>
    <comment ref="H628" authorId="0" shapeId="0">
      <text>
        <r>
          <rPr>
            <b/>
            <sz val="9"/>
            <rFont val="Tahoma"/>
          </rPr>
          <t xml:space="preserve"> :</t>
        </r>
        <r>
          <rPr>
            <sz val="9"/>
            <rFont val="Tahoma"/>
          </rPr>
          <t xml:space="preserve">
Jana Holíková:
0381 019 6171:
50xx  43.827.695
5424     247.607
5167     507.759,10
5173     122.275
5192-5     0
------------------------
cel     44.952.943,10
</t>
        </r>
      </text>
    </comment>
    <comment ref="D767" authorId="1" shapeId="0">
      <text>
        <r>
          <rPr>
            <b/>
            <sz val="9"/>
            <rFont val="Tahoma"/>
          </rPr>
          <t xml:space="preserve"> :</t>
        </r>
        <r>
          <rPr>
            <sz val="9"/>
            <rFont val="Tahoma"/>
          </rPr>
          <t xml:space="preserve">
Gabriela Vlčková:
+391 tis. dotace
</t>
        </r>
      </text>
    </comment>
    <comment ref="D812" authorId="2" shapeId="0">
      <text>
        <r>
          <rPr>
            <b/>
            <sz val="9"/>
            <rFont val="Tahoma"/>
          </rPr>
          <t xml:space="preserve"> :</t>
        </r>
        <r>
          <rPr>
            <sz val="9"/>
            <rFont val="Tahoma"/>
          </rPr>
          <t xml:space="preserve">
Gabriela Vlčková:
+10.450 mimoř. Př.
</t>
        </r>
      </text>
    </comment>
  </commentList>
</comments>
</file>

<file path=xl/comments2.xml><?xml version="1.0" encoding="utf-8"?>
<comments xmlns="http://schemas.openxmlformats.org/spreadsheetml/2006/main">
  <authors>
    <author>tc={00320013-0014-4CC8-B558-005100E000F4}</author>
    <author>tc={00590077-00AF-42CF-83D5-009C00BB007D}</author>
    <author>tc={000E0023-00F9-41F2-BB39-00B50096001D}</author>
    <author>tc={00A000C3-00BC-4FE0-B9B2-0074008A00F2}</author>
    <author>tc={00F5008C-008B-4FD0-B9B1-007A00A70059}</author>
    <author>tc={000800AF-0010-4AE9-9C57-00C200CB0025}</author>
    <author>tc={004B00B6-00B8-4262-A26F-00A6002300DE}</author>
    <author>tc={009F0036-0099-4105-9B7C-00BF007D0029}</author>
    <author>tc={00A0003B-00EB-4AD8-A961-00D8002E002B}</author>
    <author>tc={004D008A-00F7-40D8-8167-00D7004100F5}</author>
    <author>tc={00CE0006-0075-46EB-888E-0037005A0014}</author>
    <author>tc={00C80009-000B-46FB-8913-00D200090082}</author>
    <author>tc={008F00AE-00D8-45BE-8AA9-009F007300E4}</author>
    <author>tc={00A800D4-00BB-4353-9BEF-002000BF00A4}</author>
    <author>tc={00860044-005C-4E80-BE37-001F006E008A}</author>
    <author>tc={006400AF-0061-4775-AA7F-00CB00D6001B}</author>
    <author>tc={00BA006A-009C-4DC5-AFCC-004D001600FA}</author>
    <author>tc={004A00A8-0038-4550-99D7-008900EF00CF}</author>
    <author>tc={000F00CE-0061-4B92-ABC9-00F700F6004F}</author>
    <author>tc={00360046-00CB-4219-86FA-0054006A001D}</author>
    <author>tc={00C30062-00F7-4AF4-AA23-00D400FB0061}</author>
    <author>tc={00730081-00B0-4524-A6F4-000800EB00E6}</author>
    <author>tc={00F70048-0056-4EDA-9FD3-0087007800A6}</author>
    <author>tc={00CA0010-0029-4268-8FE8-00E3009D00C0}</author>
    <author>tc={00C200DC-0080-41DC-A635-001E00E40024}</author>
    <author>tc={003B0002-007A-4C94-AF3A-00F900E4006B}</author>
    <author>tc={0095000E-00E9-422A-AFED-000D00AA006F}</author>
    <author>tc={0073009D-0027-4481-B39D-0025000700CD}</author>
    <author>tc={00270032-0003-4DCD-91FA-0040001100B1}</author>
    <author>tc={00A70070-0075-4C37-8C33-00E900AC00AA}</author>
    <author>tc={003400DE-0000-4B67-B382-00F2007D001F}</author>
    <author>tc={00DC00FC-0033-422B-87AF-009600030007}</author>
    <author>tc={00EA0039-00A0-403F-AED2-006E003C0044}</author>
    <author>tc={00B6002B-00D5-4697-962C-00650022004C}</author>
    <author>tc={002500EE-00DD-401E-A0C7-00FF001D0052}</author>
    <author>tc={00FC00E8-00AA-49B8-9F67-00AE008400E1}</author>
    <author>tc={0043000F-0047-45F6-84C4-000E005600E6}</author>
    <author>tc={009C00B6-00F2-4049-B3EA-00C700740069}</author>
    <author>tc={00740053-0043-4093-9E7F-005500B5000F}</author>
    <author>tc={0091007C-0068-49AB-B78D-0080000100C8}</author>
    <author>tc={003C00F8-00C6-48D2-926D-00B6008B00BF}</author>
    <author>tc={00C10020-00F3-4EB1-839A-003C00BF003A}</author>
    <author>tc={008100AF-0041-40B9-9358-00EE007500A8}</author>
    <author>tc={0057007E-007D-4A98-9E5E-0001002F0042}</author>
    <author>tc={00350017-0005-4FFB-AD98-000C00350008}</author>
    <author>tc={00EF0037-00D9-4046-81C6-00B9005300C4}</author>
    <author>tc={00A90089-00DA-4067-B857-002A0025004F}</author>
    <author>tc={001000F8-0015-4007-979B-0097008A0009}</author>
    <author>tc={00CE007B-0002-420A-AF1C-00EB0005004A}</author>
    <author>tc={005D008B-007B-490E-824D-004400340055}</author>
    <author>tc={009900B1-00EE-478F-BC0A-006500B500A1}</author>
    <author>tc={00A8008F-0033-455E-B59E-003A00480078}</author>
    <author>tc={00D20010-0069-427C-8991-00EE007A0038}</author>
    <author>tc={00710008-00F9-47D0-AA15-006E0055009D}</author>
    <author>tc={00D300D7-002B-445B-8507-0079006D00AE}</author>
    <author>tc={007C007A-00E2-4D44-A77C-005300110073}</author>
    <author>tc={006E00AB-00CF-49D1-ADA0-00BE0068005D}</author>
    <author>tc={00C10066-0022-4712-86A8-001A00190024}</author>
    <author>tc={007E00BF-00D6-430A-8472-00FF00DF0090}</author>
    <author>tc={005100A8-00C9-43F4-91AE-004F001200E7}</author>
    <author>tc={005A0071-00D6-4736-BA79-002B00670031}</author>
    <author>tc={003D00C3-00B4-4EAD-A2B8-004E008B00F0}</author>
    <author>tc={0080001C-00E8-4098-9909-002900C20094}</author>
    <author>tc={00670040-0054-4735-851B-00AC006C00FA}</author>
    <author>tc={0031004B-00DA-4441-828C-0069006B00BB}</author>
    <author>tc={00E20050-00F7-454E-8C41-0034009A0065}</author>
    <author>tc={005B00D2-009D-4561-AC39-0081007900BA}</author>
    <author>tc={008E00A6-008A-4FD3-9F64-004A007E0009}</author>
    <author>tc={004F0068-00CB-41EA-8F81-0080000F00F5}</author>
    <author>tc={004D0096-00B3-4E93-BF98-0062009C0065}</author>
    <author>tc={00BE00E9-0072-4CB5-8DA4-00A00017002C}</author>
    <author>tc={00B20052-00A3-44BD-85CA-00FD003300F1}</author>
    <author>tc={000300EC-0051-4A9E-9E84-00E900D200B3}</author>
    <author>tc={002E00CE-004E-4C02-A6A7-00B7004F00ED}</author>
    <author>tc={00D100D9-00A6-43E0-965D-00BC006E0065}</author>
    <author>tc={002D0049-00E8-417A-B500-009500D600D9}</author>
    <author>tc={0070005C-00B6-4C83-BDC2-00CA003200BA}</author>
    <author>tc={00C70036-00BF-4061-9D7E-00F100130005}</author>
    <author>tc={007200DF-00BA-4B98-A1B9-00E100F2002D}</author>
    <author>tc={00170038-0052-405C-9486-000900740091}</author>
    <author>tc={00BE0079-00CB-45B8-B53F-006F00020085}</author>
    <author>tc={00560007-00FB-4629-A610-00C5006A00DF}</author>
    <author>tc={003400F8-0042-47A3-A0B1-006300E900EE}</author>
    <author>tc={00D9002A-0077-4B54-A28D-003F000100B7}</author>
    <author>tc={004400F0-005A-4865-A157-00E1009A0079}</author>
    <author>tc={009F0043-008C-44B1-82F7-008500B500C4}</author>
    <author>tc={00A0004D-001E-4BE9-8F8B-002500A70075}</author>
    <author>tc={007E004C-00DE-4904-836E-00B4008D001F}</author>
    <author>tc={004D0022-00A0-4788-9DA6-00B0002E0078}</author>
    <author>tc={00A900A5-007E-4E34-BE75-003A00A70055}</author>
    <author>tc={00BA001F-00C8-4041-A8C1-007C0063009D}</author>
    <author>tc={00C500CC-00BA-456F-A3AC-009800CF00F6}</author>
    <author>tc={00A9003F-0071-4C84-BCEE-00CB00060062}</author>
    <author>tc={00AF002D-0067-4412-9BFC-00B80002003C}</author>
    <author>tc={006800C5-0070-4B72-848E-005000A900CA}</author>
    <author>tc={007A0074-00B3-4F18-9CE4-00E7005D003F}</author>
    <author>tc={00EC00E8-004F-48B0-940E-0010003F00BA}</author>
    <author>tc={00D10012-003F-4607-9BE9-001100A00051}</author>
    <author>tc={001200C3-00A2-48D3-9DA4-00DC006300E8}</author>
    <author>tc={00180091-0035-455E-8C0E-00C100AA00FF}</author>
    <author>tc={00420012-003E-4CF1-B335-005600A10075}</author>
    <author>tc={00340001-0068-4635-A729-00A50093001B}</author>
    <author>tc={006D0089-00DD-49F8-B3BE-004C00C20013}</author>
    <author>tc={00FC00B2-00A4-4C1E-879B-009200DF007F}</author>
    <author>tc={002C0075-0098-4A11-95ED-00E2005800C8}</author>
    <author>tc={00960095-001C-4683-B8E2-001B001B002B}</author>
    <author>tc={003D0043-0090-4EBE-84E5-000700E100DE}</author>
    <author>tc={0042008A-0060-457A-898E-00AD00D60070}</author>
    <author>tc={003000F6-00E2-4E05-A853-006D006C00B8}</author>
    <author>tc={000B0017-0026-4C2D-A3DB-0091001100FD}</author>
    <author>tc={001F0003-0025-47AF-B1EC-00E2001F0007}</author>
    <author>tc={00C900B8-0038-4C10-A07D-00AD00B000FB}</author>
    <author>tc={000500DA-0088-4708-9E20-0092002500A4}</author>
    <author>tc={009800D2-009E-4491-B50C-0086006B0099}</author>
    <author>tc={00D5008C-0060-48D9-ABAB-005D00B400BD}</author>
    <author>tc={001600EA-0003-4571-AA85-004B00390011}</author>
    <author>tc={0018002D-0037-475B-976A-006500BD0004}</author>
    <author>tc={00FC009A-0010-4EEB-8E8E-0084008B00EB}</author>
    <author>tc={001100D1-0008-46E8-B855-001E00E5004A}</author>
    <author>tc={002F002A-0079-452A-8D25-004200910085}</author>
    <author>tc={00B200A9-00F2-46C7-B7E3-00C4008F0036}</author>
    <author>tc={00880065-0011-413E-AC5B-0077002D007D}</author>
    <author>tc={001100F0-0015-438B-9DC2-0043008300F6}</author>
    <author>tc={00E200FF-00C6-45AC-B0A0-009C003300A6}</author>
    <author>tc={003300CF-001C-43B6-85D4-007300C40055}</author>
    <author>tc={004E000F-0000-4658-A851-009B00460049}</author>
    <author>tc={000E0020-001E-4168-B305-002D00530083}</author>
    <author>tc={00D700DF-00DE-4582-9E11-00DE00BC0051}</author>
    <author>tc={00B7008B-00C3-486E-A470-00F4005200A2}</author>
    <author>tc={00AA00B0-004E-4F27-BF36-003F00260009}</author>
    <author>tc={004C0017-00D9-45FB-85BE-00B900DD00A1}</author>
    <author>tc={007600EF-0028-46D4-B8F5-004900F60095}</author>
    <author>tc={00AF00A0-0059-42A6-80AB-00CE00E3007A}</author>
    <author>tc={00CF0051-00C1-462D-95D6-001100DF007F}</author>
    <author>tc={007900E6-00F0-40E4-B458-00D8000A009E}</author>
    <author>tc={00D30030-0080-4A58-A487-0091003000E6}</author>
    <author>tc={00D600B8-005B-4057-BF86-00BB00FE0063}</author>
    <author>tc={00290037-00CE-4D8A-ADA4-007D00C9003A}</author>
    <author>tc={00E50036-00A9-44FF-A1C6-00C3000F00D8}</author>
    <author>tc={00AA0005-00CF-4447-BE3B-009F00C700D9}</author>
    <author>tc={005600FB-006B-481C-962C-00B300C000CD}</author>
    <author>tc={001E00E8-00F5-4C46-BCF0-00BE00780035}</author>
    <author>tc={002E00EA-0011-4755-853C-00DB00AB0005}</author>
    <author>tc={002600C9-0065-4659-86F8-0060008900D8}</author>
    <author>tc={001C0098-0046-4EE7-A30F-004B007C0026}</author>
    <author>tc={00510022-00C4-434C-A6A4-00DC005700BE}</author>
    <author>tc={00E600F3-0040-4C0E-B29D-005600FD0070}</author>
    <author>tc={00DF0049-00CE-4AB9-B1AA-0005005400C9}</author>
    <author>tc={0098004E-00BA-4DDA-A053-00210094004A}</author>
    <author>tc={005F00AF-00BE-4BEF-9A22-009C002A0011}</author>
    <author>tc={000E00B1-0017-4145-9FFB-0024000500BC}</author>
    <author>tc={00CF0004-007A-4585-ACE6-003100B6006B}</author>
    <author>tc={00F10080-0050-42E0-B9B8-00010026000E}</author>
    <author>tc={009600C8-00FD-41DA-8C31-004E001C007A}</author>
    <author>tc={006F0056-0012-4304-86FF-006100EC0002}</author>
    <author>tc={000F001D-0099-4901-832C-0094008700C8}</author>
    <author>tc={00E90090-0077-4A6E-9C40-00F7001E00BF}</author>
    <author>tc={00DE0004-001B-42DC-A39D-005200DE0093}</author>
    <author>tc={003F007B-007C-4C77-B238-002600650007}</author>
    <author>tc={00670013-00AA-43A8-AAB9-008D000F0003}</author>
    <author>tc={00140020-0096-4881-AA42-0006000A00C8}</author>
    <author>tc={0095002F-0085-428D-930A-008100720075}</author>
    <author>tc={00D400A1-001B-4FD1-BA33-00A0005500EA}</author>
    <author>tc={007C008C-00CD-4191-A374-009E000C006A}</author>
    <author>tc={007300C9-007E-4248-B4F5-00DD002D0023}</author>
    <author>tc={00820025-0082-4A8D-8175-004700A100AC}</author>
    <author>tc={005E00E8-0083-4CF4-B61A-00F900FC00C3}</author>
    <author>tc={0077009D-00E2-4A54-9366-00550086008F}</author>
    <author>tc={00A500CB-0034-47F9-82A4-006B007A000F}</author>
    <author>tc={005700E5-004F-4194-A08F-002A001200D6}</author>
    <author>tc={00F1009D-00DB-4E62-96BC-00F300DE004B}</author>
    <author>tc={00E4002D-00AF-4ED5-AC6C-001200F30062}</author>
    <author>tc={00A300C8-0006-41CD-A42B-003B0098002A}</author>
    <author>tc={008D0004-00EB-4241-859A-000600F20018}</author>
    <author>tc={0034001D-006A-46D2-A85E-00CC00F700CA}</author>
    <author>tc={00090016-0017-4EDF-AEFB-00EA0030005D}</author>
    <author>tc={00700020-00F5-4558-8000-002C005100B0}</author>
    <author>tc={00DB00B6-0021-4911-B899-001D002600E7}</author>
    <author>tc={0049001F-0025-4BEC-A31E-000700820018}</author>
    <author>tc={00D1003E-0091-4321-B5D9-007B00090055}</author>
    <author>tc={004700AB-006E-435F-A330-004E006A00E3}</author>
    <author>tc={00010081-0026-49E9-8230-007000C80094}</author>
    <author>tc={000200DE-000B-46AD-8BBA-00EC008800A8}</author>
    <author>tc={00560086-00B5-4DC2-BF95-0009005400DF}</author>
    <author>tc={00C40068-007D-471C-9CB7-00FC00F6007D}</author>
    <author>tc={007400B5-0038-405F-BE6C-005900540005}</author>
    <author>tc={0041004C-00B0-4261-9F4F-00A900EC0092}</author>
    <author>tc={0088001D-0006-4D0A-B5EC-008000550004}</author>
    <author>tc={009C00DC-0057-4396-A5B4-00EF001900FC}</author>
    <author>tc={0000007F-0004-496E-AD6D-004F003600AC}</author>
    <author>tc={00DD0093-00C9-40D9-ADFF-007D002900F1}</author>
    <author>tc={001500B1-00C2-4B19-832E-00A40013001F}</author>
    <author>tc={00A4000E-000A-4FF8-8B00-002D00A000DB}</author>
    <author>tc={005200AE-002F-4A61-972B-00AF005D0040}</author>
    <author>tc={0014000E-0038-4FF5-95DD-00A5002B0058}</author>
    <author>tc={0050007B-00EF-4975-B19A-003D00B3004C}</author>
    <author>tc={00F2002B-00D0-4AB2-8BD7-00C200A8008F}</author>
    <author>tc={006200E1-004E-490A-886A-00A000DB002D}</author>
    <author>tc={000B0083-00A1-45BF-9B5E-00930086007A}</author>
    <author>tc={003F001A-00EB-42AF-8817-007000C00054}</author>
    <author>tc={00DA0039-00F2-4AAD-BC70-00C600DC0094}</author>
    <author>tc={00A20039-004B-4428-A4C0-006900D900CD}</author>
    <author>tc={00C2009B-0094-496D-9271-001100CC00D1}</author>
    <author>tc={008B0043-00A5-4AF7-8864-008B000C0054}</author>
  </authors>
  <commentList>
    <comment ref="K11" authorId="0" shapeId="0">
      <text>
        <r>
          <rPr>
            <b/>
            <sz val="9"/>
            <rFont val="Tahoma"/>
          </rPr>
          <t>Jana Holíková:</t>
        </r>
        <r>
          <rPr>
            <sz val="9"/>
            <rFont val="Tahoma"/>
          </rPr>
          <t xml:space="preserve">
ř.4240-4220
</t>
        </r>
      </text>
    </comment>
    <comment ref="K12" authorId="1" shapeId="0">
      <text>
        <r>
          <rPr>
            <b/>
            <sz val="9"/>
            <rFont val="Tahoma"/>
          </rPr>
          <t>Ing. Jana Holíková:</t>
        </r>
        <r>
          <rPr>
            <sz val="9"/>
            <rFont val="Tahoma"/>
          </rPr>
          <t xml:space="preserve">
040 ř.4220
nebo celk výdaje - tř6
nebo
min Závěrečný propočet dle výkazu
</t>
        </r>
      </text>
    </comment>
    <comment ref="L12" authorId="2" shapeId="0">
      <text>
        <r>
          <rPr>
            <b/>
            <sz val="9"/>
            <rFont val="Tahoma"/>
          </rPr>
          <t>Jana Holíková:</t>
        </r>
        <r>
          <rPr>
            <sz val="9"/>
            <rFont val="Tahoma"/>
          </rPr>
          <t xml:space="preserve">
ř.4220
</t>
        </r>
      </text>
    </comment>
    <comment ref="K13" authorId="3" shapeId="0">
      <text>
        <r>
          <rPr>
            <b/>
            <sz val="9"/>
            <rFont val="Tahoma"/>
          </rPr>
          <t>Ing. Jana Holíková:</t>
        </r>
        <r>
          <rPr>
            <sz val="9"/>
            <rFont val="Tahoma"/>
          </rPr>
          <t xml:space="preserve">
040 ř.4240
nebo
min Závěrečný propočet
dle výkazu
</t>
        </r>
      </text>
    </comment>
    <comment ref="L13" authorId="4" shapeId="0">
      <text>
        <r>
          <rPr>
            <b/>
            <sz val="9"/>
            <rFont val="Tahoma"/>
          </rPr>
          <t>Jana Holíková:</t>
        </r>
        <r>
          <rPr>
            <sz val="9"/>
            <rFont val="Tahoma"/>
          </rPr>
          <t xml:space="preserve">
ř.4240-ř.4300-ř.4310
</t>
        </r>
      </text>
    </comment>
    <comment ref="D38" authorId="5" shapeId="0">
      <text>
        <r>
          <rPr>
            <b/>
            <sz val="9"/>
            <rFont val="Tahoma"/>
          </rPr>
          <t>Jana Holíková:</t>
        </r>
        <r>
          <rPr>
            <sz val="9"/>
            <rFont val="Tahoma"/>
          </rPr>
          <t xml:space="preserve">
23060/04 -10.050.300
</t>
        </r>
      </text>
    </comment>
    <comment ref="D45" authorId="6" shapeId="0">
      <text>
        <r>
          <rPr>
            <b/>
            <sz val="9"/>
            <rFont val="Tahoma"/>
          </rPr>
          <t>Jana Holíková:</t>
        </r>
        <r>
          <rPr>
            <sz val="9"/>
            <rFont val="Tahoma"/>
          </rPr>
          <t xml:space="preserve">
23083/06 +76.497
</t>
        </r>
      </text>
    </comment>
    <comment ref="D49" authorId="7" shapeId="0">
      <text>
        <r>
          <rPr>
            <b/>
            <sz val="9"/>
            <rFont val="Tahoma"/>
          </rPr>
          <t>Jana Holíková:</t>
        </r>
        <r>
          <rPr>
            <sz val="9"/>
            <rFont val="Tahoma"/>
          </rPr>
          <t xml:space="preserve">
23040/03 +33.700
23083/06 +20.200
</t>
        </r>
      </text>
    </comment>
    <comment ref="D69" authorId="8" shapeId="0">
      <text>
        <r>
          <rPr>
            <b/>
            <sz val="9"/>
            <rFont val="Tahoma"/>
          </rPr>
          <t>Jana Holíková:</t>
        </r>
        <r>
          <rPr>
            <sz val="9"/>
            <rFont val="Tahoma"/>
          </rPr>
          <t xml:space="preserve">
23083/06 +20.000
</t>
        </r>
      </text>
    </comment>
    <comment ref="D70" authorId="9" shapeId="0">
      <text>
        <r>
          <rPr>
            <b/>
            <sz val="9"/>
            <rFont val="Tahoma"/>
          </rPr>
          <t>Jana Holíková:</t>
        </r>
        <r>
          <rPr>
            <sz val="9"/>
            <rFont val="Tahoma"/>
          </rPr>
          <t xml:space="preserve">
23083/06 +87.410
</t>
        </r>
      </text>
    </comment>
    <comment ref="D78" authorId="10" shapeId="0">
      <text>
        <r>
          <rPr>
            <b/>
            <sz val="9"/>
            <rFont val="Tahoma"/>
          </rPr>
          <t>Jana Holíková:</t>
        </r>
        <r>
          <rPr>
            <sz val="9"/>
            <rFont val="Tahoma"/>
          </rPr>
          <t xml:space="preserve">
23044/03 +384 (321)
23061/04 +43.797 (350)
23071/05 +270 (322)
</t>
        </r>
      </text>
    </comment>
    <comment ref="D89" authorId="11" shapeId="0">
      <text>
        <r>
          <rPr>
            <b/>
            <sz val="9"/>
            <rFont val="Tahoma"/>
          </rPr>
          <t>Jana Holíková:</t>
        </r>
        <r>
          <rPr>
            <sz val="9"/>
            <rFont val="Tahoma"/>
          </rPr>
          <t xml:space="preserve">
23043/03 -7.381.538
</t>
        </r>
      </text>
    </comment>
    <comment ref="D95" authorId="12" shapeId="0">
      <text>
        <r>
          <rPr>
            <b/>
            <sz val="9"/>
            <rFont val="Tahoma"/>
          </rPr>
          <t>Jana Holíková:</t>
        </r>
        <r>
          <rPr>
            <sz val="9"/>
            <rFont val="Tahoma"/>
          </rPr>
          <t xml:space="preserve">
23083/06 +36.600
</t>
        </r>
      </text>
    </comment>
    <comment ref="D96" authorId="13" shapeId="0">
      <text>
        <r>
          <rPr>
            <b/>
            <sz val="9"/>
            <rFont val="Tahoma"/>
          </rPr>
          <t>Jana Holíková:</t>
        </r>
        <r>
          <rPr>
            <sz val="9"/>
            <rFont val="Tahoma"/>
          </rPr>
          <t xml:space="preserve">
23083/06 
+144.589,67 osm
+12.000 od
</t>
        </r>
      </text>
    </comment>
    <comment ref="D108" authorId="14" shapeId="0">
      <text>
        <r>
          <rPr>
            <b/>
            <sz val="9"/>
            <rFont val="Tahoma"/>
          </rPr>
          <t>Jana Holíková:</t>
        </r>
        <r>
          <rPr>
            <sz val="9"/>
            <rFont val="Tahoma"/>
          </rPr>
          <t xml:space="preserve">
23017/02 
+ 91.051,59   0307
+159.661,95 0305
</t>
        </r>
      </text>
    </comment>
    <comment ref="D109" authorId="15" shapeId="0">
      <text>
        <r>
          <rPr>
            <b/>
            <sz val="9"/>
            <rFont val="Tahoma"/>
          </rPr>
          <t>Jana Holíková:</t>
        </r>
        <r>
          <rPr>
            <sz val="9"/>
            <rFont val="Tahoma"/>
          </rPr>
          <t xml:space="preserve">
23017/02 +29.886,84
</t>
        </r>
      </text>
    </comment>
    <comment ref="D110" authorId="16" shapeId="0">
      <text>
        <r>
          <rPr>
            <b/>
            <sz val="9"/>
            <rFont val="Tahoma"/>
          </rPr>
          <t>Jana Holíková:</t>
        </r>
        <r>
          <rPr>
            <sz val="9"/>
            <rFont val="Tahoma"/>
          </rPr>
          <t xml:space="preserve">
23017/02 +305.600,85
</t>
        </r>
      </text>
    </comment>
    <comment ref="D111" authorId="17" shapeId="0">
      <text>
        <r>
          <rPr>
            <b/>
            <sz val="9"/>
            <rFont val="Tahoma"/>
          </rPr>
          <t>Jana Holíková:</t>
        </r>
        <r>
          <rPr>
            <sz val="9"/>
            <rFont val="Tahoma"/>
          </rPr>
          <t xml:space="preserve">
23017/02 +151.277,28
</t>
        </r>
      </text>
    </comment>
    <comment ref="D112" authorId="18" shapeId="0">
      <text>
        <r>
          <rPr>
            <b/>
            <sz val="9"/>
            <rFont val="Tahoma"/>
          </rPr>
          <t>Jana Holíková:</t>
        </r>
        <r>
          <rPr>
            <sz val="9"/>
            <rFont val="Tahoma"/>
          </rPr>
          <t xml:space="preserve">
23038/03 +5.706.845,54
</t>
        </r>
      </text>
    </comment>
    <comment ref="D113" authorId="19" shapeId="0">
      <text>
        <r>
          <rPr>
            <b/>
            <sz val="9"/>
            <rFont val="Tahoma"/>
          </rPr>
          <t>Jana Holíková:</t>
        </r>
        <r>
          <rPr>
            <sz val="9"/>
            <rFont val="Tahoma"/>
          </rPr>
          <t xml:space="preserve">
23038/03 +5.706.845,54
</t>
        </r>
      </text>
    </comment>
    <comment ref="D114" authorId="20" shapeId="0">
      <text>
        <r>
          <rPr>
            <b/>
            <sz val="9"/>
            <rFont val="Tahoma"/>
          </rPr>
          <t>Jana Holíková:</t>
        </r>
        <r>
          <rPr>
            <sz val="9"/>
            <rFont val="Tahoma"/>
          </rPr>
          <t xml:space="preserve">
23083/06 +265.673,13
</t>
        </r>
      </text>
    </comment>
    <comment ref="D116" authorId="21" shapeId="0">
      <text>
        <r>
          <rPr>
            <b/>
            <sz val="9"/>
            <rFont val="Tahoma"/>
          </rPr>
          <t>Jana Holíková:</t>
        </r>
        <r>
          <rPr>
            <sz val="9"/>
            <rFont val="Tahoma"/>
          </rPr>
          <t xml:space="preserve">
23083/06 
+5.360 +147.136
</t>
        </r>
      </text>
    </comment>
    <comment ref="D117" authorId="22" shapeId="0">
      <text>
        <r>
          <rPr>
            <b/>
            <sz val="9"/>
            <rFont val="Tahoma"/>
          </rPr>
          <t>Jana Holíková:</t>
        </r>
        <r>
          <rPr>
            <sz val="9"/>
            <rFont val="Tahoma"/>
          </rPr>
          <t xml:space="preserve">
23016/02 +8.015
</t>
        </r>
      </text>
    </comment>
    <comment ref="D118" authorId="23" shapeId="0">
      <text>
        <r>
          <rPr>
            <b/>
            <sz val="9"/>
            <rFont val="Tahoma"/>
          </rPr>
          <t>Jana Holíková:</t>
        </r>
        <r>
          <rPr>
            <sz val="9"/>
            <rFont val="Tahoma"/>
          </rPr>
          <t xml:space="preserve">
23016/02 +33.210
</t>
        </r>
      </text>
    </comment>
    <comment ref="D119" authorId="24" shapeId="0">
      <text>
        <r>
          <rPr>
            <b/>
            <sz val="9"/>
            <rFont val="Tahoma"/>
          </rPr>
          <t>Jana Holíková:</t>
        </r>
        <r>
          <rPr>
            <sz val="9"/>
            <rFont val="Tahoma"/>
          </rPr>
          <t xml:space="preserve">
23050/04 +100.000
</t>
        </r>
      </text>
    </comment>
    <comment ref="D120" authorId="25" shapeId="0">
      <text>
        <r>
          <rPr>
            <b/>
            <sz val="9"/>
            <rFont val="Tahoma"/>
          </rPr>
          <t>Jana Holíková:</t>
        </r>
        <r>
          <rPr>
            <sz val="9"/>
            <rFont val="Tahoma"/>
          </rPr>
          <t xml:space="preserve">
23011/02 -+50.000
23031/02 -+50.000
23032/02 +5.000
</t>
        </r>
      </text>
    </comment>
    <comment ref="D121" authorId="26" shapeId="0">
      <text>
        <r>
          <rPr>
            <b/>
            <sz val="9"/>
            <rFont val="Tahoma"/>
          </rPr>
          <t>Jana Holíková:</t>
        </r>
        <r>
          <rPr>
            <sz val="9"/>
            <rFont val="Tahoma"/>
          </rPr>
          <t xml:space="preserve">
23019/02 +59.931
23095/06 +206.193
</t>
        </r>
      </text>
    </comment>
    <comment ref="D137" authorId="27" shapeId="0">
      <text>
        <r>
          <rPr>
            <b/>
            <sz val="9"/>
            <rFont val="Tahoma"/>
          </rPr>
          <t>Jana Holíková:</t>
        </r>
        <r>
          <rPr>
            <sz val="9"/>
            <rFont val="Tahoma"/>
          </rPr>
          <t xml:space="preserve">
23013/02 +227.100
23028/02 +232.500
23042/03 +210.000
23064/04 +231.000
23076/05 +234.000
23092/06 +241.800
</t>
        </r>
      </text>
    </comment>
    <comment ref="D146" authorId="28" shapeId="0">
      <text>
        <r>
          <rPr>
            <b/>
            <sz val="9"/>
            <rFont val="Tahoma"/>
          </rPr>
          <t>Jana Holíková:</t>
        </r>
        <r>
          <rPr>
            <sz val="9"/>
            <rFont val="Tahoma"/>
          </rPr>
          <t xml:space="preserve">
23080/06 -5.500.000
</t>
        </r>
      </text>
    </comment>
    <comment ref="D147" authorId="29" shapeId="0">
      <text>
        <r>
          <rPr>
            <b/>
            <sz val="9"/>
            <rFont val="Tahoma"/>
          </rPr>
          <t>Jana Holíková:</t>
        </r>
        <r>
          <rPr>
            <sz val="9"/>
            <rFont val="Tahoma"/>
          </rPr>
          <t xml:space="preserve">
23087/06 -7.500.000
</t>
        </r>
      </text>
    </comment>
    <comment ref="D148" authorId="30" shapeId="0">
      <text>
        <r>
          <rPr>
            <b/>
            <sz val="9"/>
            <rFont val="Tahoma"/>
          </rPr>
          <t>Jana Holíková:</t>
        </r>
        <r>
          <rPr>
            <sz val="9"/>
            <rFont val="Tahoma"/>
          </rPr>
          <t xml:space="preserve">
23062/04 -1.144.538
</t>
        </r>
      </text>
    </comment>
    <comment ref="D169" authorId="31" shapeId="0">
      <text>
        <r>
          <rPr>
            <b/>
            <sz val="9"/>
            <rFont val="Tahoma"/>
          </rPr>
          <t>Jana Holíková:</t>
        </r>
        <r>
          <rPr>
            <sz val="9"/>
            <rFont val="Tahoma"/>
          </rPr>
          <t xml:space="preserve">
23014/02 +864.200
</t>
        </r>
      </text>
    </comment>
    <comment ref="D170" authorId="32" shapeId="0">
      <text>
        <r>
          <rPr>
            <b/>
            <sz val="9"/>
            <rFont val="Tahoma"/>
          </rPr>
          <t>Jana Holíková:</t>
        </r>
        <r>
          <rPr>
            <sz val="9"/>
            <rFont val="Tahoma"/>
          </rPr>
          <t xml:space="preserve">
23063/04 +3.705,41
</t>
        </r>
      </text>
    </comment>
    <comment ref="D171" authorId="33" shapeId="0">
      <text>
        <r>
          <rPr>
            <b/>
            <sz val="9"/>
            <rFont val="Tahoma"/>
          </rPr>
          <t>Jana Holíková:</t>
        </r>
        <r>
          <rPr>
            <sz val="9"/>
            <rFont val="Tahoma"/>
          </rPr>
          <t xml:space="preserve">
23005/01 +2.499.800
</t>
        </r>
      </text>
    </comment>
    <comment ref="D173" authorId="34" shapeId="0">
      <text>
        <r>
          <rPr>
            <b/>
            <sz val="9"/>
            <rFont val="Tahoma"/>
          </rPr>
          <t>Jana Holíková:</t>
        </r>
        <r>
          <rPr>
            <sz val="9"/>
            <rFont val="Tahoma"/>
          </rPr>
          <t xml:space="preserve">
23062/04 +1.059.598
</t>
        </r>
      </text>
    </comment>
    <comment ref="D174" authorId="35" shapeId="0">
      <text>
        <r>
          <rPr>
            <b/>
            <sz val="9"/>
            <rFont val="Tahoma"/>
          </rPr>
          <t>Jana Holíková:</t>
        </r>
        <r>
          <rPr>
            <sz val="9"/>
            <rFont val="Tahoma"/>
          </rPr>
          <t xml:space="preserve">
23062/04 +1.059.598
</t>
        </r>
      </text>
    </comment>
    <comment ref="D175" authorId="36" shapeId="0">
      <text>
        <r>
          <rPr>
            <b/>
            <sz val="9"/>
            <rFont val="Tahoma"/>
          </rPr>
          <t>Jana Holíková:</t>
        </r>
        <r>
          <rPr>
            <sz val="9"/>
            <rFont val="Tahoma"/>
          </rPr>
          <t xml:space="preserve">
23087/06 +8.304.000
</t>
        </r>
      </text>
    </comment>
    <comment ref="D176" authorId="37" shapeId="0">
      <text>
        <r>
          <rPr>
            <b/>
            <sz val="9"/>
            <rFont val="Tahoma"/>
          </rPr>
          <t>Jana Holíková:</t>
        </r>
        <r>
          <rPr>
            <sz val="9"/>
            <rFont val="Tahoma"/>
          </rPr>
          <t xml:space="preserve">
23046/03
+    635,25 17015 1071
+12.705     17015 1075 
</t>
        </r>
      </text>
    </comment>
    <comment ref="D177" authorId="38" shapeId="0">
      <text>
        <r>
          <rPr>
            <b/>
            <sz val="9"/>
            <rFont val="Tahoma"/>
          </rPr>
          <t>Jana Holíková:</t>
        </r>
        <r>
          <rPr>
            <sz val="9"/>
            <rFont val="Tahoma"/>
          </rPr>
          <t xml:space="preserve">
23047/03
+ 635,25  17015 107 1
+12.705  17016 107 5
</t>
        </r>
      </text>
    </comment>
    <comment ref="D178" authorId="39" shapeId="0">
      <text>
        <r>
          <rPr>
            <b/>
            <sz val="9"/>
            <rFont val="Tahoma"/>
          </rPr>
          <t>Jana Holíková:</t>
        </r>
        <r>
          <rPr>
            <sz val="9"/>
            <rFont val="Tahoma"/>
          </rPr>
          <t xml:space="preserve">
23057/04 +14.200
</t>
        </r>
      </text>
    </comment>
    <comment ref="D179" authorId="40" shapeId="0">
      <text>
        <r>
          <rPr>
            <b/>
            <sz val="9"/>
            <rFont val="Tahoma"/>
          </rPr>
          <t>Jana Holíková:</t>
        </r>
        <r>
          <rPr>
            <sz val="9"/>
            <rFont val="Tahoma"/>
          </rPr>
          <t xml:space="preserve">
23057/04 +35.205
</t>
        </r>
      </text>
    </comment>
    <comment ref="D180" authorId="41" shapeId="0">
      <text>
        <r>
          <rPr>
            <b/>
            <sz val="9"/>
            <rFont val="Tahoma"/>
          </rPr>
          <t>Jana:</t>
        </r>
        <r>
          <rPr>
            <sz val="9"/>
            <rFont val="Tahoma"/>
          </rPr>
          <t xml:space="preserve">
23015/02 úz33092 
+1.005.316,48 1431
+3.315.837,52 1435
</t>
        </r>
      </text>
    </comment>
    <comment ref="D181" authorId="42" shapeId="0">
      <text>
        <r>
          <rPr>
            <b/>
            <sz val="9"/>
            <rFont val="Tahoma"/>
          </rPr>
          <t>Jana:</t>
        </r>
        <r>
          <rPr>
            <sz val="9"/>
            <rFont val="Tahoma"/>
          </rPr>
          <t xml:space="preserve">
23058/04 úz33092 
+ 519.876,20 1431
+1.714.708,80 1435
</t>
        </r>
      </text>
    </comment>
    <comment ref="D182" authorId="43" shapeId="0">
      <text>
        <r>
          <rPr>
            <b/>
            <sz val="9"/>
            <rFont val="Tahoma"/>
          </rPr>
          <t>Jana:</t>
        </r>
        <r>
          <rPr>
            <sz val="9"/>
            <rFont val="Tahoma"/>
          </rPr>
          <t xml:space="preserve">
23093/06 úz33092 
+ 551.883,72 1431
+1.820.279,28 1435
</t>
        </r>
      </text>
    </comment>
    <comment ref="D183" authorId="44" shapeId="0">
      <text>
        <r>
          <rPr>
            <b/>
            <sz val="9"/>
            <rFont val="Tahoma"/>
          </rPr>
          <t>Jana Holíková:</t>
        </r>
        <r>
          <rPr>
            <sz val="9"/>
            <rFont val="Tahoma"/>
          </rPr>
          <t xml:space="preserve">
23096/06 +100.000
</t>
        </r>
      </text>
    </comment>
    <comment ref="D190" authorId="45" shapeId="0">
      <text>
        <r>
          <rPr>
            <b/>
            <sz val="9"/>
            <rFont val="Tahoma"/>
          </rPr>
          <t>Jana Holíková:</t>
        </r>
        <r>
          <rPr>
            <sz val="9"/>
            <rFont val="Tahoma"/>
          </rPr>
          <t xml:space="preserve">
23039/03 org z 541 na 029
</t>
        </r>
      </text>
    </comment>
    <comment ref="D194" authorId="46" shapeId="0">
      <text>
        <r>
          <rPr>
            <b/>
            <sz val="9"/>
            <rFont val="Tahoma"/>
          </rPr>
          <t>Jana Holíková:</t>
        </r>
        <r>
          <rPr>
            <sz val="9"/>
            <rFont val="Tahoma"/>
          </rPr>
          <t xml:space="preserve">
23001/01 +4.551.000
</t>
        </r>
      </text>
    </comment>
    <comment ref="D195" authorId="47" shapeId="0">
      <text>
        <r>
          <rPr>
            <b/>
            <sz val="9"/>
            <rFont val="Tahoma"/>
          </rPr>
          <t>Jana Holíková:</t>
        </r>
        <r>
          <rPr>
            <sz val="9"/>
            <rFont val="Tahoma"/>
          </rPr>
          <t xml:space="preserve">
23056/04 +80.000
</t>
        </r>
      </text>
    </comment>
    <comment ref="D196" authorId="48" shapeId="0">
      <text>
        <r>
          <rPr>
            <b/>
            <sz val="9"/>
            <rFont val="Tahoma"/>
          </rPr>
          <t>Jana Holíková:</t>
        </r>
        <r>
          <rPr>
            <sz val="9"/>
            <rFont val="Tahoma"/>
          </rPr>
          <t xml:space="preserve">
23055/04 +50.000
</t>
        </r>
      </text>
    </comment>
    <comment ref="D197" authorId="49" shapeId="0">
      <text>
        <r>
          <rPr>
            <b/>
            <sz val="9"/>
            <rFont val="Tahoma"/>
          </rPr>
          <t>Jana Holíková:</t>
        </r>
        <r>
          <rPr>
            <sz val="9"/>
            <rFont val="Tahoma"/>
          </rPr>
          <t xml:space="preserve">
23027/02 +9.234 (z 4222)
</t>
        </r>
      </text>
    </comment>
    <comment ref="D198" authorId="50" shapeId="0">
      <text>
        <r>
          <rPr>
            <b/>
            <sz val="9"/>
            <rFont val="Tahoma"/>
          </rPr>
          <t>Jana Holíková:</t>
        </r>
        <r>
          <rPr>
            <sz val="9"/>
            <rFont val="Tahoma"/>
          </rPr>
          <t xml:space="preserve">
23059/04 +210.000
</t>
        </r>
      </text>
    </comment>
    <comment ref="D200" authorId="51" shapeId="0">
      <text>
        <r>
          <rPr>
            <b/>
            <sz val="9"/>
            <rFont val="Tahoma"/>
          </rPr>
          <t>Jana Holíková:</t>
        </r>
        <r>
          <rPr>
            <sz val="9"/>
            <rFont val="Tahoma"/>
          </rPr>
          <t xml:space="preserve">
23086/06 úz 913, 120 1,5
+ 4.752,88 (0321, 1201)
+26.932,97 (0321, 1205)
+ 1.806,05 (0322, 1201)
+10.234,30 (0322, 1205)
+ 5.713,08 (0323, 1201)
+32.374,08 (0323, 1205)
</t>
        </r>
      </text>
    </comment>
    <comment ref="D201" authorId="52" shapeId="0">
      <text>
        <r>
          <rPr>
            <b/>
            <sz val="9"/>
            <rFont val="Tahoma"/>
          </rPr>
          <t>Jana Holíková:</t>
        </r>
        <r>
          <rPr>
            <sz val="9"/>
            <rFont val="Tahoma"/>
          </rPr>
          <t xml:space="preserve">
23054/04 + 5.960.000
</t>
        </r>
      </text>
    </comment>
    <comment ref="D202" authorId="53" shapeId="0">
      <text>
        <r>
          <rPr>
            <b/>
            <sz val="9"/>
            <rFont val="Tahoma"/>
          </rPr>
          <t>Jana Holíková:</t>
        </r>
        <r>
          <rPr>
            <sz val="9"/>
            <rFont val="Tahoma"/>
          </rPr>
          <t xml:space="preserve">
23082/06-94.000
</t>
        </r>
      </text>
    </comment>
    <comment ref="D207" authorId="54" shapeId="0">
      <text>
        <r>
          <rPr>
            <b/>
            <sz val="9"/>
            <rFont val="Tahoma"/>
          </rPr>
          <t>Jana Holíková:</t>
        </r>
        <r>
          <rPr>
            <sz val="9"/>
            <rFont val="Tahoma"/>
          </rPr>
          <t xml:space="preserve">
23046/03 -4.250.000
+   205.587,45 17968 1071
+4.111.749,01  17969 1075 
</t>
        </r>
      </text>
    </comment>
    <comment ref="D208" authorId="55" shapeId="0">
      <text>
        <r>
          <rPr>
            <b/>
            <sz val="9"/>
            <rFont val="Tahoma"/>
          </rPr>
          <t>Jana Holíková:</t>
        </r>
        <r>
          <rPr>
            <sz val="9"/>
            <rFont val="Tahoma"/>
          </rPr>
          <t xml:space="preserve">
23047/03 
-4.800.000 17969 1075
+ 239.760,30 17968 107 1
+4.795.207,68 17969 107 5
</t>
        </r>
      </text>
    </comment>
    <comment ref="D211" authorId="56" shapeId="0">
      <text>
        <r>
          <rPr>
            <b/>
            <sz val="9"/>
            <rFont val="Tahoma"/>
          </rPr>
          <t>Jana Holíková:</t>
        </r>
        <r>
          <rPr>
            <sz val="9"/>
            <rFont val="Tahoma"/>
          </rPr>
          <t xml:space="preserve">
23055/04 +150.000
</t>
        </r>
      </text>
    </comment>
    <comment ref="D212" authorId="57" shapeId="0">
      <text>
        <r>
          <rPr>
            <b/>
            <sz val="9"/>
            <rFont val="Tahoma"/>
          </rPr>
          <t>Jana Holíková:</t>
        </r>
        <r>
          <rPr>
            <sz val="9"/>
            <rFont val="Tahoma"/>
          </rPr>
          <t xml:space="preserve">
23088/06 +22.018
</t>
        </r>
      </text>
    </comment>
    <comment ref="D213" authorId="58" shapeId="0">
      <text>
        <r>
          <rPr>
            <b/>
            <sz val="9"/>
            <rFont val="Tahoma"/>
          </rPr>
          <t>Jana Holíková:</t>
        </r>
        <r>
          <rPr>
            <sz val="9"/>
            <rFont val="Tahoma"/>
          </rPr>
          <t xml:space="preserve">
23027/02 
zm úz z 720 na 711,
-9.234 (na 4122)
</t>
        </r>
      </text>
    </comment>
    <comment ref="D230" authorId="59" shapeId="0">
      <text>
        <r>
          <rPr>
            <b/>
            <sz val="9"/>
            <rFont val="Tahoma"/>
          </rPr>
          <t>Jana Holíková:</t>
        </r>
        <r>
          <rPr>
            <sz val="9"/>
            <rFont val="Tahoma"/>
          </rPr>
          <t xml:space="preserve">
23571/06 -13.240
</t>
        </r>
      </text>
    </comment>
    <comment ref="D233" authorId="60" shapeId="0">
      <text>
        <r>
          <rPr>
            <b/>
            <sz val="9"/>
            <rFont val="Tahoma"/>
          </rPr>
          <t>Jana Holíková:</t>
        </r>
        <r>
          <rPr>
            <sz val="9"/>
            <rFont val="Tahoma"/>
          </rPr>
          <t xml:space="preserve">
23571/06 +13.240
</t>
        </r>
      </text>
    </comment>
    <comment ref="D236" authorId="61" shapeId="0">
      <text>
        <r>
          <rPr>
            <b/>
            <sz val="9"/>
            <rFont val="Tahoma"/>
          </rPr>
          <t>Jana Holíková:</t>
        </r>
        <r>
          <rPr>
            <sz val="9"/>
            <rFont val="Tahoma"/>
          </rPr>
          <t xml:space="preserve">
23089/06 +242.676
</t>
        </r>
      </text>
    </comment>
    <comment ref="D250" authorId="62" shapeId="0">
      <text>
        <r>
          <rPr>
            <b/>
            <sz val="9"/>
            <rFont val="Tahoma"/>
          </rPr>
          <t>Jana Holíková:</t>
        </r>
        <r>
          <rPr>
            <sz val="9"/>
            <rFont val="Tahoma"/>
          </rPr>
          <t xml:space="preserve">
23095/06 +61.673
</t>
        </r>
      </text>
    </comment>
    <comment ref="D258" authorId="63" shapeId="0">
      <text>
        <r>
          <rPr>
            <b/>
            <sz val="9"/>
            <rFont val="Tahoma"/>
          </rPr>
          <t>Jana Holíková:</t>
        </r>
        <r>
          <rPr>
            <sz val="9"/>
            <rFont val="Tahoma"/>
          </rPr>
          <t xml:space="preserve">
23049/03 -700.000
</t>
        </r>
      </text>
    </comment>
    <comment ref="D267" authorId="64" shapeId="0">
      <text>
        <r>
          <rPr>
            <b/>
            <sz val="9"/>
            <rFont val="Tahoma"/>
          </rPr>
          <t>Jana Holíková:</t>
        </r>
        <r>
          <rPr>
            <sz val="9"/>
            <rFont val="Tahoma"/>
          </rPr>
          <t xml:space="preserve">
23508/02 +29.498,59
</t>
        </r>
      </text>
    </comment>
    <comment ref="D268" authorId="65" shapeId="0">
      <text>
        <r>
          <rPr>
            <b/>
            <sz val="9"/>
            <rFont val="Tahoma"/>
          </rPr>
          <t>Jana Holíková:</t>
        </r>
        <r>
          <rPr>
            <sz val="9"/>
            <rFont val="Tahoma"/>
          </rPr>
          <t xml:space="preserve">
23508/02 -29.498,59
</t>
        </r>
      </text>
    </comment>
    <comment ref="D269" authorId="66" shapeId="0">
      <text>
        <r>
          <rPr>
            <b/>
            <sz val="9"/>
            <rFont val="Tahoma"/>
          </rPr>
          <t>Jana Holíková:</t>
        </r>
        <r>
          <rPr>
            <sz val="9"/>
            <rFont val="Tahoma"/>
          </rPr>
          <t xml:space="preserve">
23095/06 +1.124
</t>
        </r>
      </text>
    </comment>
    <comment ref="D286" authorId="67" shapeId="0">
      <text>
        <r>
          <rPr>
            <b/>
            <sz val="9"/>
            <rFont val="Tahoma"/>
          </rPr>
          <t>Jana Holíková:</t>
        </r>
        <r>
          <rPr>
            <sz val="9"/>
            <rFont val="Tahoma"/>
          </rPr>
          <t xml:space="preserve">
23091/06 +274.029,69
23097/06 +220.000
</t>
        </r>
      </text>
    </comment>
    <comment ref="D289" authorId="68" shapeId="0">
      <text>
        <r>
          <rPr>
            <b/>
            <sz val="9"/>
            <rFont val="Tahoma"/>
          </rPr>
          <t>Jana Holíková:</t>
        </r>
        <r>
          <rPr>
            <sz val="9"/>
            <rFont val="Tahoma"/>
          </rPr>
          <t xml:space="preserve">
23553/05 -179.080
23091/06 -274.029,69
</t>
        </r>
      </text>
    </comment>
    <comment ref="D292" authorId="69" shapeId="0">
      <text>
        <r>
          <rPr>
            <b/>
            <sz val="9"/>
            <rFont val="Tahoma"/>
          </rPr>
          <t>Jana Holíková:</t>
        </r>
        <r>
          <rPr>
            <sz val="9"/>
            <rFont val="Tahoma"/>
          </rPr>
          <t xml:space="preserve">
23553/05 +179.080
</t>
        </r>
      </text>
    </comment>
    <comment ref="D293" authorId="70" shapeId="0">
      <text>
        <r>
          <rPr>
            <b/>
            <sz val="9"/>
            <rFont val="Tahoma"/>
          </rPr>
          <t>Jana Holíková:</t>
        </r>
        <r>
          <rPr>
            <sz val="9"/>
            <rFont val="Tahoma"/>
          </rPr>
          <t xml:space="preserve">
23051/04 +100.000 houpačka Kojetín part.rozp
</t>
        </r>
      </text>
    </comment>
    <comment ref="D300" authorId="71" shapeId="0">
      <text>
        <r>
          <rPr>
            <b/>
            <sz val="9"/>
            <rFont val="Tahoma"/>
          </rPr>
          <t>Jana Holíková:</t>
        </r>
        <r>
          <rPr>
            <sz val="9"/>
            <rFont val="Tahoma"/>
          </rPr>
          <t xml:space="preserve">
23025/02 -43.923
</t>
        </r>
      </text>
    </comment>
    <comment ref="D307" authorId="72" shapeId="0">
      <text>
        <r>
          <rPr>
            <b/>
            <sz val="9"/>
            <rFont val="Tahoma"/>
          </rPr>
          <t>Jana Holíková:</t>
        </r>
        <r>
          <rPr>
            <sz val="9"/>
            <rFont val="Tahoma"/>
          </rPr>
          <t xml:space="preserve">
23095/06 +1.858
</t>
        </r>
      </text>
    </comment>
    <comment ref="D310" authorId="73" shapeId="0">
      <text>
        <r>
          <rPr>
            <b/>
            <sz val="9"/>
            <rFont val="Tahoma"/>
          </rPr>
          <t>Jana Holíková:</t>
        </r>
        <r>
          <rPr>
            <sz val="9"/>
            <rFont val="Tahoma"/>
          </rPr>
          <t xml:space="preserve">
23514/02 +70.301
</t>
        </r>
      </text>
    </comment>
    <comment ref="D311" authorId="74" shapeId="0">
      <text>
        <r>
          <rPr>
            <b/>
            <sz val="9"/>
            <rFont val="Tahoma"/>
          </rPr>
          <t>Jana Holíková:</t>
        </r>
        <r>
          <rPr>
            <sz val="9"/>
            <rFont val="Tahoma"/>
          </rPr>
          <t xml:space="preserve">
23514/02 +26257
</t>
        </r>
      </text>
    </comment>
    <comment ref="D314" authorId="75" shapeId="0">
      <text>
        <r>
          <rPr>
            <b/>
            <sz val="9"/>
            <rFont val="Tahoma"/>
          </rPr>
          <t>Jana Holíková:</t>
        </r>
        <r>
          <rPr>
            <sz val="9"/>
            <rFont val="Tahoma"/>
          </rPr>
          <t xml:space="preserve">
23514/02 -124.482
</t>
        </r>
      </text>
    </comment>
    <comment ref="D315" authorId="76" shapeId="0">
      <text>
        <r>
          <rPr>
            <b/>
            <sz val="9"/>
            <rFont val="Tahoma"/>
          </rPr>
          <t>Jana Holíková:</t>
        </r>
        <r>
          <rPr>
            <sz val="9"/>
            <rFont val="Tahoma"/>
          </rPr>
          <t xml:space="preserve">
23514/02 +27.924
</t>
        </r>
      </text>
    </comment>
    <comment ref="D320" authorId="77" shapeId="0">
      <text>
        <r>
          <rPr>
            <b/>
            <sz val="9"/>
            <rFont val="Tahoma"/>
          </rPr>
          <t>Jana Holíková:</t>
        </r>
        <r>
          <rPr>
            <sz val="9"/>
            <rFont val="Tahoma"/>
          </rPr>
          <t xml:space="preserve">
23008/01 +33.698
</t>
        </r>
      </text>
    </comment>
    <comment ref="D321" authorId="78" shapeId="0">
      <text>
        <r>
          <rPr>
            <b/>
            <sz val="9"/>
            <rFont val="Tahoma"/>
          </rPr>
          <t>Jana Holíková:</t>
        </r>
        <r>
          <rPr>
            <sz val="9"/>
            <rFont val="Tahoma"/>
          </rPr>
          <t xml:space="preserve">
23037/03 +175.000
</t>
        </r>
      </text>
    </comment>
    <comment ref="D331" authorId="79" shapeId="0">
      <text/>
    </comment>
    <comment ref="D332" authorId="80" shapeId="0">
      <text>
        <r>
          <rPr>
            <b/>
            <sz val="9"/>
            <rFont val="Tahoma"/>
          </rPr>
          <t>Jana Holíková:</t>
        </r>
        <r>
          <rPr>
            <sz val="9"/>
            <rFont val="Tahoma"/>
          </rPr>
          <t xml:space="preserve">
23095/06 +29.008
</t>
        </r>
      </text>
    </comment>
    <comment ref="D348" authorId="81" shapeId="0">
      <text>
        <r>
          <rPr>
            <b/>
            <sz val="9"/>
            <rFont val="Tahoma"/>
          </rPr>
          <t>Jana Holíková:</t>
        </r>
        <r>
          <rPr>
            <sz val="9"/>
            <rFont val="Tahoma"/>
          </rPr>
          <t xml:space="preserve">
23520/02 -13.500
23049/03 
+700.000 +1.250.000
</t>
        </r>
      </text>
    </comment>
    <comment ref="D352" authorId="82" shapeId="0">
      <text>
        <r>
          <rPr>
            <b/>
            <sz val="9"/>
            <rFont val="Tahoma"/>
          </rPr>
          <t>Jana Holíková:</t>
        </r>
        <r>
          <rPr>
            <sz val="9"/>
            <rFont val="Tahoma"/>
          </rPr>
          <t xml:space="preserve">
23520/02 +13.500
</t>
        </r>
      </text>
    </comment>
    <comment ref="D353" authorId="83" shapeId="0">
      <text>
        <r>
          <rPr>
            <b/>
            <sz val="9"/>
            <rFont val="Tahoma"/>
          </rPr>
          <t>Jana Holíková:</t>
        </r>
        <r>
          <rPr>
            <sz val="9"/>
            <rFont val="Tahoma"/>
          </rPr>
          <t xml:space="preserve">
23569/06 +200.000
</t>
        </r>
      </text>
    </comment>
    <comment ref="D355" authorId="84" shapeId="0">
      <text>
        <r>
          <rPr>
            <b/>
            <sz val="9"/>
            <rFont val="Tahoma"/>
          </rPr>
          <t>Jana Holíková:</t>
        </r>
        <r>
          <rPr>
            <sz val="9"/>
            <rFont val="Tahoma"/>
          </rPr>
          <t xml:space="preserve">
23569/06 -200.000
</t>
        </r>
      </text>
    </comment>
    <comment ref="D357" authorId="85" shapeId="0">
      <text>
        <r>
          <rPr>
            <b/>
            <sz val="9"/>
            <rFont val="Tahoma"/>
          </rPr>
          <t>Jana Holíková:</t>
        </r>
        <r>
          <rPr>
            <sz val="9"/>
            <rFont val="Tahoma"/>
          </rPr>
          <t xml:space="preserve">
23049/03 +500.000
</t>
        </r>
      </text>
    </comment>
    <comment ref="D363" authorId="86" shapeId="0">
      <text>
        <r>
          <rPr>
            <b/>
            <sz val="9"/>
            <rFont val="Tahoma"/>
          </rPr>
          <t>Jana Holíková:</t>
        </r>
        <r>
          <rPr>
            <sz val="9"/>
            <rFont val="Tahoma"/>
          </rPr>
          <t xml:space="preserve">
23573/06 +50.000
</t>
        </r>
      </text>
    </comment>
    <comment ref="D364" authorId="87" shapeId="0">
      <text>
        <r>
          <rPr>
            <b/>
            <sz val="9"/>
            <rFont val="Tahoma"/>
          </rPr>
          <t>Jana Holíková:</t>
        </r>
        <r>
          <rPr>
            <sz val="9"/>
            <rFont val="Tahoma"/>
          </rPr>
          <t xml:space="preserve">
23542/04 -50.000
23573/06 -50.000
</t>
        </r>
      </text>
    </comment>
    <comment ref="D366" authorId="88" shapeId="0">
      <text>
        <r>
          <rPr>
            <b/>
            <sz val="9"/>
            <rFont val="Tahoma"/>
          </rPr>
          <t>Jana Holíková:</t>
        </r>
        <r>
          <rPr>
            <sz val="9"/>
            <rFont val="Tahoma"/>
          </rPr>
          <t xml:space="preserve">
23542/04 +50.000
</t>
        </r>
      </text>
    </comment>
    <comment ref="D369" authorId="89" shapeId="0">
      <text>
        <r>
          <rPr>
            <b/>
            <sz val="9"/>
            <rFont val="Tahoma"/>
          </rPr>
          <t>Jana Holíková:</t>
        </r>
        <r>
          <rPr>
            <sz val="9"/>
            <rFont val="Tahoma"/>
          </rPr>
          <t xml:space="preserve">
23004/01 +2.500.000
</t>
        </r>
      </text>
    </comment>
    <comment ref="D385" authorId="90" shapeId="0">
      <text>
        <r>
          <rPr>
            <b/>
            <sz val="9"/>
            <rFont val="Tahoma"/>
          </rPr>
          <t>Jana Holíková:</t>
        </r>
        <r>
          <rPr>
            <sz val="9"/>
            <rFont val="Tahoma"/>
          </rPr>
          <t xml:space="preserve">
23088 +22.018 úz611
</t>
        </r>
      </text>
    </comment>
    <comment ref="D386" authorId="91" shapeId="0">
      <text>
        <r>
          <rPr>
            <b/>
            <sz val="9"/>
            <rFont val="Tahoma"/>
          </rPr>
          <t>Jana Holíková:</t>
        </r>
        <r>
          <rPr>
            <sz val="9"/>
            <rFont val="Tahoma"/>
          </rPr>
          <t xml:space="preserve">
23521/03 +-117.833 dozn úz 610
</t>
        </r>
      </text>
    </comment>
    <comment ref="D390" authorId="92" shapeId="0">
      <text>
        <r>
          <rPr>
            <b/>
            <sz val="9"/>
            <rFont val="Tahoma"/>
          </rPr>
          <t>Jana Holíková:</t>
        </r>
        <r>
          <rPr>
            <sz val="9"/>
            <rFont val="Tahoma"/>
          </rPr>
          <t xml:space="preserve">
23012/02 +13.000 úz612
</t>
        </r>
      </text>
    </comment>
    <comment ref="D403" authorId="93" shapeId="0">
      <text>
        <r>
          <rPr>
            <b/>
            <sz val="9"/>
            <rFont val="Tahoma"/>
          </rPr>
          <t>Jana Holíková:</t>
        </r>
        <r>
          <rPr>
            <sz val="9"/>
            <rFont val="Tahoma"/>
          </rPr>
          <t xml:space="preserve">
23543/04 +4.635.000
</t>
        </r>
      </text>
    </comment>
    <comment ref="D404" authorId="94" shapeId="0">
      <text>
        <r>
          <rPr>
            <b/>
            <sz val="9"/>
            <rFont val="Tahoma"/>
          </rPr>
          <t>Jana Holíková:</t>
        </r>
        <r>
          <rPr>
            <sz val="9"/>
            <rFont val="Tahoma"/>
          </rPr>
          <t xml:space="preserve">
23543/04 -4.635.000
</t>
        </r>
      </text>
    </comment>
    <comment ref="D406" authorId="95" shapeId="0">
      <text>
        <r>
          <rPr>
            <b/>
            <sz val="9"/>
            <rFont val="Tahoma"/>
          </rPr>
          <t>Jana Holíková:</t>
        </r>
        <r>
          <rPr>
            <sz val="9"/>
            <rFont val="Tahoma"/>
          </rPr>
          <t xml:space="preserve">
23548/05 
+150.000 +80.000
</t>
        </r>
      </text>
    </comment>
    <comment ref="D408" authorId="96" shapeId="0">
      <text>
        <r>
          <rPr>
            <b/>
            <sz val="9"/>
            <rFont val="Tahoma"/>
          </rPr>
          <t>Jana Holíková:</t>
        </r>
        <r>
          <rPr>
            <sz val="9"/>
            <rFont val="Tahoma"/>
          </rPr>
          <t xml:space="preserve">
23070/05 -1.700.000
</t>
        </r>
      </text>
    </comment>
    <comment ref="D409" authorId="97" shapeId="0">
      <text>
        <r>
          <rPr>
            <b/>
            <sz val="9"/>
            <rFont val="Tahoma"/>
          </rPr>
          <t>Jana Holíková:</t>
        </r>
        <r>
          <rPr>
            <sz val="9"/>
            <rFont val="Tahoma"/>
          </rPr>
          <t xml:space="preserve">
23021/02 -14.000.000
23548/05 -230.000
</t>
        </r>
      </text>
    </comment>
    <comment ref="D417" authorId="98" shapeId="0">
      <text>
        <r>
          <rPr>
            <b/>
            <sz val="9"/>
            <rFont val="Tahoma"/>
          </rPr>
          <t>Jana Holíková:</t>
        </r>
        <r>
          <rPr>
            <sz val="9"/>
            <rFont val="Tahoma"/>
          </rPr>
          <t xml:space="preserve">
23023/02 -153.307 part.rozp-psí hř
23051/04 -100.000 part.rozp Houpačka Kojetín
</t>
        </r>
      </text>
    </comment>
    <comment ref="D428" authorId="99" shapeId="0">
      <text>
        <r>
          <rPr>
            <b/>
            <sz val="9"/>
            <rFont val="Tahoma"/>
          </rPr>
          <t>Jana Holíková:</t>
        </r>
        <r>
          <rPr>
            <sz val="9"/>
            <rFont val="Tahoma"/>
          </rPr>
          <t xml:space="preserve">
23554/05 +500.000
</t>
        </r>
      </text>
    </comment>
    <comment ref="D430" authorId="100" shapeId="0">
      <text>
        <r>
          <rPr>
            <b/>
            <sz val="9"/>
            <rFont val="Tahoma"/>
          </rPr>
          <t>Jana Holíková:</t>
        </r>
        <r>
          <rPr>
            <sz val="9"/>
            <rFont val="Tahoma"/>
          </rPr>
          <t xml:space="preserve">
23554/05 -500.000
</t>
        </r>
      </text>
    </comment>
    <comment ref="D442" authorId="101" shapeId="0">
      <text>
        <r>
          <rPr>
            <b/>
            <sz val="9"/>
            <rFont val="Tahoma"/>
          </rPr>
          <t>Jana Holíková:</t>
        </r>
        <r>
          <rPr>
            <sz val="9"/>
            <rFont val="Tahoma"/>
          </rPr>
          <t xml:space="preserve">
23045/03 +1.500.000
</t>
        </r>
      </text>
    </comment>
    <comment ref="D444" authorId="102" shapeId="0">
      <text>
        <r>
          <rPr>
            <b/>
            <sz val="9"/>
            <rFont val="Tahoma"/>
          </rPr>
          <t>Jana Holíková:</t>
        </r>
        <r>
          <rPr>
            <sz val="9"/>
            <rFont val="Tahoma"/>
          </rPr>
          <t xml:space="preserve">
23537/04 +-400.000 org
</t>
        </r>
      </text>
    </comment>
    <comment ref="D448" authorId="103" shapeId="0">
      <text>
        <r>
          <rPr>
            <b/>
            <sz val="9"/>
            <rFont val="Tahoma"/>
          </rPr>
          <t>Jana Holíková:</t>
        </r>
        <r>
          <rPr>
            <sz val="9"/>
            <rFont val="Tahoma"/>
          </rPr>
          <t xml:space="preserve">
23024/02 +1.500.000
</t>
        </r>
      </text>
    </comment>
    <comment ref="D449" authorId="104" shapeId="0">
      <text>
        <r>
          <rPr>
            <b/>
            <sz val="9"/>
            <rFont val="Tahoma"/>
          </rPr>
          <t>Jana Holíková:</t>
        </r>
        <r>
          <rPr>
            <sz val="9"/>
            <rFont val="Tahoma"/>
          </rPr>
          <t xml:space="preserve">
23024/02 +1.200.000
</t>
        </r>
      </text>
    </comment>
    <comment ref="D455" authorId="105" shapeId="0">
      <text>
        <r>
          <rPr>
            <b/>
            <sz val="9"/>
            <rFont val="Tahoma"/>
          </rPr>
          <t>Jana Holíková:</t>
        </r>
        <r>
          <rPr>
            <sz val="9"/>
            <rFont val="Tahoma"/>
          </rPr>
          <t xml:space="preserve">
23026/02 +1.700.000
</t>
        </r>
      </text>
    </comment>
    <comment ref="D456" authorId="106" shapeId="0">
      <text>
        <r>
          <rPr>
            <b/>
            <sz val="9"/>
            <rFont val="Tahoma"/>
          </rPr>
          <t>Jana Holíková:</t>
        </r>
        <r>
          <rPr>
            <sz val="9"/>
            <rFont val="Tahoma"/>
          </rPr>
          <t xml:space="preserve">
23024/02 +4.000.000
</t>
        </r>
      </text>
    </comment>
    <comment ref="D458" authorId="107" shapeId="0">
      <text>
        <r>
          <rPr>
            <b/>
            <sz val="9"/>
            <rFont val="Tahoma"/>
          </rPr>
          <t>Jana Holíková:</t>
        </r>
        <r>
          <rPr>
            <sz val="9"/>
            <rFont val="Tahoma"/>
          </rPr>
          <t xml:space="preserve">
23551/05 -1.300.000
</t>
        </r>
      </text>
    </comment>
    <comment ref="D460" authorId="108" shapeId="0">
      <text>
        <r>
          <rPr>
            <b/>
            <sz val="9"/>
            <rFont val="Tahoma"/>
          </rPr>
          <t>Jana Holíková:</t>
        </r>
        <r>
          <rPr>
            <sz val="9"/>
            <rFont val="Tahoma"/>
          </rPr>
          <t xml:space="preserve">
23524/03 -1.300.000
23551/05 +1.300.000
</t>
        </r>
      </text>
    </comment>
    <comment ref="D464" authorId="109" shapeId="0">
      <text>
        <r>
          <rPr>
            <b/>
            <sz val="9"/>
            <rFont val="Tahoma"/>
          </rPr>
          <t>Jana Holíková:</t>
        </r>
        <r>
          <rPr>
            <sz val="9"/>
            <rFont val="Tahoma"/>
          </rPr>
          <t xml:space="preserve">
23523/03 -40.000
</t>
        </r>
      </text>
    </comment>
    <comment ref="D465" authorId="110" shapeId="0">
      <text>
        <r>
          <rPr>
            <b/>
            <sz val="9"/>
            <rFont val="Tahoma"/>
          </rPr>
          <t>Jana Holíková:</t>
        </r>
        <r>
          <rPr>
            <sz val="9"/>
            <rFont val="Tahoma"/>
          </rPr>
          <t xml:space="preserve">
23524/03 +1.300.000
</t>
        </r>
      </text>
    </comment>
    <comment ref="D466" authorId="111" shapeId="0">
      <text>
        <r>
          <rPr>
            <b/>
            <sz val="9"/>
            <rFont val="Tahoma"/>
          </rPr>
          <t>Jana Holíková:</t>
        </r>
        <r>
          <rPr>
            <sz val="9"/>
            <rFont val="Tahoma"/>
          </rPr>
          <t xml:space="preserve">
23523/03 +40.000
</t>
        </r>
      </text>
    </comment>
    <comment ref="D473" authorId="112" shapeId="0">
      <text>
        <r>
          <rPr>
            <b/>
            <sz val="9"/>
            <rFont val="Tahoma"/>
          </rPr>
          <t>Jana Holíková:</t>
        </r>
        <r>
          <rPr>
            <sz val="9"/>
            <rFont val="Tahoma"/>
          </rPr>
          <t xml:space="preserve">
23012/02 -13.000
23522/03 +3.000
</t>
        </r>
      </text>
    </comment>
    <comment ref="D474" authorId="113" shapeId="0">
      <text>
        <r>
          <rPr>
            <b/>
            <sz val="9"/>
            <rFont val="Tahoma"/>
          </rPr>
          <t>Jana Holíková:</t>
        </r>
        <r>
          <rPr>
            <sz val="9"/>
            <rFont val="Tahoma"/>
          </rPr>
          <t xml:space="preserve">
23501/01 -20.000
23522/03 -3.000
23535/04 -10.000
</t>
        </r>
      </text>
    </comment>
    <comment ref="D475" authorId="114" shapeId="0">
      <text>
        <r>
          <rPr>
            <b/>
            <sz val="9"/>
            <rFont val="Tahoma"/>
          </rPr>
          <t>Jana Holíková:</t>
        </r>
        <r>
          <rPr>
            <sz val="9"/>
            <rFont val="Tahoma"/>
          </rPr>
          <t xml:space="preserve">
23501/01 +20.000
23535/04 +10.000
23568/06 +50.000
</t>
        </r>
      </text>
    </comment>
    <comment ref="D478" authorId="115" shapeId="0">
      <text>
        <r>
          <rPr>
            <b/>
            <sz val="9"/>
            <rFont val="Tahoma"/>
          </rPr>
          <t>Jana Holíková:</t>
        </r>
        <r>
          <rPr>
            <sz val="9"/>
            <rFont val="Tahoma"/>
          </rPr>
          <t xml:space="preserve">
23012/02 -13.000
23568/06 -50.000
</t>
        </r>
      </text>
    </comment>
    <comment ref="D483" authorId="116" shapeId="0">
      <text>
        <r>
          <rPr>
            <b/>
            <sz val="9"/>
            <rFont val="Tahoma"/>
          </rPr>
          <t>Jana Holíková:</t>
        </r>
        <r>
          <rPr>
            <sz val="9"/>
            <rFont val="Tahoma"/>
          </rPr>
          <t xml:space="preserve">
23518/02 -20.160
</t>
        </r>
      </text>
    </comment>
    <comment ref="D485" authorId="117" shapeId="0">
      <text>
        <r>
          <rPr>
            <b/>
            <sz val="9"/>
            <rFont val="Tahoma"/>
          </rPr>
          <t>Jana Holíková:</t>
        </r>
        <r>
          <rPr>
            <sz val="9"/>
            <rFont val="Tahoma"/>
          </rPr>
          <t xml:space="preserve">
23516/02 +20.160
</t>
        </r>
      </text>
    </comment>
    <comment ref="D487" authorId="118" shapeId="0">
      <text>
        <r>
          <rPr>
            <b/>
            <sz val="9"/>
            <rFont val="Tahoma"/>
          </rPr>
          <t>Jana Holíková:</t>
        </r>
        <r>
          <rPr>
            <sz val="9"/>
            <rFont val="Tahoma"/>
          </rPr>
          <t xml:space="preserve">
23507/02 -12.000
</t>
        </r>
      </text>
    </comment>
    <comment ref="D488" authorId="119" shapeId="0">
      <text>
        <r>
          <rPr>
            <b/>
            <sz val="9"/>
            <rFont val="Tahoma"/>
          </rPr>
          <t>Jana Holíková:</t>
        </r>
        <r>
          <rPr>
            <sz val="9"/>
            <rFont val="Tahoma"/>
          </rPr>
          <t xml:space="preserve">
23507/02 +12.000
</t>
        </r>
      </text>
    </comment>
    <comment ref="D499" authorId="120" shapeId="0">
      <text>
        <r>
          <rPr>
            <b/>
            <sz val="9"/>
            <rFont val="Tahoma"/>
          </rPr>
          <t>Jana Holíková:</t>
        </r>
        <r>
          <rPr>
            <sz val="9"/>
            <rFont val="Tahoma"/>
          </rPr>
          <t xml:space="preserve">
23030/02 +70.804,80 +217.373,47
23040/03 +33.700
23055/04 úz 693
+50.000 NIV
+150.000 IV
23056/04 +80.000 úz673 NIV
</t>
        </r>
      </text>
    </comment>
    <comment ref="D507" authorId="121" shapeId="0">
      <text>
        <r>
          <rPr>
            <b/>
            <sz val="9"/>
            <rFont val="Tahoma"/>
          </rPr>
          <t>Jana Holíková:</t>
        </r>
        <r>
          <rPr>
            <sz val="9"/>
            <rFont val="Tahoma"/>
          </rPr>
          <t xml:space="preserve">
23065/05 +231.000 dorov.2022
</t>
        </r>
      </text>
    </comment>
    <comment ref="D517" authorId="122" shapeId="0">
      <text>
        <r>
          <rPr>
            <b/>
            <sz val="9"/>
            <rFont val="Tahoma"/>
          </rPr>
          <t>Jana Holíková:</t>
        </r>
        <r>
          <rPr>
            <sz val="9"/>
            <rFont val="Tahoma"/>
          </rPr>
          <t xml:space="preserve">
23014/02 +864.200
</t>
        </r>
      </text>
    </comment>
    <comment ref="D542" authorId="123" shapeId="0">
      <text>
        <r>
          <rPr>
            <b/>
            <sz val="9"/>
            <rFont val="Tahoma"/>
          </rPr>
          <t>Jana Holíková:</t>
        </r>
        <r>
          <rPr>
            <sz val="9"/>
            <rFont val="Tahoma"/>
          </rPr>
          <t xml:space="preserve">
23095/06 +6.348
</t>
        </r>
      </text>
    </comment>
    <comment ref="D548" authorId="124" shapeId="0">
      <text>
        <r>
          <rPr>
            <b/>
            <sz val="9"/>
            <rFont val="Tahoma"/>
          </rPr>
          <t>Jana Holíková:</t>
        </r>
        <r>
          <rPr>
            <sz val="9"/>
            <rFont val="Tahoma"/>
          </rPr>
          <t xml:space="preserve">
23086/06 úz 914 
+ 4.752,88  120,1
+26.932,97 120,5
</t>
        </r>
      </text>
    </comment>
    <comment ref="D549" authorId="125" shapeId="0">
      <text>
        <r>
          <rPr>
            <b/>
            <sz val="9"/>
            <rFont val="Tahoma"/>
          </rPr>
          <t>Jana Holíková:</t>
        </r>
        <r>
          <rPr>
            <sz val="9"/>
            <rFont val="Tahoma"/>
          </rPr>
          <t xml:space="preserve">
23075/05 
+89.825 +296.450
</t>
        </r>
      </text>
    </comment>
    <comment ref="D550" authorId="126" shapeId="0">
      <text>
        <r>
          <rPr>
            <b/>
            <sz val="9"/>
            <rFont val="Tahoma"/>
          </rPr>
          <t>Jana Holíková:</t>
        </r>
        <r>
          <rPr>
            <sz val="9"/>
            <rFont val="Tahoma"/>
          </rPr>
          <t xml:space="preserve">
23022/02 +603.790
23075/05 +213.204
</t>
        </r>
      </text>
    </comment>
    <comment ref="D553" authorId="127" shapeId="0">
      <text>
        <r>
          <rPr>
            <b/>
            <sz val="9"/>
            <rFont val="Tahoma"/>
          </rPr>
          <t>Jana Holíková:</t>
        </r>
        <r>
          <rPr>
            <sz val="9"/>
            <rFont val="Tahoma"/>
          </rPr>
          <t xml:space="preserve">
23015/02 úz 33092
+1.005.316,48  143 1
+3.315.837,52  143 5
23086/06 úz 914 
+ 1.806,05  120,1
+10.234,30 120,5
23095/06 +5.595
</t>
        </r>
      </text>
    </comment>
    <comment ref="D554" authorId="128" shapeId="0">
      <text>
        <r>
          <rPr>
            <b/>
            <sz val="9"/>
            <rFont val="Tahoma"/>
          </rPr>
          <t>Jana Holíková:</t>
        </r>
        <r>
          <rPr>
            <sz val="9"/>
            <rFont val="Tahoma"/>
          </rPr>
          <t xml:space="preserve">
23073/05 +96.
800
</t>
        </r>
      </text>
    </comment>
    <comment ref="D555" authorId="129" shapeId="0">
      <text>
        <r>
          <rPr>
            <b/>
            <sz val="9"/>
            <rFont val="Tahoma"/>
          </rPr>
          <t>Jana Holíková:</t>
        </r>
        <r>
          <rPr>
            <sz val="9"/>
            <rFont val="Tahoma"/>
          </rPr>
          <t xml:space="preserve">
23073/05 -1.200.000
</t>
        </r>
      </text>
    </comment>
    <comment ref="D558" authorId="130" shapeId="0">
      <text>
        <r>
          <rPr>
            <b/>
            <sz val="9"/>
            <rFont val="Tahoma"/>
          </rPr>
          <t>Jana Holíková:</t>
        </r>
        <r>
          <rPr>
            <sz val="9"/>
            <rFont val="Tahoma"/>
          </rPr>
          <t xml:space="preserve">
23086/06 úz 914 
+ 5.713,08  120,1
+32.374,09 120,5
</t>
        </r>
      </text>
    </comment>
    <comment ref="D563" authorId="131" shapeId="0">
      <text>
        <r>
          <rPr>
            <b/>
            <sz val="9"/>
            <rFont val="Tahoma"/>
          </rPr>
          <t>Jana Holíková:</t>
        </r>
        <r>
          <rPr>
            <sz val="9"/>
            <rFont val="Tahoma"/>
          </rPr>
          <t xml:space="preserve">
23019/02 +5.208  poj
23058/04 úz 33092 JAK
+519.876,20 1431
+1.714.708,80 1435
</t>
        </r>
      </text>
    </comment>
    <comment ref="D565" authorId="132" shapeId="0">
      <text>
        <r>
          <rPr>
            <b/>
            <sz val="9"/>
            <rFont val="Tahoma"/>
          </rPr>
          <t>Jana Holíková:</t>
        </r>
        <r>
          <rPr>
            <sz val="9"/>
            <rFont val="Tahoma"/>
          </rPr>
          <t xml:space="preserve">
23070/05 +1.700.000
23074/05 
-1.100.000 -30.000 +48.400 +160.000
</t>
        </r>
      </text>
    </comment>
    <comment ref="D569" authorId="133" shapeId="0">
      <text>
        <r>
          <rPr>
            <b/>
            <sz val="9"/>
            <rFont val="Tahoma"/>
          </rPr>
          <t>Jana Holíková:</t>
        </r>
        <r>
          <rPr>
            <sz val="9"/>
            <rFont val="Tahoma"/>
          </rPr>
          <t xml:space="preserve">
23059/04 +210.200
23093/06 úz 33092
+ 551.883,82 1431
+1.820.279,28 1435
</t>
        </r>
      </text>
    </comment>
    <comment ref="D575" authorId="134" shapeId="0">
      <text>
        <r>
          <rPr>
            <b/>
            <sz val="9"/>
            <rFont val="Tahoma"/>
          </rPr>
          <t>Jana Holíková:</t>
        </r>
        <r>
          <rPr>
            <sz val="9"/>
            <rFont val="Tahoma"/>
          </rPr>
          <t xml:space="preserve">
23003/01 -45.455
</t>
        </r>
      </text>
    </comment>
    <comment ref="D579" authorId="135" shapeId="0">
      <text>
        <r>
          <rPr>
            <b/>
            <sz val="9"/>
            <rFont val="Tahoma"/>
          </rPr>
          <t>Jana Holíková:</t>
        </r>
        <r>
          <rPr>
            <sz val="9"/>
            <rFont val="Tahoma"/>
          </rPr>
          <t xml:space="preserve">
23032/02 +5.000
</t>
        </r>
      </text>
    </comment>
    <comment ref="D584" authorId="136" shapeId="0">
      <text>
        <r>
          <rPr>
            <b/>
            <sz val="9"/>
            <rFont val="Tahoma"/>
          </rPr>
          <t>Jana Holíková:</t>
        </r>
        <r>
          <rPr>
            <sz val="9"/>
            <rFont val="Tahoma"/>
          </rPr>
          <t xml:space="preserve">
23095/06 +19.570
23096/06 +100.000 úz 34002
</t>
        </r>
      </text>
    </comment>
    <comment ref="D592" authorId="137" shapeId="0">
      <text>
        <r>
          <rPr>
            <b/>
            <sz val="9"/>
            <rFont val="Tahoma"/>
          </rPr>
          <t>Jana Holíková:</t>
        </r>
        <r>
          <rPr>
            <sz val="9"/>
            <rFont val="Tahoma"/>
          </rPr>
          <t xml:space="preserve">
23001/01 +4.551.000
23019/02 +4.562 poj
23072/05 -2.989,27
</t>
        </r>
      </text>
    </comment>
    <comment ref="D601" authorId="138" shapeId="0">
      <text>
        <r>
          <rPr>
            <b/>
            <sz val="9"/>
            <rFont val="Tahoma"/>
          </rPr>
          <t>Jana Holíková:</t>
        </r>
        <r>
          <rPr>
            <sz val="9"/>
            <rFont val="Tahoma"/>
          </rPr>
          <t xml:space="preserve">
23033/02 -30.000 r
</t>
        </r>
      </text>
    </comment>
    <comment ref="D603" authorId="139" shapeId="0">
      <text>
        <r>
          <rPr>
            <b/>
            <sz val="9"/>
            <rFont val="Tahoma"/>
          </rPr>
          <t>Jana Holíková:</t>
        </r>
        <r>
          <rPr>
            <sz val="9"/>
            <rFont val="Tahoma"/>
          </rPr>
          <t xml:space="preserve">
23512/02 -200.000
</t>
        </r>
      </text>
    </comment>
    <comment ref="D606" authorId="140" shapeId="0">
      <text>
        <r>
          <rPr>
            <b/>
            <sz val="9"/>
            <rFont val="Tahoma"/>
          </rPr>
          <t>Jana Holíková:</t>
        </r>
        <r>
          <rPr>
            <sz val="9"/>
            <rFont val="Tahoma"/>
          </rPr>
          <t xml:space="preserve">
23034/02 -25.000 r
23066/05 -10.000 r
</t>
        </r>
      </text>
    </comment>
    <comment ref="D609" authorId="141" shapeId="0">
      <text>
        <r>
          <rPr>
            <b/>
            <sz val="9"/>
            <rFont val="Tahoma"/>
          </rPr>
          <t>Jana Holíková:</t>
        </r>
        <r>
          <rPr>
            <sz val="9"/>
            <rFont val="Tahoma"/>
          </rPr>
          <t xml:space="preserve">
23033/02 +30.000
23034/02 +25.000
23512/02 +200.000
23066/05 +10.000
23084/06 -90.000 r
+90.000       
23085/06 +147.136
</t>
        </r>
      </text>
    </comment>
    <comment ref="D616" authorId="142" shapeId="0">
      <text>
        <r>
          <rPr>
            <b/>
            <sz val="9"/>
            <rFont val="Tahoma"/>
          </rPr>
          <t>Jana Holíková:</t>
        </r>
        <r>
          <rPr>
            <sz val="9"/>
            <rFont val="Tahoma"/>
          </rPr>
          <t xml:space="preserve">
23068/05 
+70.000 +80.000 +50.000
</t>
        </r>
      </text>
    </comment>
    <comment ref="D623" authorId="143" shapeId="0">
      <text>
        <r>
          <rPr>
            <b/>
            <sz val="9"/>
            <rFont val="Tahoma"/>
          </rPr>
          <t>Jana Holíková:</t>
        </r>
        <r>
          <rPr>
            <sz val="9"/>
            <rFont val="Tahoma"/>
          </rPr>
          <t xml:space="preserve">
23068/05 -70.000
23095/06 +16.216
</t>
        </r>
      </text>
    </comment>
    <comment ref="D625" authorId="144" shapeId="0">
      <text>
        <r>
          <rPr>
            <b/>
            <sz val="9"/>
            <rFont val="Tahoma"/>
          </rPr>
          <t>Jana Holíková:</t>
        </r>
        <r>
          <rPr>
            <sz val="9"/>
            <rFont val="Tahoma"/>
          </rPr>
          <t xml:space="preserve">
23007/01 úz 13013
+8.051,90  1041
+68.441,11  1045
23511/02 úz 13013  3388
+9.438 1041
+4.719 1041 bez úz
+80.223 1045
23516/02 úz 13013  3388
+27.733,20 1041
+13.866,60 1041 bez úz
+235.732,20 1045
23566/06 úz 13013 
- 8.051,90 1041
+68.441,11 1045
</t>
        </r>
      </text>
    </comment>
    <comment ref="D626" authorId="145" shapeId="0">
      <text>
        <r>
          <rPr>
            <b/>
            <sz val="9"/>
            <rFont val="Tahoma"/>
          </rPr>
          <t>Jana Holíková:</t>
        </r>
        <r>
          <rPr>
            <sz val="9"/>
            <rFont val="Tahoma"/>
          </rPr>
          <t xml:space="preserve">
23511/02 -94.380 (5168)
23516/02 -277.332 (5168)
23566/06 +76.493,01
</t>
        </r>
      </text>
    </comment>
    <comment ref="D631" authorId="146" shapeId="0">
      <text>
        <r>
          <rPr>
            <b/>
            <sz val="9"/>
            <rFont val="Tahoma"/>
          </rPr>
          <t>Jana Holíková:</t>
        </r>
        <r>
          <rPr>
            <sz val="9"/>
            <rFont val="Tahoma"/>
          </rPr>
          <t xml:space="preserve">
23013/02 
+-1.927.500  5811
+    227.100  5169
23028/02
+-2.077.400  5811
+    232.500  5169
23042/03 
+-1.894.600  5811
+   210.000  5169
23064/04 
+-1.831.700 5811
+   231.000 5169
23076/05 
+- 1.703.700 5811
+    234.000
23092/06 
+-1.588.650 5811
+   241.800
</t>
        </r>
      </text>
    </comment>
    <comment ref="D635" authorId="147" shapeId="0">
      <text>
        <r>
          <rPr>
            <b/>
            <sz val="9"/>
            <rFont val="Tahoma"/>
          </rPr>
          <t>Jana Holíková:</t>
        </r>
        <r>
          <rPr>
            <sz val="9"/>
            <rFont val="Tahoma"/>
          </rPr>
          <t xml:space="preserve">
23002/01  +508.200
</t>
        </r>
      </text>
    </comment>
    <comment ref="D636" authorId="148" shapeId="0">
      <text>
        <r>
          <rPr>
            <b/>
            <sz val="9"/>
            <rFont val="Tahoma"/>
          </rPr>
          <t>Jana Holíková:</t>
        </r>
        <r>
          <rPr>
            <sz val="9"/>
            <rFont val="Tahoma"/>
          </rPr>
          <t xml:space="preserve">
23035/03 +400.000 +36.000
23094/06 +67.000
</t>
        </r>
      </text>
    </comment>
    <comment ref="D638" authorId="149" shapeId="0">
      <text>
        <r>
          <rPr>
            <b/>
            <sz val="9"/>
            <rFont val="Tahoma"/>
          </rPr>
          <t>Jana Holíková:</t>
        </r>
        <r>
          <rPr>
            <sz val="9"/>
            <rFont val="Tahoma"/>
          </rPr>
          <t xml:space="preserve">
23062/04  úz13015
+-791.900 5011
+-196.427 5031
+-71.271 5032
23534/04 -15.000
23068/05 -103.000 -27.000
23082/06 +94.000 -94.000
23094/06 -67.000
k 30.6. + 130.000
</t>
        </r>
      </text>
    </comment>
    <comment ref="D639" authorId="150" shapeId="0">
      <text>
        <r>
          <rPr>
            <b/>
            <sz val="9"/>
            <rFont val="Tahoma"/>
          </rPr>
          <t>Jana Holíková:</t>
        </r>
        <r>
          <rPr>
            <sz val="9"/>
            <rFont val="Tahoma"/>
          </rPr>
          <t xml:space="preserve">
23534/04 +15.000
23082/06 -94.000
23087/06 +804.000
</t>
        </r>
      </text>
    </comment>
    <comment ref="D640" authorId="151" shapeId="0">
      <text>
        <r>
          <rPr>
            <b/>
            <sz val="9"/>
            <rFont val="Tahoma"/>
          </rPr>
          <t>Jana Holíková:</t>
        </r>
        <r>
          <rPr>
            <sz val="9"/>
            <rFont val="Tahoma"/>
          </rPr>
          <t xml:space="preserve">
23082/06 -94.000
k 30.6. -224.000
</t>
        </r>
      </text>
    </comment>
    <comment ref="D641" authorId="152" shapeId="0">
      <text>
        <r>
          <rPr>
            <b/>
            <sz val="9"/>
            <rFont val="Tahoma"/>
          </rPr>
          <t>Jana Holíková:</t>
        </r>
        <r>
          <rPr>
            <sz val="9"/>
            <rFont val="Tahoma"/>
          </rPr>
          <t xml:space="preserve">
23082/06 -94.000
</t>
        </r>
      </text>
    </comment>
    <comment ref="D656" authorId="153" shapeId="0">
      <text>
        <r>
          <rPr>
            <b/>
            <sz val="9"/>
            <rFont val="Tahoma"/>
          </rPr>
          <t>Jana Holíková:</t>
        </r>
        <r>
          <rPr>
            <sz val="9"/>
            <rFont val="Tahoma"/>
          </rPr>
          <t xml:space="preserve">
23053/04 +50.000
</t>
        </r>
      </text>
    </comment>
    <comment ref="D658" authorId="154" shapeId="0">
      <text>
        <r>
          <rPr>
            <b/>
            <sz val="9"/>
            <rFont val="Tahoma"/>
          </rPr>
          <t>Jana Holíková:</t>
        </r>
        <r>
          <rPr>
            <sz val="9"/>
            <rFont val="Tahoma"/>
          </rPr>
          <t xml:space="preserve">
23053/04 -50.000
</t>
        </r>
      </text>
    </comment>
    <comment ref="D661" authorId="155" shapeId="0">
      <text>
        <r>
          <rPr>
            <b/>
            <sz val="9"/>
            <rFont val="Tahoma"/>
          </rPr>
          <t>Jana Holíková:</t>
        </r>
        <r>
          <rPr>
            <sz val="9"/>
            <rFont val="Tahoma"/>
          </rPr>
          <t xml:space="preserve">
23081/06 +157.000 r
</t>
        </r>
      </text>
    </comment>
    <comment ref="D665" authorId="156" shapeId="0">
      <text>
        <r>
          <rPr>
            <b/>
            <sz val="9"/>
            <rFont val="Tahoma"/>
          </rPr>
          <t>Jana Holíková:</t>
        </r>
        <r>
          <rPr>
            <sz val="9"/>
            <rFont val="Tahoma"/>
          </rPr>
          <t xml:space="preserve">
23010/02 -5,000
23036/03 -15.000 r
</t>
        </r>
      </text>
    </comment>
    <comment ref="D668" authorId="157" shapeId="0">
      <text>
        <r>
          <rPr>
            <b/>
            <sz val="9"/>
            <rFont val="Tahoma"/>
          </rPr>
          <t>Jana Holíková:</t>
        </r>
        <r>
          <rPr>
            <sz val="9"/>
            <rFont val="Tahoma"/>
          </rPr>
          <t xml:space="preserve">
23533/03 -150.000 
+140.000 + 10.000
na 231.0800
</t>
        </r>
      </text>
    </comment>
    <comment ref="D670" authorId="158" shapeId="0">
      <text>
        <r>
          <rPr>
            <b/>
            <sz val="9"/>
            <rFont val="Tahoma"/>
          </rPr>
          <t>Jana Holíková:</t>
        </r>
        <r>
          <rPr>
            <sz val="9"/>
            <rFont val="Tahoma"/>
          </rPr>
          <t xml:space="preserve">
232052/04 +-6.000
</t>
        </r>
      </text>
    </comment>
    <comment ref="D671" authorId="159" shapeId="0">
      <text>
        <r>
          <rPr>
            <b/>
            <sz val="9"/>
            <rFont val="Tahoma"/>
          </rPr>
          <t>Jana Holíková:</t>
        </r>
        <r>
          <rPr>
            <sz val="9"/>
            <rFont val="Tahoma"/>
          </rPr>
          <t xml:space="preserve">
23010/02 +5,000
23036/03 +15.000
23048/03 -+5.000
23081/06 +157.000
</t>
        </r>
      </text>
    </comment>
    <comment ref="D677" authorId="160" shapeId="0">
      <text>
        <r>
          <rPr>
            <b/>
            <sz val="9"/>
            <rFont val="Tahoma"/>
          </rPr>
          <t>Jana Holíková:</t>
        </r>
        <r>
          <rPr>
            <sz val="9"/>
            <rFont val="Tahoma"/>
          </rPr>
          <t xml:space="preserve">
23054/04 +3.134.000 úz 13305
23095/06 +51.728
k 30.6. -1.898.394
</t>
        </r>
      </text>
    </comment>
    <comment ref="D679" authorId="161" shapeId="0">
      <text>
        <r>
          <rPr>
            <b/>
            <sz val="9"/>
            <rFont val="Tahoma"/>
          </rPr>
          <t>Jana Holíková:</t>
        </r>
        <r>
          <rPr>
            <sz val="9"/>
            <rFont val="Tahoma"/>
          </rPr>
          <t xml:space="preserve">
23054/04 +740.000 úz 13305
</t>
        </r>
      </text>
    </comment>
    <comment ref="D680" authorId="162" shapeId="0">
      <text>
        <r>
          <rPr>
            <b/>
            <sz val="9"/>
            <rFont val="Tahoma"/>
          </rPr>
          <t>Jana Holíková:</t>
        </r>
        <r>
          <rPr>
            <sz val="9"/>
            <rFont val="Tahoma"/>
          </rPr>
          <t xml:space="preserve">
23054/04 +2.086.000 úz 13305
k 30.6. +1.898.394
</t>
        </r>
      </text>
    </comment>
    <comment ref="D691" authorId="163" shapeId="0">
      <text>
        <r>
          <rPr>
            <b/>
            <sz val="9"/>
            <rFont val="Tahoma"/>
          </rPr>
          <t>Jana Holíková:</t>
        </r>
        <r>
          <rPr>
            <sz val="9"/>
            <rFont val="Tahoma"/>
          </rPr>
          <t xml:space="preserve">
23029/02 +400.000
23050/04 -400.000
</t>
        </r>
      </text>
    </comment>
    <comment ref="D693" authorId="164" shapeId="0">
      <text>
        <r>
          <rPr>
            <b/>
            <sz val="9"/>
            <rFont val="Tahoma"/>
          </rPr>
          <t>Jana Holíková:</t>
        </r>
        <r>
          <rPr>
            <sz val="9"/>
            <rFont val="Tahoma"/>
          </rPr>
          <t xml:space="preserve">
23009/02 +3.663.880
</t>
        </r>
      </text>
    </comment>
    <comment ref="D694" authorId="165" shapeId="0">
      <text>
        <r>
          <rPr>
            <b/>
            <sz val="9"/>
            <rFont val="Tahoma"/>
          </rPr>
          <t>Jana Holíková:</t>
        </r>
        <r>
          <rPr>
            <sz val="9"/>
            <rFont val="Tahoma"/>
          </rPr>
          <t xml:space="preserve">
23030/02 +1.650.000
</t>
        </r>
      </text>
    </comment>
    <comment ref="D702" authorId="166" shapeId="0">
      <text>
        <r>
          <rPr>
            <b/>
            <sz val="9"/>
            <rFont val="Tahoma"/>
          </rPr>
          <t>Jana Holíková:</t>
        </r>
        <r>
          <rPr>
            <sz val="9"/>
            <rFont val="Tahoma"/>
          </rPr>
          <t xml:space="preserve">
23057/04 
+14.200 úz 29015
+35.205 úz 29031
</t>
        </r>
      </text>
    </comment>
    <comment ref="D712" authorId="167" shapeId="0">
      <text>
        <r>
          <rPr>
            <b/>
            <sz val="9"/>
            <rFont val="Tahoma"/>
          </rPr>
          <t>Jana Holíková:</t>
        </r>
        <r>
          <rPr>
            <sz val="9"/>
            <rFont val="Tahoma"/>
          </rPr>
          <t xml:space="preserve">
23532/03 -431.000
23546/04 -152.880
23563/05 -400.000
</t>
        </r>
      </text>
    </comment>
    <comment ref="D713" authorId="168" shapeId="0">
      <text>
        <r>
          <rPr>
            <b/>
            <sz val="9"/>
            <rFont val="Tahoma"/>
          </rPr>
          <t>Jana Holíková:</t>
        </r>
        <r>
          <rPr>
            <sz val="9"/>
            <rFont val="Tahoma"/>
          </rPr>
          <t xml:space="preserve">
23513/02 +45.254
</t>
        </r>
      </text>
    </comment>
    <comment ref="D715" authorId="169" shapeId="0">
      <text>
        <r>
          <rPr>
            <b/>
            <sz val="9"/>
            <rFont val="Tahoma"/>
          </rPr>
          <t>Jana Holíková:</t>
        </r>
        <r>
          <rPr>
            <sz val="9"/>
            <rFont val="Tahoma"/>
          </rPr>
          <t xml:space="preserve">
23563/05 -150.000
</t>
        </r>
      </text>
    </comment>
    <comment ref="D716" authorId="170" shapeId="0">
      <text>
        <r>
          <rPr>
            <b/>
            <sz val="9"/>
            <rFont val="Tahoma"/>
          </rPr>
          <t>Jana Holíková:</t>
        </r>
        <r>
          <rPr>
            <sz val="9"/>
            <rFont val="Tahoma"/>
          </rPr>
          <t xml:space="preserve">
23563/05 -100.000
</t>
        </r>
      </text>
    </comment>
    <comment ref="D717" authorId="171" shapeId="0">
      <text>
        <r>
          <rPr>
            <b/>
            <sz val="9"/>
            <rFont val="Tahoma"/>
          </rPr>
          <t>Jana Holíková:</t>
        </r>
        <r>
          <rPr>
            <sz val="9"/>
            <rFont val="Tahoma"/>
          </rPr>
          <t xml:space="preserve">
23563/05 -250.000
</t>
        </r>
      </text>
    </comment>
    <comment ref="D718" authorId="172" shapeId="0">
      <text>
        <r>
          <rPr>
            <b/>
            <sz val="9"/>
            <rFont val="Tahoma"/>
          </rPr>
          <t>Jana Holíková:</t>
        </r>
        <r>
          <rPr>
            <sz val="9"/>
            <rFont val="Tahoma"/>
          </rPr>
          <t xml:space="preserve">
23563/05 -100.000
</t>
        </r>
      </text>
    </comment>
    <comment ref="D720" authorId="173" shapeId="0">
      <text>
        <r>
          <rPr>
            <b/>
            <sz val="9"/>
            <rFont val="Tahoma"/>
          </rPr>
          <t>Jana Holíková:</t>
        </r>
        <r>
          <rPr>
            <sz val="9"/>
            <rFont val="Tahoma"/>
          </rPr>
          <t xml:space="preserve">
23563/05 -800.000
</t>
        </r>
      </text>
    </comment>
    <comment ref="D721" authorId="174" shapeId="0">
      <text>
        <r>
          <rPr>
            <b/>
            <sz val="9"/>
            <rFont val="Tahoma"/>
          </rPr>
          <t>Jana Holíková:</t>
        </r>
        <r>
          <rPr>
            <sz val="9"/>
            <rFont val="Tahoma"/>
          </rPr>
          <t xml:space="preserve">
23563/05 -300.000
</t>
        </r>
      </text>
    </comment>
    <comment ref="D723" authorId="175" shapeId="0">
      <text>
        <r>
          <rPr>
            <b/>
            <sz val="9"/>
            <rFont val="Tahoma"/>
          </rPr>
          <t>Jana Holíková:</t>
        </r>
        <r>
          <rPr>
            <sz val="9"/>
            <rFont val="Tahoma"/>
          </rPr>
          <t xml:space="preserve">
23006/01 +1.812.000
23513/02 -45.254
23558/05 -20.971
23561/05 -13.463,31
23563/05 +2.100.000
23574/06 -63.727
</t>
        </r>
      </text>
    </comment>
    <comment ref="D724" authorId="176" shapeId="0">
      <text>
        <r>
          <rPr>
            <b/>
            <sz val="9"/>
            <rFont val="Tahoma"/>
          </rPr>
          <t>Jana Holíková:</t>
        </r>
        <r>
          <rPr>
            <sz val="9"/>
            <rFont val="Tahoma"/>
          </rPr>
          <t xml:space="preserve">
23546/04 
+152.880
23558/05 +20.971
23561/05 +13.463,31
23574/06 +63.727
</t>
        </r>
      </text>
    </comment>
    <comment ref="D728" authorId="177" shapeId="0">
      <text>
        <r>
          <rPr>
            <b/>
            <sz val="9"/>
            <rFont val="Tahoma"/>
          </rPr>
          <t>Jana Holíková:</t>
        </r>
        <r>
          <rPr>
            <sz val="9"/>
            <rFont val="Tahoma"/>
          </rPr>
          <t xml:space="preserve">
23532/03 +431.000
</t>
        </r>
      </text>
    </comment>
    <comment ref="D731" authorId="178" shapeId="0">
      <text>
        <r>
          <rPr>
            <b/>
            <sz val="9"/>
            <rFont val="Tahoma"/>
          </rPr>
          <t>Jana Holíková:</t>
        </r>
        <r>
          <rPr>
            <sz val="9"/>
            <rFont val="Tahoma"/>
          </rPr>
          <t xml:space="preserve">
23022/02 -617.845,43
</t>
        </r>
      </text>
    </comment>
    <comment ref="D736" authorId="179" shapeId="0">
      <text>
        <r>
          <rPr>
            <b/>
            <sz val="9"/>
            <rFont val="Tahoma"/>
          </rPr>
          <t>Jana Holíková:</t>
        </r>
        <r>
          <rPr>
            <sz val="9"/>
            <rFont val="Tahoma"/>
          </rPr>
          <t xml:space="preserve">
23024/02 -1.500.000
</t>
        </r>
      </text>
    </comment>
    <comment ref="D742" authorId="180" shapeId="0">
      <text>
        <r>
          <rPr>
            <b/>
            <sz val="9"/>
            <rFont val="Tahoma"/>
          </rPr>
          <t>Jana Holíková:</t>
        </r>
        <r>
          <rPr>
            <sz val="9"/>
            <rFont val="Tahoma"/>
          </rPr>
          <t xml:space="preserve">
23024/02  - 500.000 jung b2 (část z 1.200.00)
</t>
        </r>
      </text>
    </comment>
    <comment ref="D745" authorId="181" shapeId="0">
      <text>
        <r>
          <rPr>
            <b/>
            <sz val="9"/>
            <rFont val="Tahoma"/>
          </rPr>
          <t>Jana Holíková:</t>
        </r>
        <r>
          <rPr>
            <sz val="9"/>
            <rFont val="Tahoma"/>
          </rPr>
          <t xml:space="preserve">
23024/02  
-1.500.000 jung b1
- 500.000 jung b2 (část z 1.200.00)
</t>
        </r>
      </text>
    </comment>
    <comment ref="D754" authorId="182" shapeId="0">
      <text>
        <r>
          <rPr>
            <b/>
            <sz val="9"/>
            <rFont val="Tahoma"/>
          </rPr>
          <t>Jana Holíková:</t>
        </r>
        <r>
          <rPr>
            <sz val="9"/>
            <rFont val="Tahoma"/>
          </rPr>
          <t xml:space="preserve">
23095/06 +13.073
</t>
        </r>
      </text>
    </comment>
    <comment ref="D775" authorId="183" shapeId="0">
      <text>
        <r>
          <rPr>
            <b/>
            <sz val="9"/>
            <rFont val="Tahoma"/>
          </rPr>
          <t>Jana Holíková:</t>
        </r>
        <r>
          <rPr>
            <sz val="9"/>
            <rFont val="Tahoma"/>
          </rPr>
          <t xml:space="preserve">
23020/02 +150.000
</t>
        </r>
      </text>
    </comment>
    <comment ref="D777" authorId="184" shapeId="0">
      <text>
        <r>
          <rPr>
            <b/>
            <sz val="9"/>
            <rFont val="Tahoma"/>
          </rPr>
          <t>Jana Holíková:</t>
        </r>
        <r>
          <rPr>
            <sz val="9"/>
            <rFont val="Tahoma"/>
          </rPr>
          <t xml:space="preserve">
23024/02 -4.000.000
</t>
        </r>
      </text>
    </comment>
    <comment ref="D781" authorId="185" shapeId="0">
      <text>
        <r>
          <rPr>
            <b/>
            <sz val="9"/>
            <rFont val="Tahoma"/>
          </rPr>
          <t>Jana Holíková:</t>
        </r>
        <r>
          <rPr>
            <sz val="9"/>
            <rFont val="Tahoma"/>
          </rPr>
          <t xml:space="preserve">
23546/04 +4.000
</t>
        </r>
      </text>
    </comment>
    <comment ref="D793" authorId="186" shapeId="0">
      <text>
        <r>
          <rPr>
            <b/>
            <sz val="9"/>
            <rFont val="Tahoma"/>
          </rPr>
          <t>Jana Holíková:</t>
        </r>
        <r>
          <rPr>
            <sz val="9"/>
            <rFont val="Tahoma"/>
          </rPr>
          <t xml:space="preserve">
23528/03 +146.700
23546/04 -4.000
</t>
        </r>
      </text>
    </comment>
    <comment ref="D795" authorId="187" shapeId="0">
      <text>
        <r>
          <rPr>
            <b/>
            <sz val="9"/>
            <rFont val="Tahoma"/>
          </rPr>
          <t>Jana Holíková:</t>
        </r>
        <r>
          <rPr>
            <sz val="9"/>
            <rFont val="Tahoma"/>
          </rPr>
          <t xml:space="preserve">
23528/03 -146.700
</t>
        </r>
      </text>
    </comment>
    <comment ref="D801" authorId="188" shapeId="0">
      <text>
        <r>
          <rPr>
            <b/>
            <sz val="9"/>
            <rFont val="Tahoma"/>
          </rPr>
          <t>Jana Holíková:</t>
        </r>
        <r>
          <rPr>
            <sz val="9"/>
            <rFont val="Tahoma"/>
          </rPr>
          <t xml:space="preserve">
23020/02 
-330.000 +180.000
</t>
        </r>
      </text>
    </comment>
    <comment ref="D827" authorId="189" shapeId="0">
      <text>
        <r>
          <rPr>
            <b/>
            <sz val="9"/>
            <rFont val="Tahoma"/>
          </rPr>
          <t>Jana Holíková:</t>
        </r>
        <r>
          <rPr>
            <sz val="9"/>
            <rFont val="Tahoma"/>
          </rPr>
          <t xml:space="preserve">
23545/04 +-1.500.000 org
</t>
        </r>
      </text>
    </comment>
    <comment ref="D851" authorId="190" shapeId="0">
      <text>
        <r>
          <rPr>
            <b/>
            <sz val="9"/>
            <rFont val="Tahoma"/>
          </rPr>
          <t>Jana Holíková:</t>
        </r>
        <r>
          <rPr>
            <sz val="9"/>
            <rFont val="Tahoma"/>
          </rPr>
          <t xml:space="preserve">
23089/06 -242.500
</t>
        </r>
      </text>
    </comment>
    <comment ref="D853" authorId="191" shapeId="0">
      <text>
        <r>
          <rPr>
            <b/>
            <sz val="9"/>
            <rFont val="Tahoma"/>
          </rPr>
          <t>Jana Holíková:</t>
        </r>
        <r>
          <rPr>
            <sz val="9"/>
            <rFont val="Tahoma"/>
          </rPr>
          <t xml:space="preserve">
23017/02
+15.614,79   0309
+57.246,53   0321
+130.295,27 0322
+210.485,42 0323
+444.697,21 0325
</t>
        </r>
      </text>
    </comment>
    <comment ref="D854" authorId="192" shapeId="0">
      <text>
        <r>
          <rPr>
            <b/>
            <sz val="9"/>
            <rFont val="Tahoma"/>
          </rPr>
          <t>Jana Holíková:</t>
        </r>
        <r>
          <rPr>
            <sz val="9"/>
            <rFont val="Tahoma"/>
          </rPr>
          <t xml:space="preserve">
23041/03 -285.281
</t>
        </r>
      </text>
    </comment>
    <comment ref="D855" authorId="193" shapeId="0">
      <text>
        <r>
          <rPr>
            <b/>
            <sz val="9"/>
            <rFont val="Tahoma"/>
          </rPr>
          <t>Jana Holíková:</t>
        </r>
        <r>
          <rPr>
            <sz val="9"/>
            <rFont val="Tahoma"/>
          </rPr>
          <t xml:space="preserve">
23041/03 -285.281
</t>
        </r>
      </text>
    </comment>
    <comment ref="D858" authorId="194" shapeId="0">
      <text>
        <r>
          <rPr>
            <b/>
            <sz val="9"/>
            <rFont val="Tahoma"/>
          </rPr>
          <t>Jana Holíková:</t>
        </r>
        <r>
          <rPr>
            <sz val="9"/>
            <rFont val="Tahoma"/>
          </rPr>
          <t xml:space="preserve">
23083/06 +50.000
</t>
        </r>
      </text>
    </comment>
    <comment ref="D860" authorId="195" shapeId="0">
      <text>
        <r>
          <rPr>
            <b/>
            <sz val="9"/>
            <rFont val="Tahoma"/>
          </rPr>
          <t>Jana Holíková:</t>
        </r>
        <r>
          <rPr>
            <sz val="9"/>
            <rFont val="Tahoma"/>
          </rPr>
          <t xml:space="preserve">
23060/04 -10.050.300
</t>
        </r>
      </text>
    </comment>
    <comment ref="D861" authorId="196" shapeId="0">
      <text>
        <r>
          <rPr>
            <b/>
            <sz val="9"/>
            <rFont val="Tahoma"/>
          </rPr>
          <t>Jana Holíková:</t>
        </r>
        <r>
          <rPr>
            <sz val="9"/>
            <rFont val="Tahoma"/>
          </rPr>
          <t xml:space="preserve">
23083/06 -3.000.000
</t>
        </r>
      </text>
    </comment>
    <comment ref="D863" authorId="197" shapeId="0">
      <text>
        <r>
          <rPr>
            <b/>
            <sz val="9"/>
            <rFont val="Tahoma"/>
          </rPr>
          <t>Jana Holíková:</t>
        </r>
        <r>
          <rPr>
            <sz val="9"/>
            <rFont val="Tahoma"/>
          </rPr>
          <t xml:space="preserve">
23016/02 +8.015
</t>
        </r>
      </text>
    </comment>
    <comment ref="D864" authorId="198" shapeId="0">
      <text>
        <r>
          <rPr>
            <b/>
            <sz val="9"/>
            <rFont val="Tahoma"/>
          </rPr>
          <t>Jana Holíková:</t>
        </r>
        <r>
          <rPr>
            <sz val="9"/>
            <rFont val="Tahoma"/>
          </rPr>
          <t xml:space="preserve">
23016/02 +33.210
</t>
        </r>
      </text>
    </comment>
    <comment ref="D865" authorId="199" shapeId="0">
      <text>
        <r>
          <rPr>
            <b/>
            <sz val="9"/>
            <rFont val="Tahoma"/>
          </rPr>
          <t>Jana Holíková:</t>
        </r>
        <r>
          <rPr>
            <sz val="9"/>
            <rFont val="Tahoma"/>
          </rPr>
          <t xml:space="preserve">
23090/06 +1.449.005,28
</t>
        </r>
      </text>
    </comment>
    <comment ref="D867" authorId="200" shapeId="0">
      <text>
        <r>
          <rPr>
            <b/>
            <sz val="9"/>
            <rFont val="Tahoma"/>
          </rPr>
          <t>Jana Holíková:</t>
        </r>
        <r>
          <rPr>
            <sz val="9"/>
            <rFont val="Tahoma"/>
          </rPr>
          <t xml:space="preserve">
23018/02 +221.800
</t>
        </r>
      </text>
    </comment>
    <comment ref="D868" authorId="201" shapeId="0">
      <text>
        <r>
          <rPr>
            <b/>
            <sz val="9"/>
            <rFont val="Tahoma"/>
          </rPr>
          <t>Jana Holíková:</t>
        </r>
        <r>
          <rPr>
            <sz val="9"/>
            <rFont val="Tahoma"/>
          </rPr>
          <t xml:space="preserve">
23050/04 +400.000
</t>
        </r>
      </text>
    </comment>
    <comment ref="D870" authorId="202" shapeId="0">
      <text>
        <r>
          <rPr>
            <b/>
            <sz val="9"/>
            <rFont val="Tahoma"/>
          </rPr>
          <t>Jana Holíková:</t>
        </r>
        <r>
          <rPr>
            <sz val="9"/>
            <rFont val="Tahoma"/>
          </rPr>
          <t xml:space="preserve">
23002/01 -508.200
23003/01 +45.455
23004/01 -2.500.000
23005/01 +2.499.800
23006/01 -1.812.000
23007/01 -76.493,01
23008/01 -33.698
23009/02 -3.663.880
23017/02 -120.860,71
23018/02 -221.800
23019/02 +50.161  poj
23021/02 +14.000.000
23022/02 +14.055,43
23026/02 -1.700.000
23029/02 -300.000
23030/02 -1.938.178,27
23035/03 -436.000
23037/03 -175.000
23038/03 +5.706.845,54
23041/03 +285.281
23043/03 -7.381.538
23044/03 +384
23046/03 +80.676,71
23047/03 +248.308,32
23049/03 -1.750.000
23061/04 +43.797
23062/04 -84.940
23063/04 +3.705,41
23065/05 -231.000
23069/05 -50.000
23071/05 +270
23072/05 +2.989,27
23073/05 +1.200.000 -96.800
23074/05 +921.600
23075/05 
-89.825 -296.450 -213.204
23077/05 -1.000.000
23080/06 -5.500.000
23083/06
+20.000 +76.497 +20200 +36.600 +156.589,68 +5.360 +147.136 +87.410 +265 673,13 +2.870.000
23085/06 -147.136
23089/06 -176
23090/06 -1.449.005,28
</t>
        </r>
      </text>
    </comment>
    <comment ref="D871" authorId="203" shapeId="0">
      <text>
        <r>
          <rPr>
            <b/>
            <sz val="9"/>
            <rFont val="Tahoma"/>
          </rPr>
          <t>Jana Holíková:</t>
        </r>
        <r>
          <rPr>
            <sz val="9"/>
            <rFont val="Tahoma"/>
          </rPr>
          <t xml:space="preserve">
23069/05 +40.000 +10.000
23083/06 +80.000
</t>
        </r>
      </text>
    </comment>
  </commentList>
</comments>
</file>

<file path=xl/comments3.xml><?xml version="1.0" encoding="utf-8"?>
<comments xmlns="http://schemas.openxmlformats.org/spreadsheetml/2006/main">
  <authors>
    <author>tc={00BE0074-0043-4C94-8DFB-00E90085002E}</author>
    <author>tc={004A00CA-001D-4454-9AD1-0022006600DF}</author>
    <author>tc={0044004C-008D-4187-9FAA-0074005800E6}</author>
    <author>tc={00B60002-008C-4ED5-93BB-00BE00900017}</author>
    <author>tc={00FB00B3-006D-4510-83D7-006A00830028}</author>
    <author>tc={00AF001F-0062-47B1-8622-00560040001F}</author>
    <author>tc={00BF00E2-00D3-4E0C-AB0D-005F004B00DF}</author>
    <author>tc={008C0010-007C-4E02-9A39-009A002F0045}</author>
    <author>tc={001600B0-0029-4638-9E2C-00BC002B00F9}</author>
    <author>tc={001500AA-002C-431D-BCA9-00E2002E001E}</author>
    <author>tc={0052007C-00C6-4320-AEAC-000900600049}</author>
    <author>tc={00E2002F-00C3-425C-B36D-004300950022}</author>
    <author>tc={00F800E1-003E-44D9-91BA-00BC001A0063}</author>
    <author>tc={0039009F-00C6-43F0-A623-001B00C3006C}</author>
    <author>tc={00900099-0026-466E-B44E-00A900A80026}</author>
    <author>tc={000200F9-0016-409F-B0FB-00E700DC00BB}</author>
    <author>tc={00610002-00A2-4EF4-93C0-00C000B60031}</author>
    <author>tc={000A008E-0089-42E4-AB07-00EA001E0065}</author>
    <author>tc={00190031-00EA-485E-8C94-005100380032}</author>
    <author>tc={005F0067-0029-4E2E-B1F8-0030001800C6}</author>
    <author>tc={002F0035-006C-44C9-B8B8-006A002700DF}</author>
    <author>tc={00DB0079-0013-48A9-93FB-0084001F008A}</author>
    <author>tc={007A00C2-00AC-40B4-A2E4-007B00CA004B}</author>
    <author>tc={00FB0052-0046-4F1B-AEB5-00DF00F200C4}</author>
    <author>tc={00B30066-0004-4829-A8DE-00CF00BC006D}</author>
    <author>tc={004800A7-009B-40FD-A030-002200EA0023}</author>
    <author>tc={00940093-00B3-4BCF-B1B7-00F100230065}</author>
    <author>tc={002500BC-00D9-48B8-A42F-0087007200A5}</author>
    <author>tc={00B20072-00C2-438F-8E3A-005C008B0096}</author>
    <author>tc={009400F3-0026-4F2F-96FB-007F009400AD}</author>
    <author>tc={003D00AD-0040-4398-A8A6-00AD00E40049}</author>
    <author>tc={00A30090-00BA-480D-91D2-00FE003400B2}</author>
    <author>tc={005C0087-00D5-4DAF-8B37-006200EC0045}</author>
    <author>tc={0076002D-00F9-4D2C-8C2E-000600060069}</author>
    <author>tc={00CE00B3-003C-411B-8F61-008F00DB00DE}</author>
    <author>tc={00B20021-00C8-4B6C-9EA0-003800B20070}</author>
    <author>tc={00C200C0-000D-4258-957A-0086008300B5}</author>
    <author>tc={009E00B6-0088-4EC0-9764-005B00C60013}</author>
    <author>tc={00F1004D-00C7-4981-80DC-001400450063}</author>
    <author>tc={00030098-008F-404E-A893-006E00850079}</author>
    <author>tc={003F002D-0027-4A2C-A15C-0067001E0013}</author>
    <author>tc={0074004B-0035-4E11-94C6-007F008800ED}</author>
    <author>tc={00A000EC-0040-4327-BE3D-00F3005F007A}</author>
    <author>tc={00FD0017-001E-44EA-B9D8-0086005B00C6}</author>
    <author>tc={009200A8-0096-4EA5-9182-0069007E003D}</author>
    <author>tc={00D800A4-008B-495D-A971-00400028001F}</author>
    <author>tc={009E00B2-00C0-4DD8-B420-00D3009800EB}</author>
    <author>tc={00940003-00C9-4057-A795-00B20039001B}</author>
    <author>tc={0021007F-00A6-4002-92C9-00FD006C0047}</author>
    <author>tc={00350003-00F6-4E4A-A805-005100BF00CE}</author>
    <author>tc={00B20005-00FA-4C97-A87D-004700D7008E}</author>
    <author>tc={00C8001F-00BA-4181-A91B-00B700B70033}</author>
    <author>tc={0090004A-0034-44C2-893E-00B5001C0026}</author>
    <author>tc={00200073-00BF-4B92-8542-00BC009C00F3}</author>
    <author>tc={00E700DF-008B-4BB4-AD74-008600BA0096}</author>
    <author>tc={0078008C-0091-4C51-9CBB-007200970043}</author>
    <author>tc={00680000-00EB-4175-B042-00A1004100AD}</author>
    <author>tc={00120039-0019-4F7C-AD4F-00A600BC0087}</author>
    <author>tc={008E006F-001F-404B-BFA2-004000C000D3}</author>
    <author>tc={00200080-00DF-4172-8122-005200E100B6}</author>
    <author>tc={009400FE-0090-430C-A349-009000210020}</author>
    <author>tc={009100DB-00E7-48BD-9184-00AD00A4004D}</author>
    <author>tc={00F10081-0088-493B-9158-0019001B00A7}</author>
    <author>tc={00D300FC-0079-42B2-B58D-00F900D3006A}</author>
    <author>tc={006A003B-0067-421D-A27F-0069008C009A}</author>
    <author>tc={0076005A-000E-45CF-8F94-003300E8000C}</author>
    <author>tc={00660056-00EA-44FC-81F3-00690073002A}</author>
    <author>tc={00640043-003F-4AC9-BEA3-0042005000BD}</author>
    <author>tc={001F0052-0046-4313-871D-000B00AC00CB}</author>
    <author>tc={00850019-0079-4DC7-A2B3-002300DD00B7}</author>
    <author>tc={006600F7-0038-429A-ACF8-00F5005B00C9}</author>
    <author>tc={00760017-00A1-4E48-8DB0-004E000200E4}</author>
    <author>tc={00FA0078-00E9-4443-90FF-007400000026}</author>
    <author>tc={00DE0013-00C6-4815-8504-00AD009B00C6}</author>
    <author>tc={00240022-0068-4540-BC17-007100080022}</author>
    <author>tc={00380029-0032-4512-8FDA-001B0071006A}</author>
    <author>tc={004D0070-006B-4F86-A6E7-00F3009D0032}</author>
    <author>tc={000600FA-00EE-48E4-91DB-00DB001E0007}</author>
    <author>tc={003F005A-00E5-4FD4-BCEE-00C3006C00F6}</author>
    <author>tc={00DA00A1-001A-43A8-9DD2-00F100750056}</author>
    <author>tc={0006008B-00C1-46FF-8EBA-0050009400B8}</author>
    <author>tc={00C9009C-00DA-4B72-A06B-0080008D0089}</author>
    <author>tc={006000D2-00D2-47A8-BF83-0031008E0050}</author>
    <author>tc={00C3006C-002A-49E4-B2E3-009F00230066}</author>
    <author>tc={00350030-0050-42AC-A9BA-0086008F0091}</author>
    <author>tc={00DB0019-002F-4F8B-852F-009200B000DD}</author>
    <author>tc={008300C6-00A5-411D-9EC2-00D3004A00BD}</author>
    <author>tc={0020006F-0056-4B8F-BC9F-00E9006500C8}</author>
    <author>tc={002400C6-0036-4E46-92D0-000600F600E5}</author>
    <author>tc={008D0078-0070-4FC5-86E1-00AA001F00D7}</author>
    <author>tc={009C0085-00A9-46B7-B541-003A006100D5}</author>
    <author>tc={00A7000A-00F3-4AC1-B123-002D008B009F}</author>
    <author>tc={00E20018-0065-430B-AEC4-0019007E004C}</author>
    <author>tc={000700D7-004F-4132-8E09-00D700C20085}</author>
    <author>tc={005A0004-00F0-43BB-9B18-006B001100B0}</author>
    <author>tc={007100E4-004A-4E25-AE60-00400032007B}</author>
    <author>tc={00E700B6-005D-4D62-858D-004500FD00C8}</author>
    <author>tc={008C0058-0009-48DC-8CF1-0031008D001F}</author>
    <author>tc={002F0030-00F9-4BB4-88C7-00F400C3001A}</author>
    <author>tc={008300C2-0050-48BB-AFEE-006C0070002B}</author>
    <author>tc={00830097-000D-4A64-BC50-00570007004D}</author>
    <author>tc={00EC0002-002C-4CD1-A090-00D400C8009A}</author>
    <author>tc={001B00D3-00F1-4BF0-88F1-00C100F700EF}</author>
    <author>tc={00DC00A0-002D-428F-8FEB-006B003F0062}</author>
    <author>tc={009E001B-0022-4904-A8B6-008B00F70034}</author>
    <author>tc={000B00A8-0017-4A1B-88D3-001400EF00EB}</author>
    <author>tc={00BD0019-0081-415B-8642-00AE006A000E}</author>
    <author>tc={00E6002B-007B-43B2-84D9-00DA008400C0}</author>
    <author>tc={00C40015-009A-40D9-8121-007F00B70072}</author>
    <author>tc={004F00B0-0029-4241-A015-0081002A008A}</author>
    <author>tc={00A100AC-0066-45E0-9CB5-004D005F0093}</author>
    <author>tc={00740083-001C-4702-A7D6-00F0008700EA}</author>
    <author>tc={00260071-0001-499C-9CBE-00EB000200D3}</author>
    <author>tc={00AF00BB-007C-441B-A2FB-00CC00F2002B}</author>
    <author>tc={0058005D-004A-416E-AF38-009E000800DB}</author>
    <author>tc={003C0048-0078-4F69-9383-00F5004D00D1}</author>
    <author>tc={005F003D-005A-4834-916E-00E90033007A}</author>
    <author>tc={00610016-0086-4585-B6B2-00CB0009004C}</author>
    <author>tc={00D00055-007A-43FF-8276-001D00B4008E}</author>
    <author>tc={003C006D-00EC-48C2-8D39-00A4004A00C7}</author>
    <author>tc={00FC00B3-008F-49B0-B922-00520056001F}</author>
    <author>tc={0094007F-007A-4505-A4C0-0064007F0098}</author>
    <author>tc={00DD00FE-00E5-4616-B836-0090009C002F}</author>
    <author>tc={00AE002D-007C-498E-9406-000E00A2002F}</author>
    <author>tc={00A8007F-00B5-400F-B103-0002008000D2}</author>
    <author>tc={008D00CE-0045-4C5E-AAB7-00C600E30034}</author>
    <author>tc={007300D4-00B9-4844-B91C-00BB005E00E1}</author>
    <author>tc={00310098-0092-4C5F-A614-006500E3005C}</author>
    <author>tc={008400CA-0034-4950-A529-00B4009A0012}</author>
    <author>tc={00D300A2-0081-4477-93C7-00AD00BD00EB}</author>
    <author>tc={00AC00F5-0056-419A-88EF-00BD00070064}</author>
    <author>tc={00F500C5-0098-4CDD-BD8A-00CE00A900F0}</author>
    <author>tc={00460074-00CC-44E2-898F-002A0060002A}</author>
    <author>tc={0078001A-00FF-4088-A8EF-000A003200D4}</author>
    <author>tc={00AA007B-007E-4981-9426-00B900E900A8}</author>
    <author>tc={007D000C-005B-4852-8461-00A700E50001}</author>
    <author>tc={00D700E4-0093-4203-9FF6-001E003600BB}</author>
    <author>tc={009500C5-005F-4FED-86A8-004500EE00C5}</author>
    <author>tc={00FE0074-0096-4FFC-B849-001B007E0048}</author>
    <author>tc={0032004B-001C-4E76-A2E7-000F001B007C}</author>
    <author>tc={00C2002C-00B3-43FD-AFCB-00CF006A0052}</author>
    <author>tc={00190024-00D4-40D1-AE87-000F007100A1}</author>
    <author>tc={0052004D-0057-48D6-8114-00E3003F0053}</author>
    <author>tc={00CB001B-006C-4F79-A858-0020005D0073}</author>
    <author>tc={00400095-004D-459E-AA73-002100EB00D6}</author>
    <author>tc={00CB00A9-00F2-4878-AD1C-00CE00A400BF}</author>
    <author>tc={0057005A-0068-48E4-A5FB-001B008D0032}</author>
    <author>tc={00BC000A-005C-4EE6-8428-0041007A00C5}</author>
    <author>tc={00370026-0024-4A78-8E21-008F002B0047}</author>
    <author>tc={0019000C-0071-40E7-BD05-00C700F400C8}</author>
    <author>tc={0055003A-007B-4590-B58B-0021002700FE}</author>
    <author>tc={001F0098-009E-45D7-BD22-0094007B00F5}</author>
    <author>tc={00150079-002B-4E4C-B754-0005002800C9}</author>
    <author>tc={00B1006F-00CC-45BB-A02A-00920040008A}</author>
    <author>tc={006A003D-0025-48A1-AD5F-008D00030047}</author>
    <author>tc={008D00AF-0025-4F6D-BC07-00AC0042004D}</author>
    <author>tc={00F100C6-00B3-4F67-9325-009300050065}</author>
    <author>tc={006B0060-007B-4124-AFE0-000B005800F3}</author>
    <author>tc={0060008A-00C7-4912-B2DC-008A00ED007E}</author>
    <author>tc={00C10004-00A9-485B-9409-00FA0036000A}</author>
    <author>tc={003E0007-009E-4B4B-A50C-00D8009800AE}</author>
    <author>tc={000C0087-004D-4F8D-8BF8-00ED001200F7}</author>
    <author>tc={00E200AD-00B6-41D8-853A-002C0011003A}</author>
    <author>tc={00FE0009-005E-4950-B88D-005A00A700ED}</author>
    <author>tc={00770080-001A-4280-9687-001300E100F6}</author>
    <author>tc={00F500C6-0019-46BB-ACB9-0092006D002D}</author>
    <author>tc={009600E5-00EF-42A9-B64C-004200F2002A}</author>
    <author>tc={009400E4-00E8-449E-AC57-00DE003F0096}</author>
    <author>tc={003F00C0-0056-4C12-8E7B-00D600F800C9}</author>
    <author>tc={00970074-00C0-476C-88F3-00FA005300C3}</author>
    <author>tc={003C00F2-007F-40A6-B4D4-009A00B600B3}</author>
    <author>tc={008200F1-0007-40B8-B762-002300D000BF}</author>
    <author>tc={00E10051-008C-411D-B419-00CB00C700FF}</author>
    <author>tc={00BB006C-000D-45FC-A395-001B007C008A}</author>
    <author>tc={00960018-0009-4B97-AD0E-0018008F00DD}</author>
    <author>tc={004E00CF-00FA-496F-86AC-00A800E300D1}</author>
    <author>tc={00A200E6-00C4-4ED1-8E76-00AC00C800B8}</author>
    <author>tc={00CE0065-0060-4888-9F07-0091008E00A7}</author>
    <author>tc={0075001E-0030-4A7C-8232-001F00FF008F}</author>
    <author>tc={00BC00AA-001A-4204-AE7C-006A00DB005B}</author>
    <author>tc={00C10056-00F2-4E1A-9AA9-000C005600E2}</author>
    <author>tc={00D700D7-003E-4647-9E5F-00D800E70080}</author>
    <author>tc={0082002E-0087-4B26-9F22-006900F6003D}</author>
    <author>tc={00940023-00C0-40B2-8B01-001600980062}</author>
    <author>tc={00A100F1-009E-4921-BFA3-0048002F0016}</author>
    <author>tc={004500A3-0081-4A08-930F-00AA00CA0085}</author>
    <author>tc={00F60020-002D-4C94-8E48-00FF000C0078}</author>
    <author>tc={0087004A-00EF-4105-9626-00AC005F00C7}</author>
    <author>tc={000C00BC-00BF-4E27-81FF-00B6001C00F8}</author>
    <author>tc={00D90080-00C7-4A34-857A-0018005C0032}</author>
    <author>tc={00230082-00BF-4A5B-855E-00EB00A00086}</author>
  </authors>
  <commentList>
    <comment ref="D38" authorId="0" shapeId="0">
      <text>
        <r>
          <rPr>
            <b/>
            <sz val="9"/>
            <rFont val="Tahoma"/>
          </rPr>
          <t>Jana Holíková:</t>
        </r>
        <r>
          <rPr>
            <sz val="9"/>
            <rFont val="Tahoma"/>
          </rPr>
          <t xml:space="preserve">
23060/04 -10.050.300
</t>
        </r>
      </text>
    </comment>
    <comment ref="D45" authorId="1" shapeId="0">
      <text>
        <r>
          <rPr>
            <b/>
            <sz val="9"/>
            <rFont val="Tahoma"/>
          </rPr>
          <t>Jana Holíková:</t>
        </r>
        <r>
          <rPr>
            <sz val="9"/>
            <rFont val="Tahoma"/>
          </rPr>
          <t xml:space="preserve">
23083/06 +76.497
</t>
        </r>
      </text>
    </comment>
    <comment ref="D49" authorId="2" shapeId="0">
      <text>
        <r>
          <rPr>
            <b/>
            <sz val="9"/>
            <rFont val="Tahoma"/>
          </rPr>
          <t>Jana Holíková:</t>
        </r>
        <r>
          <rPr>
            <sz val="9"/>
            <rFont val="Tahoma"/>
          </rPr>
          <t xml:space="preserve">
23040/03 +33.700
23083/06 +20.200
</t>
        </r>
      </text>
    </comment>
    <comment ref="D69" authorId="3" shapeId="0">
      <text>
        <r>
          <rPr>
            <b/>
            <sz val="9"/>
            <rFont val="Tahoma"/>
          </rPr>
          <t>Jana Holíková:</t>
        </r>
        <r>
          <rPr>
            <sz val="9"/>
            <rFont val="Tahoma"/>
          </rPr>
          <t xml:space="preserve">
23083/06 +20.000
</t>
        </r>
      </text>
    </comment>
    <comment ref="D70" authorId="4" shapeId="0">
      <text>
        <r>
          <rPr>
            <b/>
            <sz val="9"/>
            <rFont val="Tahoma"/>
          </rPr>
          <t>Jana Holíková:</t>
        </r>
        <r>
          <rPr>
            <sz val="9"/>
            <rFont val="Tahoma"/>
          </rPr>
          <t xml:space="preserve">
23083/06 +87.410
</t>
        </r>
      </text>
    </comment>
    <comment ref="D78" authorId="5" shapeId="0">
      <text>
        <r>
          <rPr>
            <b/>
            <sz val="9"/>
            <rFont val="Tahoma"/>
          </rPr>
          <t>Jana Holíková:</t>
        </r>
        <r>
          <rPr>
            <sz val="9"/>
            <rFont val="Tahoma"/>
          </rPr>
          <t xml:space="preserve">
23044/03 +384 (321)
23061/04 +43.797 (350)
23071/05 +270 (322)
</t>
        </r>
      </text>
    </comment>
    <comment ref="D89" authorId="6" shapeId="0">
      <text>
        <r>
          <rPr>
            <b/>
            <sz val="9"/>
            <rFont val="Tahoma"/>
          </rPr>
          <t>Jana Holíková:</t>
        </r>
        <r>
          <rPr>
            <sz val="9"/>
            <rFont val="Tahoma"/>
          </rPr>
          <t xml:space="preserve">
23043/03 -7.381.538
</t>
        </r>
      </text>
    </comment>
    <comment ref="D95" authorId="7" shapeId="0">
      <text>
        <r>
          <rPr>
            <b/>
            <sz val="9"/>
            <rFont val="Tahoma"/>
          </rPr>
          <t>Jana Holíková:</t>
        </r>
        <r>
          <rPr>
            <sz val="9"/>
            <rFont val="Tahoma"/>
          </rPr>
          <t xml:space="preserve">
23083/06 +36.600
</t>
        </r>
      </text>
    </comment>
    <comment ref="D96" authorId="8" shapeId="0">
      <text>
        <r>
          <rPr>
            <b/>
            <sz val="9"/>
            <rFont val="Tahoma"/>
          </rPr>
          <t>Jana Holíková:</t>
        </r>
        <r>
          <rPr>
            <sz val="9"/>
            <rFont val="Tahoma"/>
          </rPr>
          <t xml:space="preserve">
23083/06 
+144.589,67 osm
+12.000 od
</t>
        </r>
      </text>
    </comment>
    <comment ref="D107" authorId="9" shapeId="0">
      <text>
        <r>
          <rPr>
            <b/>
            <sz val="9"/>
            <rFont val="Tahoma"/>
          </rPr>
          <t>Jana Holíková:</t>
        </r>
        <r>
          <rPr>
            <sz val="9"/>
            <rFont val="Tahoma"/>
          </rPr>
          <t xml:space="preserve">
23017/02 
+ 91.051,59   0307
+159.661,95 0305
</t>
        </r>
      </text>
    </comment>
    <comment ref="D109" authorId="10" shapeId="0">
      <text>
        <r>
          <rPr>
            <b/>
            <sz val="9"/>
            <rFont val="Tahoma"/>
          </rPr>
          <t>Jana Holíková:</t>
        </r>
        <r>
          <rPr>
            <sz val="9"/>
            <rFont val="Tahoma"/>
          </rPr>
          <t xml:space="preserve">
23017/02 +29.886,84
</t>
        </r>
      </text>
    </comment>
    <comment ref="D110" authorId="11" shapeId="0">
      <text>
        <r>
          <rPr>
            <b/>
            <sz val="9"/>
            <rFont val="Tahoma"/>
          </rPr>
          <t>Jana Holíková:</t>
        </r>
        <r>
          <rPr>
            <sz val="9"/>
            <rFont val="Tahoma"/>
          </rPr>
          <t xml:space="preserve">
23017/02 +305.600,85
</t>
        </r>
      </text>
    </comment>
    <comment ref="D111" authorId="12" shapeId="0">
      <text>
        <r>
          <rPr>
            <b/>
            <sz val="9"/>
            <rFont val="Tahoma"/>
          </rPr>
          <t>Jana Holíková:</t>
        </r>
        <r>
          <rPr>
            <sz val="9"/>
            <rFont val="Tahoma"/>
          </rPr>
          <t xml:space="preserve">
23017/02 +151.277,28
</t>
        </r>
      </text>
    </comment>
    <comment ref="D112" authorId="13" shapeId="0">
      <text>
        <r>
          <rPr>
            <b/>
            <sz val="9"/>
            <rFont val="Tahoma"/>
          </rPr>
          <t>Jana Holíková:</t>
        </r>
        <r>
          <rPr>
            <sz val="9"/>
            <rFont val="Tahoma"/>
          </rPr>
          <t xml:space="preserve">
23038/03 +5.706.845,54
</t>
        </r>
      </text>
    </comment>
    <comment ref="D113" authorId="14" shapeId="0">
      <text>
        <r>
          <rPr>
            <b/>
            <sz val="9"/>
            <rFont val="Tahoma"/>
          </rPr>
          <t>Jana Holíková:</t>
        </r>
        <r>
          <rPr>
            <sz val="9"/>
            <rFont val="Tahoma"/>
          </rPr>
          <t xml:space="preserve">
23083/06 +265.673,13
</t>
        </r>
      </text>
    </comment>
    <comment ref="D117" authorId="15" shapeId="0">
      <text>
        <r>
          <rPr>
            <b/>
            <sz val="9"/>
            <rFont val="Tahoma"/>
          </rPr>
          <t>Jana Holíková:</t>
        </r>
        <r>
          <rPr>
            <sz val="9"/>
            <rFont val="Tahoma"/>
          </rPr>
          <t xml:space="preserve">
23083/06 
+5.360 +147.136
</t>
        </r>
      </text>
    </comment>
    <comment ref="D118" authorId="16" shapeId="0">
      <text>
        <r>
          <rPr>
            <b/>
            <sz val="9"/>
            <rFont val="Tahoma"/>
          </rPr>
          <t>Jana Holíková:</t>
        </r>
        <r>
          <rPr>
            <sz val="9"/>
            <rFont val="Tahoma"/>
          </rPr>
          <t xml:space="preserve">
23029/02 +100.000
23050/04 -100.000
</t>
        </r>
      </text>
    </comment>
    <comment ref="D120" authorId="17" shapeId="0">
      <text>
        <r>
          <rPr>
            <b/>
            <sz val="9"/>
            <rFont val="Tahoma"/>
          </rPr>
          <t>Jana Holíková:</t>
        </r>
        <r>
          <rPr>
            <sz val="9"/>
            <rFont val="Tahoma"/>
          </rPr>
          <t xml:space="preserve">
23016/02 +8.015
</t>
        </r>
      </text>
    </comment>
    <comment ref="D121" authorId="18" shapeId="0">
      <text>
        <r>
          <rPr>
            <b/>
            <sz val="9"/>
            <rFont val="Tahoma"/>
          </rPr>
          <t>Jana Holíková:</t>
        </r>
        <r>
          <rPr>
            <sz val="9"/>
            <rFont val="Tahoma"/>
          </rPr>
          <t xml:space="preserve">
23016/02 +33.210
</t>
        </r>
      </text>
    </comment>
    <comment ref="D122" authorId="19" shapeId="0">
      <text>
        <r>
          <rPr>
            <b/>
            <sz val="9"/>
            <rFont val="Tahoma"/>
          </rPr>
          <t>Jana Holíková:</t>
        </r>
        <r>
          <rPr>
            <sz val="9"/>
            <rFont val="Tahoma"/>
          </rPr>
          <t xml:space="preserve">
23050/04 +100.000
</t>
        </r>
      </text>
    </comment>
    <comment ref="D124" authorId="20" shapeId="0">
      <text>
        <r>
          <rPr>
            <b/>
            <sz val="9"/>
            <rFont val="Tahoma"/>
          </rPr>
          <t>Jana Holíková:</t>
        </r>
        <r>
          <rPr>
            <sz val="9"/>
            <rFont val="Tahoma"/>
          </rPr>
          <t xml:space="preserve">
23011/02 -+50.000
23031/02 -+50.000
23032/02 +5.000
</t>
        </r>
      </text>
    </comment>
    <comment ref="D125" authorId="21" shapeId="0">
      <text>
        <r>
          <rPr>
            <b/>
            <sz val="9"/>
            <rFont val="Tahoma"/>
          </rPr>
          <t>Jana Holíková:</t>
        </r>
        <r>
          <rPr>
            <sz val="9"/>
            <rFont val="Tahoma"/>
          </rPr>
          <t xml:space="preserve">
23019/02 +59.931
23095/06 +206.193
</t>
        </r>
      </text>
    </comment>
    <comment ref="D139" authorId="22" shapeId="0">
      <text>
        <r>
          <rPr>
            <b/>
            <sz val="9"/>
            <rFont val="Tahoma"/>
          </rPr>
          <t>Jana Holíková:</t>
        </r>
        <r>
          <rPr>
            <sz val="9"/>
            <rFont val="Tahoma"/>
          </rPr>
          <t xml:space="preserve">
23013/02 +227.100
23028/02 +232.500
23042/03 +210.000
23064/04 +231.000
23076/05 +234.000
23092/06 +241.800
</t>
        </r>
      </text>
    </comment>
    <comment ref="D150" authorId="23" shapeId="0">
      <text>
        <r>
          <rPr>
            <b/>
            <sz val="9"/>
            <rFont val="Tahoma"/>
          </rPr>
          <t>Jana Holíková:</t>
        </r>
        <r>
          <rPr>
            <sz val="9"/>
            <rFont val="Tahoma"/>
          </rPr>
          <t xml:space="preserve">
23087/06 -7.500.000
</t>
        </r>
      </text>
    </comment>
    <comment ref="D151" authorId="24" shapeId="0">
      <text>
        <r>
          <rPr>
            <b/>
            <sz val="9"/>
            <rFont val="Tahoma"/>
          </rPr>
          <t>Jana Holíková:</t>
        </r>
        <r>
          <rPr>
            <sz val="9"/>
            <rFont val="Tahoma"/>
          </rPr>
          <t xml:space="preserve">
23062/04 -1.144.538
</t>
        </r>
      </text>
    </comment>
    <comment ref="D187" authorId="25" shapeId="0">
      <text>
        <r>
          <rPr>
            <b/>
            <sz val="9"/>
            <rFont val="Tahoma"/>
          </rPr>
          <t>Jana Holíková:</t>
        </r>
        <r>
          <rPr>
            <sz val="9"/>
            <rFont val="Tahoma"/>
          </rPr>
          <t xml:space="preserve">
23014/02 +864.200
</t>
        </r>
      </text>
    </comment>
    <comment ref="D188" authorId="26" shapeId="0">
      <text>
        <r>
          <rPr>
            <b/>
            <sz val="9"/>
            <rFont val="Tahoma"/>
          </rPr>
          <t>Jana Holíková:</t>
        </r>
        <r>
          <rPr>
            <sz val="9"/>
            <rFont val="Tahoma"/>
          </rPr>
          <t xml:space="preserve">
23063/04 +3.705,41
</t>
        </r>
      </text>
    </comment>
    <comment ref="D189" authorId="27" shapeId="0">
      <text>
        <r>
          <rPr>
            <b/>
            <sz val="9"/>
            <rFont val="Tahoma"/>
          </rPr>
          <t>Jana Holíková:</t>
        </r>
        <r>
          <rPr>
            <sz val="9"/>
            <rFont val="Tahoma"/>
          </rPr>
          <t xml:space="preserve">
23005/01 +2.499.800
</t>
        </r>
      </text>
    </comment>
    <comment ref="D193" authorId="28" shapeId="0">
      <text>
        <r>
          <rPr>
            <b/>
            <sz val="9"/>
            <rFont val="Tahoma"/>
          </rPr>
          <t>Jana Holíková:</t>
        </r>
        <r>
          <rPr>
            <sz val="9"/>
            <rFont val="Tahoma"/>
          </rPr>
          <t xml:space="preserve">
23046/03
+    635,25 17015 1071
+12.705     17015 1075 
</t>
        </r>
      </text>
    </comment>
    <comment ref="D194" authorId="29" shapeId="0">
      <text>
        <r>
          <rPr>
            <b/>
            <sz val="9"/>
            <rFont val="Tahoma"/>
          </rPr>
          <t>Jana Holíková:</t>
        </r>
        <r>
          <rPr>
            <sz val="9"/>
            <rFont val="Tahoma"/>
          </rPr>
          <t xml:space="preserve">
23047/03
+ 635,25  17015 107 1
+12.705  17016 107 5
</t>
        </r>
      </text>
    </comment>
    <comment ref="D195" authorId="30" shapeId="0">
      <text>
        <r>
          <rPr>
            <b/>
            <sz val="9"/>
            <rFont val="Tahoma"/>
          </rPr>
          <t>Jana Holíková:</t>
        </r>
        <r>
          <rPr>
            <sz val="9"/>
            <rFont val="Tahoma"/>
          </rPr>
          <t xml:space="preserve">
23062/04 +1.059.598
</t>
        </r>
      </text>
    </comment>
    <comment ref="D196" authorId="31" shapeId="0">
      <text>
        <r>
          <rPr>
            <b/>
            <sz val="9"/>
            <rFont val="Tahoma"/>
          </rPr>
          <t>Jana Holíková:</t>
        </r>
        <r>
          <rPr>
            <sz val="9"/>
            <rFont val="Tahoma"/>
          </rPr>
          <t xml:space="preserve">
23087/06 +8.304.000
</t>
        </r>
      </text>
    </comment>
    <comment ref="D197" authorId="32" shapeId="0">
      <text>
        <r>
          <rPr>
            <b/>
            <sz val="9"/>
            <rFont val="Tahoma"/>
          </rPr>
          <t>Jana Holíková:</t>
        </r>
        <r>
          <rPr>
            <sz val="9"/>
            <rFont val="Tahoma"/>
          </rPr>
          <t xml:space="preserve">
23057/04 +14.200
</t>
        </r>
      </text>
    </comment>
    <comment ref="D198" authorId="33" shapeId="0">
      <text>
        <r>
          <rPr>
            <b/>
            <sz val="9"/>
            <rFont val="Tahoma"/>
          </rPr>
          <t>Jana Holíková:</t>
        </r>
        <r>
          <rPr>
            <sz val="9"/>
            <rFont val="Tahoma"/>
          </rPr>
          <t xml:space="preserve">
23057/04 +35.205
</t>
        </r>
      </text>
    </comment>
    <comment ref="D199" authorId="34" shapeId="0">
      <text>
        <r>
          <rPr>
            <b/>
            <sz val="9"/>
            <rFont val="Tahoma"/>
          </rPr>
          <t>Jana:</t>
        </r>
        <r>
          <rPr>
            <sz val="9"/>
            <rFont val="Tahoma"/>
          </rPr>
          <t xml:space="preserve">
23015/02 úz33092 
+1.005.316,48 1431
+3.315.837,52 1435
</t>
        </r>
      </text>
    </comment>
    <comment ref="D200" authorId="35" shapeId="0">
      <text>
        <r>
          <rPr>
            <b/>
            <sz val="9"/>
            <rFont val="Tahoma"/>
          </rPr>
          <t>Jana:</t>
        </r>
        <r>
          <rPr>
            <sz val="9"/>
            <rFont val="Tahoma"/>
          </rPr>
          <t xml:space="preserve">
23058/04 úz33092 
+ 519.876,20 1431
+1.714.708,80 1435
</t>
        </r>
      </text>
    </comment>
    <comment ref="D201" authorId="36" shapeId="0">
      <text>
        <r>
          <rPr>
            <b/>
            <sz val="9"/>
            <rFont val="Tahoma"/>
          </rPr>
          <t>Jana:</t>
        </r>
        <r>
          <rPr>
            <sz val="9"/>
            <rFont val="Tahoma"/>
          </rPr>
          <t xml:space="preserve">
23093/06 úz33092 
+ 551.883,72 1431
+1.820.279,28 1435
</t>
        </r>
      </text>
    </comment>
    <comment ref="D202" authorId="37" shapeId="0">
      <text>
        <r>
          <rPr>
            <b/>
            <sz val="9"/>
            <rFont val="Tahoma"/>
          </rPr>
          <t>Jana Holíková:</t>
        </r>
        <r>
          <rPr>
            <sz val="9"/>
            <rFont val="Tahoma"/>
          </rPr>
          <t xml:space="preserve">
23096/06 +100.000
</t>
        </r>
      </text>
    </comment>
    <comment ref="D211" authorId="38" shapeId="0">
      <text>
        <r>
          <rPr>
            <b/>
            <sz val="9"/>
            <rFont val="Tahoma"/>
          </rPr>
          <t>Jana Holíková:</t>
        </r>
        <r>
          <rPr>
            <sz val="9"/>
            <rFont val="Tahoma"/>
          </rPr>
          <t xml:space="preserve">
23039/03 org z 541 na 029
</t>
        </r>
      </text>
    </comment>
    <comment ref="D216" authorId="39" shapeId="0">
      <text>
        <r>
          <rPr>
            <b/>
            <sz val="9"/>
            <rFont val="Tahoma"/>
          </rPr>
          <t>Jana Holíková:</t>
        </r>
        <r>
          <rPr>
            <sz val="9"/>
            <rFont val="Tahoma"/>
          </rPr>
          <t xml:space="preserve">
23001/01 +4.551.000
</t>
        </r>
      </text>
    </comment>
    <comment ref="D217" authorId="40" shapeId="0">
      <text>
        <r>
          <rPr>
            <b/>
            <sz val="9"/>
            <rFont val="Tahoma"/>
          </rPr>
          <t>Jana Holíková:</t>
        </r>
        <r>
          <rPr>
            <sz val="9"/>
            <rFont val="Tahoma"/>
          </rPr>
          <t xml:space="preserve">
23056/04 +80.000
</t>
        </r>
      </text>
    </comment>
    <comment ref="D218" authorId="41" shapeId="0">
      <text>
        <r>
          <rPr>
            <b/>
            <sz val="9"/>
            <rFont val="Tahoma"/>
          </rPr>
          <t>Jana Holíková:</t>
        </r>
        <r>
          <rPr>
            <sz val="9"/>
            <rFont val="Tahoma"/>
          </rPr>
          <t xml:space="preserve">
23055/04 +50.000
</t>
        </r>
      </text>
    </comment>
    <comment ref="D219" authorId="42" shapeId="0">
      <text>
        <r>
          <rPr>
            <b/>
            <sz val="9"/>
            <rFont val="Tahoma"/>
          </rPr>
          <t>Jana Holíková:</t>
        </r>
        <r>
          <rPr>
            <sz val="9"/>
            <rFont val="Tahoma"/>
          </rPr>
          <t xml:space="preserve">
23027/02 +9.234 (z 4222)
</t>
        </r>
      </text>
    </comment>
    <comment ref="D220" authorId="43" shapeId="0">
      <text>
        <r>
          <rPr>
            <b/>
            <sz val="9"/>
            <rFont val="Tahoma"/>
          </rPr>
          <t>Jana Holíková:</t>
        </r>
        <r>
          <rPr>
            <sz val="9"/>
            <rFont val="Tahoma"/>
          </rPr>
          <t xml:space="preserve">
23059/04 +210.000
</t>
        </r>
      </text>
    </comment>
    <comment ref="D222" authorId="44" shapeId="0">
      <text>
        <r>
          <rPr>
            <b/>
            <sz val="9"/>
            <rFont val="Tahoma"/>
          </rPr>
          <t>Jana Holíková:</t>
        </r>
        <r>
          <rPr>
            <sz val="9"/>
            <rFont val="Tahoma"/>
          </rPr>
          <t xml:space="preserve">
23086/06 úz 913, 120 1,5
+ 4.752,88 (0321, 1201)
+26.932,97 (0321, 1205)
+ 1.806,05 (0322, 1201)
+10.234,30 (0322, 1205)
+ 5.713,08 (0323, 1201)
+32.374,08 (0323, 1205)
</t>
        </r>
      </text>
    </comment>
    <comment ref="D223" authorId="45" shapeId="0">
      <text>
        <r>
          <rPr>
            <b/>
            <sz val="9"/>
            <rFont val="Tahoma"/>
          </rPr>
          <t>Jana Holíková:</t>
        </r>
        <r>
          <rPr>
            <sz val="9"/>
            <rFont val="Tahoma"/>
          </rPr>
          <t xml:space="preserve">
23054/04 + 5.960.000
</t>
        </r>
      </text>
    </comment>
    <comment ref="D225" authorId="46" shapeId="0">
      <text>
        <r>
          <rPr>
            <b/>
            <sz val="9"/>
            <rFont val="Tahoma"/>
          </rPr>
          <t>Jana Holíková:</t>
        </r>
        <r>
          <rPr>
            <sz val="9"/>
            <rFont val="Tahoma"/>
          </rPr>
          <t xml:space="preserve">
23082/06-94.000
</t>
        </r>
      </text>
    </comment>
    <comment ref="D235" authorId="47" shapeId="0">
      <text>
        <r>
          <rPr>
            <b/>
            <sz val="9"/>
            <rFont val="Tahoma"/>
          </rPr>
          <t>Jana Holíková:</t>
        </r>
        <r>
          <rPr>
            <sz val="9"/>
            <rFont val="Tahoma"/>
          </rPr>
          <t xml:space="preserve">
23046/03 -4.250.000
+   205.587,45 17968 1071
+4.111.749,01  17969 1075 
</t>
        </r>
      </text>
    </comment>
    <comment ref="D236" authorId="48" shapeId="0">
      <text>
        <r>
          <rPr>
            <b/>
            <sz val="9"/>
            <rFont val="Tahoma"/>
          </rPr>
          <t>Jana Holíková:</t>
        </r>
        <r>
          <rPr>
            <sz val="9"/>
            <rFont val="Tahoma"/>
          </rPr>
          <t xml:space="preserve">
23047/03 
-4.800.000 17969 1075
+ 239.760,30 17968 107 1
+4.795.207,68 17969 107 5
</t>
        </r>
      </text>
    </comment>
    <comment ref="D242" authorId="49" shapeId="0">
      <text>
        <r>
          <rPr>
            <b/>
            <sz val="9"/>
            <rFont val="Tahoma"/>
          </rPr>
          <t>Jana Holíková:</t>
        </r>
        <r>
          <rPr>
            <sz val="9"/>
            <rFont val="Tahoma"/>
          </rPr>
          <t xml:space="preserve">
23055/04 +150.000
</t>
        </r>
      </text>
    </comment>
    <comment ref="D244" authorId="50" shapeId="0">
      <text>
        <r>
          <rPr>
            <b/>
            <sz val="9"/>
            <rFont val="Tahoma"/>
          </rPr>
          <t>Jana Holíková:</t>
        </r>
        <r>
          <rPr>
            <sz val="9"/>
            <rFont val="Tahoma"/>
          </rPr>
          <t xml:space="preserve">
23088/06 +22.018
</t>
        </r>
      </text>
    </comment>
    <comment ref="D245" authorId="51" shapeId="0">
      <text>
        <r>
          <rPr>
            <b/>
            <sz val="9"/>
            <rFont val="Tahoma"/>
          </rPr>
          <t>Jana Holíková:</t>
        </r>
        <r>
          <rPr>
            <sz val="9"/>
            <rFont val="Tahoma"/>
          </rPr>
          <t xml:space="preserve">
23027/02 
zm úz z 720 na 711,
-9.234 (na 4122)
</t>
        </r>
      </text>
    </comment>
    <comment ref="D265" authorId="52" shapeId="0">
      <text>
        <r>
          <rPr>
            <b/>
            <sz val="9"/>
            <rFont val="Tahoma"/>
          </rPr>
          <t>Jana Holíková:</t>
        </r>
        <r>
          <rPr>
            <sz val="9"/>
            <rFont val="Tahoma"/>
          </rPr>
          <t xml:space="preserve">
23571/06 -13.240
</t>
        </r>
      </text>
    </comment>
    <comment ref="D268" authorId="53" shapeId="0">
      <text>
        <r>
          <rPr>
            <b/>
            <sz val="9"/>
            <rFont val="Tahoma"/>
          </rPr>
          <t>Jana Holíková:</t>
        </r>
        <r>
          <rPr>
            <sz val="9"/>
            <rFont val="Tahoma"/>
          </rPr>
          <t xml:space="preserve">
23571/06 +13.240
</t>
        </r>
      </text>
    </comment>
    <comment ref="D271" authorId="54" shapeId="0">
      <text>
        <r>
          <rPr>
            <b/>
            <sz val="9"/>
            <rFont val="Tahoma"/>
          </rPr>
          <t>Jana Holíková:</t>
        </r>
        <r>
          <rPr>
            <sz val="9"/>
            <rFont val="Tahoma"/>
          </rPr>
          <t xml:space="preserve">
23089/06 +242.676
</t>
        </r>
      </text>
    </comment>
    <comment ref="D285" authorId="55" shapeId="0">
      <text>
        <r>
          <rPr>
            <b/>
            <sz val="9"/>
            <rFont val="Tahoma"/>
          </rPr>
          <t>Jana Holíková:</t>
        </r>
        <r>
          <rPr>
            <sz val="9"/>
            <rFont val="Tahoma"/>
          </rPr>
          <t xml:space="preserve">
23095/06 +61.673
</t>
        </r>
      </text>
    </comment>
    <comment ref="D297" authorId="56" shapeId="0">
      <text>
        <r>
          <rPr>
            <b/>
            <sz val="9"/>
            <rFont val="Tahoma"/>
          </rPr>
          <t>Jana Holíková:</t>
        </r>
        <r>
          <rPr>
            <sz val="9"/>
            <rFont val="Tahoma"/>
          </rPr>
          <t xml:space="preserve">
23049/03 -700.000
</t>
        </r>
      </text>
    </comment>
    <comment ref="D306" authorId="57" shapeId="0">
      <text>
        <r>
          <rPr>
            <b/>
            <sz val="9"/>
            <rFont val="Tahoma"/>
          </rPr>
          <t>Jana Holíková:</t>
        </r>
        <r>
          <rPr>
            <sz val="9"/>
            <rFont val="Tahoma"/>
          </rPr>
          <t xml:space="preserve">
23508/02 +29.498,59
</t>
        </r>
      </text>
    </comment>
    <comment ref="D308" authorId="58" shapeId="0">
      <text>
        <r>
          <rPr>
            <b/>
            <sz val="9"/>
            <rFont val="Tahoma"/>
          </rPr>
          <t>Jana Holíková:</t>
        </r>
        <r>
          <rPr>
            <sz val="9"/>
            <rFont val="Tahoma"/>
          </rPr>
          <t xml:space="preserve">
23508/02 -29.498,59
23095/06 +1.124
</t>
        </r>
      </text>
    </comment>
    <comment ref="D325" authorId="59" shapeId="0">
      <text>
        <r>
          <rPr>
            <b/>
            <sz val="9"/>
            <rFont val="Tahoma"/>
          </rPr>
          <t>Jana Holíková:</t>
        </r>
        <r>
          <rPr>
            <sz val="9"/>
            <rFont val="Tahoma"/>
          </rPr>
          <t xml:space="preserve">
23091/06 +274.029,69
23097/06 +220.000
</t>
        </r>
      </text>
    </comment>
    <comment ref="D328" authorId="60" shapeId="0">
      <text>
        <r>
          <rPr>
            <b/>
            <sz val="9"/>
            <rFont val="Tahoma"/>
          </rPr>
          <t>Jana Holíková:</t>
        </r>
        <r>
          <rPr>
            <sz val="9"/>
            <rFont val="Tahoma"/>
          </rPr>
          <t xml:space="preserve">
23051/04 +100.000 houpačka Kojetín part.rozp
23091/06 -274.029,69
</t>
        </r>
      </text>
    </comment>
    <comment ref="D339" authorId="61" shapeId="0">
      <text>
        <r>
          <rPr>
            <b/>
            <sz val="9"/>
            <rFont val="Tahoma"/>
          </rPr>
          <t>Jana Holíková:</t>
        </r>
        <r>
          <rPr>
            <sz val="9"/>
            <rFont val="Tahoma"/>
          </rPr>
          <t xml:space="preserve">
23025/02 -43.923
</t>
        </r>
      </text>
    </comment>
    <comment ref="D346" authorId="62" shapeId="0">
      <text>
        <r>
          <rPr>
            <b/>
            <sz val="9"/>
            <rFont val="Tahoma"/>
          </rPr>
          <t>Jana Holíková:</t>
        </r>
        <r>
          <rPr>
            <sz val="9"/>
            <rFont val="Tahoma"/>
          </rPr>
          <t xml:space="preserve">
23095/06 +1.858
</t>
        </r>
      </text>
    </comment>
    <comment ref="D349" authorId="63" shapeId="0">
      <text>
        <r>
          <rPr>
            <b/>
            <sz val="9"/>
            <rFont val="Tahoma"/>
          </rPr>
          <t>Jana Holíková:</t>
        </r>
        <r>
          <rPr>
            <sz val="9"/>
            <rFont val="Tahoma"/>
          </rPr>
          <t xml:space="preserve">
23514/02 +70.301
</t>
        </r>
      </text>
    </comment>
    <comment ref="D351" authorId="64" shapeId="0">
      <text>
        <r>
          <rPr>
            <b/>
            <sz val="9"/>
            <rFont val="Tahoma"/>
          </rPr>
          <t>Jana Holíková:</t>
        </r>
        <r>
          <rPr>
            <sz val="9"/>
            <rFont val="Tahoma"/>
          </rPr>
          <t xml:space="preserve">
23514/02 +26257
</t>
        </r>
      </text>
    </comment>
    <comment ref="D353" authorId="65" shapeId="0">
      <text>
        <r>
          <rPr>
            <b/>
            <sz val="9"/>
            <rFont val="Tahoma"/>
          </rPr>
          <t>Jana Holíková:</t>
        </r>
        <r>
          <rPr>
            <sz val="9"/>
            <rFont val="Tahoma"/>
          </rPr>
          <t xml:space="preserve">
23514/02 -124.482
</t>
        </r>
      </text>
    </comment>
    <comment ref="D354" authorId="66" shapeId="0">
      <text>
        <r>
          <rPr>
            <b/>
            <sz val="9"/>
            <rFont val="Tahoma"/>
          </rPr>
          <t>Jana Holíková:</t>
        </r>
        <r>
          <rPr>
            <sz val="9"/>
            <rFont val="Tahoma"/>
          </rPr>
          <t xml:space="preserve">
23514/02 +27.924
</t>
        </r>
      </text>
    </comment>
    <comment ref="D359" authorId="67" shapeId="0">
      <text>
        <r>
          <rPr>
            <b/>
            <sz val="9"/>
            <rFont val="Tahoma"/>
          </rPr>
          <t>Jana Holíková:</t>
        </r>
        <r>
          <rPr>
            <sz val="9"/>
            <rFont val="Tahoma"/>
          </rPr>
          <t xml:space="preserve">
23008/01 +33.698
</t>
        </r>
      </text>
    </comment>
    <comment ref="D360" authorId="68" shapeId="0">
      <text>
        <r>
          <rPr>
            <b/>
            <sz val="9"/>
            <rFont val="Tahoma"/>
          </rPr>
          <t>Jana Holíková:</t>
        </r>
        <r>
          <rPr>
            <sz val="9"/>
            <rFont val="Tahoma"/>
          </rPr>
          <t xml:space="preserve">
23037/03 +175.000
</t>
        </r>
      </text>
    </comment>
    <comment ref="D372" authorId="69" shapeId="0">
      <text>
        <r>
          <rPr>
            <b/>
            <sz val="9"/>
            <rFont val="Tahoma"/>
          </rPr>
          <t>Jana Holíková:</t>
        </r>
        <r>
          <rPr>
            <sz val="9"/>
            <rFont val="Tahoma"/>
          </rPr>
          <t xml:space="preserve">
23095/06 +29.008
</t>
        </r>
      </text>
    </comment>
    <comment ref="D388" authorId="70" shapeId="0">
      <text>
        <r>
          <rPr>
            <b/>
            <sz val="9"/>
            <rFont val="Tahoma"/>
          </rPr>
          <t>Jana Holíková:</t>
        </r>
        <r>
          <rPr>
            <sz val="9"/>
            <rFont val="Tahoma"/>
          </rPr>
          <t xml:space="preserve">
23045/03 -1.500.000
</t>
        </r>
      </text>
    </comment>
    <comment ref="D391" authorId="71" shapeId="0">
      <text>
        <r>
          <rPr>
            <b/>
            <sz val="9"/>
            <rFont val="Tahoma"/>
          </rPr>
          <t>Jana Holíková:</t>
        </r>
        <r>
          <rPr>
            <sz val="9"/>
            <rFont val="Tahoma"/>
          </rPr>
          <t xml:space="preserve">
23520/02 -13.500
23049/03 
+700.000 +1.250.000
</t>
        </r>
      </text>
    </comment>
    <comment ref="D397" authorId="72" shapeId="0">
      <text>
        <r>
          <rPr>
            <b/>
            <sz val="9"/>
            <rFont val="Tahoma"/>
          </rPr>
          <t>Jana Holíková:</t>
        </r>
        <r>
          <rPr>
            <sz val="9"/>
            <rFont val="Tahoma"/>
          </rPr>
          <t xml:space="preserve">
23520/02 +13.500
</t>
        </r>
      </text>
    </comment>
    <comment ref="D398" authorId="73" shapeId="0">
      <text>
        <r>
          <rPr>
            <b/>
            <sz val="9"/>
            <rFont val="Tahoma"/>
          </rPr>
          <t>Jana Holíková:</t>
        </r>
        <r>
          <rPr>
            <sz val="9"/>
            <rFont val="Tahoma"/>
          </rPr>
          <t xml:space="preserve">
23569/06 -200.000
</t>
        </r>
      </text>
    </comment>
    <comment ref="D402" authorId="74" shapeId="0">
      <text>
        <r>
          <rPr>
            <b/>
            <sz val="9"/>
            <rFont val="Tahoma"/>
          </rPr>
          <t>Jana Holíková:</t>
        </r>
        <r>
          <rPr>
            <sz val="9"/>
            <rFont val="Tahoma"/>
          </rPr>
          <t xml:space="preserve">
23569/06 +200.000
</t>
        </r>
      </text>
    </comment>
    <comment ref="D409" authorId="75" shapeId="0">
      <text>
        <r>
          <rPr>
            <b/>
            <sz val="9"/>
            <rFont val="Tahoma"/>
          </rPr>
          <t>Jana Holíková:</t>
        </r>
        <r>
          <rPr>
            <sz val="9"/>
            <rFont val="Tahoma"/>
          </rPr>
          <t xml:space="preserve">
23049/03 +500.000
</t>
        </r>
      </text>
    </comment>
    <comment ref="D411" authorId="76" shapeId="0">
      <text>
        <r>
          <rPr>
            <b/>
            <sz val="9"/>
            <rFont val="Tahoma"/>
          </rPr>
          <t>Jana Holíková:</t>
        </r>
        <r>
          <rPr>
            <sz val="9"/>
            <rFont val="Tahoma"/>
          </rPr>
          <t xml:space="preserve">
23573/06 +50.000
</t>
        </r>
      </text>
    </comment>
    <comment ref="D412" authorId="77" shapeId="0">
      <text>
        <r>
          <rPr>
            <b/>
            <sz val="9"/>
            <rFont val="Tahoma"/>
          </rPr>
          <t>Jana Holíková:</t>
        </r>
        <r>
          <rPr>
            <sz val="9"/>
            <rFont val="Tahoma"/>
          </rPr>
          <t xml:space="preserve">
23542/04 -50.000
23573/06 -50.000
</t>
        </r>
      </text>
    </comment>
    <comment ref="D414" authorId="78" shapeId="0">
      <text>
        <r>
          <rPr>
            <b/>
            <sz val="9"/>
            <rFont val="Tahoma"/>
          </rPr>
          <t>Jana Holíková:</t>
        </r>
        <r>
          <rPr>
            <sz val="9"/>
            <rFont val="Tahoma"/>
          </rPr>
          <t xml:space="preserve">
23542/04 +50.000
</t>
        </r>
      </text>
    </comment>
    <comment ref="D419" authorId="79" shapeId="0">
      <text>
        <r>
          <rPr>
            <b/>
            <sz val="9"/>
            <rFont val="Tahoma"/>
          </rPr>
          <t>Jana Holíková:</t>
        </r>
        <r>
          <rPr>
            <sz val="9"/>
            <rFont val="Tahoma"/>
          </rPr>
          <t xml:space="preserve">
23004/01 +2.500.000
</t>
        </r>
      </text>
    </comment>
    <comment ref="D440" authorId="80" shapeId="0">
      <text>
        <r>
          <rPr>
            <b/>
            <sz val="9"/>
            <rFont val="Tahoma"/>
          </rPr>
          <t>Jana Holíková:</t>
        </r>
        <r>
          <rPr>
            <sz val="9"/>
            <rFont val="Tahoma"/>
          </rPr>
          <t xml:space="preserve">
23088 +22.018 úz611
</t>
        </r>
      </text>
    </comment>
    <comment ref="D441" authorId="81" shapeId="0">
      <text>
        <r>
          <rPr>
            <b/>
            <sz val="9"/>
            <rFont val="Tahoma"/>
          </rPr>
          <t>Jana Holíková:</t>
        </r>
        <r>
          <rPr>
            <sz val="9"/>
            <rFont val="Tahoma"/>
          </rPr>
          <t xml:space="preserve">
23521/03 +-117.833 dozn úz 610
</t>
        </r>
      </text>
    </comment>
    <comment ref="D446" authorId="82" shapeId="0">
      <text>
        <r>
          <rPr>
            <b/>
            <sz val="9"/>
            <rFont val="Tahoma"/>
          </rPr>
          <t>Jana Holíková:</t>
        </r>
        <r>
          <rPr>
            <sz val="9"/>
            <rFont val="Tahoma"/>
          </rPr>
          <t xml:space="preserve">
23012/02 +13.000
</t>
        </r>
      </text>
    </comment>
    <comment ref="D465" authorId="83" shapeId="0">
      <text>
        <r>
          <rPr>
            <b/>
            <sz val="9"/>
            <rFont val="Tahoma"/>
          </rPr>
          <t>Jana Holíková:</t>
        </r>
        <r>
          <rPr>
            <sz val="9"/>
            <rFont val="Tahoma"/>
          </rPr>
          <t xml:space="preserve">
23543/04 +4.635.000
</t>
        </r>
      </text>
    </comment>
    <comment ref="D466" authorId="84" shapeId="0">
      <text>
        <r>
          <rPr>
            <b/>
            <sz val="9"/>
            <rFont val="Tahoma"/>
          </rPr>
          <t>Jana Holíková:</t>
        </r>
        <r>
          <rPr>
            <sz val="9"/>
            <rFont val="Tahoma"/>
          </rPr>
          <t xml:space="preserve">
23543/04 -4.635.000
</t>
        </r>
      </text>
    </comment>
    <comment ref="D468" authorId="85" shapeId="0">
      <text>
        <r>
          <rPr>
            <b/>
            <sz val="9"/>
            <rFont val="Tahoma"/>
          </rPr>
          <t>Jana Holíková:</t>
        </r>
        <r>
          <rPr>
            <sz val="9"/>
            <rFont val="Tahoma"/>
          </rPr>
          <t xml:space="preserve">
23548/05 
+150.000 +80.000
</t>
        </r>
      </text>
    </comment>
    <comment ref="D470" authorId="86" shapeId="0">
      <text>
        <r>
          <rPr>
            <b/>
            <sz val="9"/>
            <rFont val="Tahoma"/>
          </rPr>
          <t>Jana Holíková:</t>
        </r>
        <r>
          <rPr>
            <sz val="9"/>
            <rFont val="Tahoma"/>
          </rPr>
          <t xml:space="preserve">
23070/05 -1.700.000
</t>
        </r>
      </text>
    </comment>
    <comment ref="D471" authorId="87" shapeId="0">
      <text>
        <r>
          <rPr>
            <b/>
            <sz val="9"/>
            <rFont val="Tahoma"/>
          </rPr>
          <t>Jana Holíková:</t>
        </r>
        <r>
          <rPr>
            <sz val="9"/>
            <rFont val="Tahoma"/>
          </rPr>
          <t xml:space="preserve">
23021/02 -14.000.000
23548/05 -230.000
</t>
        </r>
      </text>
    </comment>
    <comment ref="D479" authorId="88" shapeId="0">
      <text>
        <r>
          <rPr>
            <b/>
            <sz val="9"/>
            <rFont val="Tahoma"/>
          </rPr>
          <t>Jana Holíková:</t>
        </r>
        <r>
          <rPr>
            <sz val="9"/>
            <rFont val="Tahoma"/>
          </rPr>
          <t xml:space="preserve">
23023/02 -153.307 part.rozp-psí hř
23051/04 -100.000 part.rozp Houpačka Kojetín
</t>
        </r>
      </text>
    </comment>
    <comment ref="D490" authorId="89" shapeId="0">
      <text>
        <r>
          <rPr>
            <b/>
            <sz val="9"/>
            <rFont val="Tahoma"/>
          </rPr>
          <t>Jana Holíková:</t>
        </r>
        <r>
          <rPr>
            <sz val="9"/>
            <rFont val="Tahoma"/>
          </rPr>
          <t xml:space="preserve">
23554/05 +500.000
</t>
        </r>
      </text>
    </comment>
    <comment ref="D492" authorId="90" shapeId="0">
      <text>
        <r>
          <rPr>
            <b/>
            <sz val="9"/>
            <rFont val="Tahoma"/>
          </rPr>
          <t>Jana Holíková:</t>
        </r>
        <r>
          <rPr>
            <sz val="9"/>
            <rFont val="Tahoma"/>
          </rPr>
          <t xml:space="preserve">
23554/05 -500.000
</t>
        </r>
      </text>
    </comment>
    <comment ref="D504" authorId="91" shapeId="0">
      <text>
        <r>
          <rPr>
            <b/>
            <sz val="9"/>
            <rFont val="Tahoma"/>
          </rPr>
          <t>Jana Holíková:</t>
        </r>
        <r>
          <rPr>
            <sz val="9"/>
            <rFont val="Tahoma"/>
          </rPr>
          <t xml:space="preserve">
23045/03 +1.500.000
</t>
        </r>
      </text>
    </comment>
    <comment ref="D509" authorId="92" shapeId="0">
      <text>
        <r>
          <rPr>
            <b/>
            <sz val="9"/>
            <rFont val="Tahoma"/>
          </rPr>
          <t>Jana Holíková:</t>
        </r>
        <r>
          <rPr>
            <sz val="9"/>
            <rFont val="Tahoma"/>
          </rPr>
          <t xml:space="preserve">
23537/04 +-400.000 org
</t>
        </r>
      </text>
    </comment>
    <comment ref="D512" authorId="93" shapeId="0">
      <text>
        <r>
          <rPr>
            <b/>
            <sz val="9"/>
            <rFont val="Tahoma"/>
          </rPr>
          <t>Jana Holíková:</t>
        </r>
        <r>
          <rPr>
            <sz val="9"/>
            <rFont val="Tahoma"/>
          </rPr>
          <t xml:space="preserve">
23024/02 +1.500.000
</t>
        </r>
      </text>
    </comment>
    <comment ref="D513" authorId="94" shapeId="0">
      <text>
        <r>
          <rPr>
            <b/>
            <sz val="9"/>
            <rFont val="Tahoma"/>
          </rPr>
          <t>Jana Holíková:</t>
        </r>
        <r>
          <rPr>
            <sz val="9"/>
            <rFont val="Tahoma"/>
          </rPr>
          <t xml:space="preserve">
23024/02 +1.200.000
</t>
        </r>
      </text>
    </comment>
    <comment ref="D521" authorId="95" shapeId="0">
      <text>
        <r>
          <rPr>
            <b/>
            <sz val="9"/>
            <rFont val="Tahoma"/>
          </rPr>
          <t>Jana Holíková:</t>
        </r>
        <r>
          <rPr>
            <sz val="9"/>
            <rFont val="Tahoma"/>
          </rPr>
          <t xml:space="preserve">
23024/02 +4.000.000
</t>
        </r>
      </text>
    </comment>
    <comment ref="D525" authorId="96" shapeId="0">
      <text>
        <r>
          <rPr>
            <b/>
            <sz val="9"/>
            <rFont val="Tahoma"/>
          </rPr>
          <t>Jana Holíková:</t>
        </r>
        <r>
          <rPr>
            <sz val="9"/>
            <rFont val="Tahoma"/>
          </rPr>
          <t xml:space="preserve">
23026/02 +1.700.000
</t>
        </r>
      </text>
    </comment>
    <comment ref="D533" authorId="97" shapeId="0">
      <text>
        <r>
          <rPr>
            <b/>
            <sz val="9"/>
            <rFont val="Tahoma"/>
          </rPr>
          <t>Jana Holíková:</t>
        </r>
        <r>
          <rPr>
            <sz val="9"/>
            <rFont val="Tahoma"/>
          </rPr>
          <t xml:space="preserve">
23524/03 -1.300.000
23551/05 +1.300.000
</t>
        </r>
      </text>
    </comment>
    <comment ref="D537" authorId="98" shapeId="0">
      <text>
        <r>
          <rPr>
            <b/>
            <sz val="9"/>
            <rFont val="Tahoma"/>
          </rPr>
          <t>Jana Holíková:</t>
        </r>
        <r>
          <rPr>
            <sz val="9"/>
            <rFont val="Tahoma"/>
          </rPr>
          <t xml:space="preserve">
23523/03 -40.000
</t>
        </r>
      </text>
    </comment>
    <comment ref="D538" authorId="99" shapeId="0">
      <text>
        <r>
          <rPr>
            <b/>
            <sz val="9"/>
            <rFont val="Tahoma"/>
          </rPr>
          <t>Jana Holíková:</t>
        </r>
        <r>
          <rPr>
            <sz val="9"/>
            <rFont val="Tahoma"/>
          </rPr>
          <t xml:space="preserve">
23524/03 +1.300.000
</t>
        </r>
      </text>
    </comment>
    <comment ref="D539" authorId="100" shapeId="0">
      <text>
        <r>
          <rPr>
            <b/>
            <sz val="9"/>
            <rFont val="Tahoma"/>
          </rPr>
          <t>Jana Holíková:</t>
        </r>
        <r>
          <rPr>
            <sz val="9"/>
            <rFont val="Tahoma"/>
          </rPr>
          <t xml:space="preserve">
23551/05 -1.300.000
</t>
        </r>
      </text>
    </comment>
    <comment ref="D540" authorId="101" shapeId="0">
      <text>
        <r>
          <rPr>
            <b/>
            <sz val="9"/>
            <rFont val="Tahoma"/>
          </rPr>
          <t>Jana Holíková:</t>
        </r>
        <r>
          <rPr>
            <sz val="9"/>
            <rFont val="Tahoma"/>
          </rPr>
          <t xml:space="preserve">
23523/03 +40.000
</t>
        </r>
      </text>
    </comment>
    <comment ref="D543" authorId="102" shapeId="0">
      <text>
        <r>
          <rPr>
            <b/>
            <sz val="9"/>
            <rFont val="Tahoma"/>
          </rPr>
          <t>Jana Holíková:</t>
        </r>
        <r>
          <rPr>
            <sz val="9"/>
            <rFont val="Tahoma"/>
          </rPr>
          <t xml:space="preserve">
23501/01 -20.000
23522/03 -3.000
23535/04 -10.000
</t>
        </r>
      </text>
    </comment>
    <comment ref="D544" authorId="103" shapeId="0">
      <text>
        <r>
          <rPr>
            <b/>
            <sz val="9"/>
            <rFont val="Tahoma"/>
          </rPr>
          <t>Jana Holíková:</t>
        </r>
        <r>
          <rPr>
            <sz val="9"/>
            <rFont val="Tahoma"/>
          </rPr>
          <t xml:space="preserve">
23501/01 +20.000
23535/04 +10.000
23568/06 +50.000
</t>
        </r>
      </text>
    </comment>
    <comment ref="D547" authorId="104" shapeId="0">
      <text>
        <r>
          <rPr>
            <b/>
            <sz val="9"/>
            <rFont val="Tahoma"/>
          </rPr>
          <t>Jana Holíková:</t>
        </r>
        <r>
          <rPr>
            <sz val="9"/>
            <rFont val="Tahoma"/>
          </rPr>
          <t xml:space="preserve">
23012/02 -13.000
23568/06 -50.000
</t>
        </r>
      </text>
    </comment>
    <comment ref="D548" authorId="105" shapeId="0">
      <text>
        <r>
          <rPr>
            <b/>
            <sz val="9"/>
            <rFont val="Tahoma"/>
          </rPr>
          <t>Jana Holíková:</t>
        </r>
        <r>
          <rPr>
            <sz val="9"/>
            <rFont val="Tahoma"/>
          </rPr>
          <t xml:space="preserve">
23012/02 -13.000
23522/03 +3.000
</t>
        </r>
      </text>
    </comment>
    <comment ref="D558" authorId="106" shapeId="0">
      <text>
        <r>
          <rPr>
            <b/>
            <sz val="9"/>
            <rFont val="Tahoma"/>
          </rPr>
          <t>Jana Holíková:</t>
        </r>
        <r>
          <rPr>
            <sz val="9"/>
            <rFont val="Tahoma"/>
          </rPr>
          <t xml:space="preserve">
23518/02 -20.160
</t>
        </r>
      </text>
    </comment>
    <comment ref="D561" authorId="107" shapeId="0">
      <text>
        <r>
          <rPr>
            <b/>
            <sz val="9"/>
            <rFont val="Tahoma"/>
          </rPr>
          <t>Jana Holíková:</t>
        </r>
        <r>
          <rPr>
            <sz val="9"/>
            <rFont val="Tahoma"/>
          </rPr>
          <t xml:space="preserve">
23516/02 +20.160
</t>
        </r>
      </text>
    </comment>
    <comment ref="D563" authorId="108" shapeId="0">
      <text>
        <r>
          <rPr>
            <b/>
            <sz val="9"/>
            <rFont val="Tahoma"/>
          </rPr>
          <t>Jana Holíková:</t>
        </r>
        <r>
          <rPr>
            <sz val="9"/>
            <rFont val="Tahoma"/>
          </rPr>
          <t xml:space="preserve">
23507/02 -12.000
</t>
        </r>
      </text>
    </comment>
    <comment ref="D565" authorId="109" shapeId="0">
      <text>
        <r>
          <rPr>
            <b/>
            <sz val="9"/>
            <rFont val="Tahoma"/>
          </rPr>
          <t>Jana Holíková:</t>
        </r>
        <r>
          <rPr>
            <sz val="9"/>
            <rFont val="Tahoma"/>
          </rPr>
          <t xml:space="preserve">
23507/02 +12.000
</t>
        </r>
      </text>
    </comment>
    <comment ref="D577" authorId="110" shapeId="0">
      <text>
        <r>
          <rPr>
            <b/>
            <sz val="9"/>
            <rFont val="Tahoma"/>
          </rPr>
          <t>Jana Holíková:</t>
        </r>
        <r>
          <rPr>
            <sz val="9"/>
            <rFont val="Tahoma"/>
          </rPr>
          <t xml:space="preserve">
23030/02 +70.804,80 +217.373,47
23040/03 +33.700
23055/04 úz 693
+50.000 NIV
+150.000 IV
23056/04 +80.000 úz673 NIV
</t>
        </r>
      </text>
    </comment>
    <comment ref="D585" authorId="111" shapeId="0">
      <text>
        <r>
          <rPr>
            <b/>
            <sz val="9"/>
            <rFont val="Tahoma"/>
          </rPr>
          <t>Jana Holíková:</t>
        </r>
        <r>
          <rPr>
            <sz val="9"/>
            <rFont val="Tahoma"/>
          </rPr>
          <t xml:space="preserve">
23065/05 +231.000 dorov.2022
</t>
        </r>
      </text>
    </comment>
    <comment ref="D596" authorId="112" shapeId="0">
      <text>
        <r>
          <rPr>
            <b/>
            <sz val="9"/>
            <rFont val="Tahoma"/>
          </rPr>
          <t>Jana Holíková:</t>
        </r>
        <r>
          <rPr>
            <sz val="9"/>
            <rFont val="Tahoma"/>
          </rPr>
          <t xml:space="preserve">
23014/02 +864.200
</t>
        </r>
      </text>
    </comment>
    <comment ref="D621" authorId="113" shapeId="0">
      <text>
        <r>
          <rPr>
            <b/>
            <sz val="9"/>
            <rFont val="Tahoma"/>
          </rPr>
          <t>Jana Holíková:</t>
        </r>
        <r>
          <rPr>
            <sz val="9"/>
            <rFont val="Tahoma"/>
          </rPr>
          <t xml:space="preserve">
23095/06 +6.348
</t>
        </r>
      </text>
    </comment>
    <comment ref="D627" authorId="114" shapeId="0">
      <text>
        <r>
          <rPr>
            <b/>
            <sz val="9"/>
            <rFont val="Tahoma"/>
          </rPr>
          <t>Jana Holíková:</t>
        </r>
        <r>
          <rPr>
            <sz val="9"/>
            <rFont val="Tahoma"/>
          </rPr>
          <t xml:space="preserve">
23086/06 úz 914 
+ 4.752,88  120,1
+26.932,97 120,5
</t>
        </r>
      </text>
    </comment>
    <comment ref="D628" authorId="115" shapeId="0">
      <text>
        <r>
          <rPr>
            <b/>
            <sz val="9"/>
            <rFont val="Tahoma"/>
          </rPr>
          <t>Jana Holíková:</t>
        </r>
        <r>
          <rPr>
            <sz val="9"/>
            <rFont val="Tahoma"/>
          </rPr>
          <t xml:space="preserve">
23075/05 
+89.825 +296.450
</t>
        </r>
      </text>
    </comment>
    <comment ref="D629" authorId="116" shapeId="0">
      <text>
        <r>
          <rPr>
            <b/>
            <sz val="9"/>
            <rFont val="Tahoma"/>
          </rPr>
          <t>Jana Holíková:</t>
        </r>
        <r>
          <rPr>
            <sz val="9"/>
            <rFont val="Tahoma"/>
          </rPr>
          <t xml:space="preserve">
23022/02 +603.790
23075/05 +213.204
</t>
        </r>
      </text>
    </comment>
    <comment ref="D632" authorId="117" shapeId="0">
      <text>
        <r>
          <rPr>
            <b/>
            <sz val="9"/>
            <rFont val="Tahoma"/>
          </rPr>
          <t>Jana Holíková:</t>
        </r>
        <r>
          <rPr>
            <sz val="9"/>
            <rFont val="Tahoma"/>
          </rPr>
          <t xml:space="preserve">
23015/02 úz 33092
+1.005.316,48  143 1
+3.315.837,52  143 5
23086/06 úz 914 
+ 1.806,05  120,1
+10.234,30 120,5
23095/06 +5.595
</t>
        </r>
      </text>
    </comment>
    <comment ref="D633" authorId="118" shapeId="0">
      <text>
        <r>
          <rPr>
            <b/>
            <sz val="9"/>
            <rFont val="Tahoma"/>
          </rPr>
          <t>Jana Holíková:</t>
        </r>
        <r>
          <rPr>
            <sz val="9"/>
            <rFont val="Tahoma"/>
          </rPr>
          <t xml:space="preserve">
23073/05 +96.
800
</t>
        </r>
      </text>
    </comment>
    <comment ref="D634" authorId="119" shapeId="0">
      <text>
        <r>
          <rPr>
            <b/>
            <sz val="9"/>
            <rFont val="Tahoma"/>
          </rPr>
          <t>Jana Holíková:</t>
        </r>
        <r>
          <rPr>
            <sz val="9"/>
            <rFont val="Tahoma"/>
          </rPr>
          <t xml:space="preserve">
23073/05 -1.200.000
</t>
        </r>
      </text>
    </comment>
    <comment ref="D637" authorId="120" shapeId="0">
      <text>
        <r>
          <rPr>
            <b/>
            <sz val="9"/>
            <rFont val="Tahoma"/>
          </rPr>
          <t>Jana Holíková:</t>
        </r>
        <r>
          <rPr>
            <sz val="9"/>
            <rFont val="Tahoma"/>
          </rPr>
          <t xml:space="preserve">
23086/06 úz 914 
+ 5.713,08  120,1
+32.374,09 120,5
</t>
        </r>
      </text>
    </comment>
    <comment ref="D642" authorId="121" shapeId="0">
      <text>
        <r>
          <rPr>
            <b/>
            <sz val="9"/>
            <rFont val="Tahoma"/>
          </rPr>
          <t>Jana Holíková:</t>
        </r>
        <r>
          <rPr>
            <sz val="9"/>
            <rFont val="Tahoma"/>
          </rPr>
          <t xml:space="preserve">
23019/02 +5.208  poj
23058/04 úz 33092 JAK
+519.876,20 1431
+1.714.708,80 1435
</t>
        </r>
      </text>
    </comment>
    <comment ref="D644" authorId="122" shapeId="0">
      <text>
        <r>
          <rPr>
            <b/>
            <sz val="9"/>
            <rFont val="Tahoma"/>
          </rPr>
          <t>Jana Holíková:</t>
        </r>
        <r>
          <rPr>
            <sz val="9"/>
            <rFont val="Tahoma"/>
          </rPr>
          <t xml:space="preserve">
23070/05 +1.700.000
23074/05 
-1.100.000 -30.000 +48.400 +160.000
</t>
        </r>
      </text>
    </comment>
    <comment ref="D648" authorId="123" shapeId="0">
      <text>
        <r>
          <rPr>
            <b/>
            <sz val="9"/>
            <rFont val="Tahoma"/>
          </rPr>
          <t>Jana Holíková:</t>
        </r>
        <r>
          <rPr>
            <sz val="9"/>
            <rFont val="Tahoma"/>
          </rPr>
          <t xml:space="preserve">
23059/04 +210.200
23093/06 úz 33092
+ 551.883,82 1431
+1.820.279,28 1435
</t>
        </r>
      </text>
    </comment>
    <comment ref="D654" authorId="124" shapeId="0">
      <text>
        <r>
          <rPr>
            <b/>
            <sz val="9"/>
            <rFont val="Tahoma"/>
          </rPr>
          <t>Jana Holíková:</t>
        </r>
        <r>
          <rPr>
            <sz val="9"/>
            <rFont val="Tahoma"/>
          </rPr>
          <t xml:space="preserve">
23003/01 -45.455
</t>
        </r>
      </text>
    </comment>
    <comment ref="D658" authorId="125" shapeId="0">
      <text>
        <r>
          <rPr>
            <b/>
            <sz val="9"/>
            <rFont val="Tahoma"/>
          </rPr>
          <t>Jana Holíková:</t>
        </r>
        <r>
          <rPr>
            <sz val="9"/>
            <rFont val="Tahoma"/>
          </rPr>
          <t xml:space="preserve">
23032/02 +5.000
</t>
        </r>
      </text>
    </comment>
    <comment ref="D663" authorId="126" shapeId="0">
      <text>
        <r>
          <rPr>
            <b/>
            <sz val="9"/>
            <rFont val="Tahoma"/>
          </rPr>
          <t>Jana Holíková:</t>
        </r>
        <r>
          <rPr>
            <sz val="9"/>
            <rFont val="Tahoma"/>
          </rPr>
          <t xml:space="preserve">
23095/06 +19.570
23096/06 +100.000 úz 34002
</t>
        </r>
      </text>
    </comment>
    <comment ref="D671" authorId="127" shapeId="0">
      <text>
        <r>
          <rPr>
            <b/>
            <sz val="9"/>
            <rFont val="Tahoma"/>
          </rPr>
          <t>Jana Holíková:</t>
        </r>
        <r>
          <rPr>
            <sz val="9"/>
            <rFont val="Tahoma"/>
          </rPr>
          <t xml:space="preserve">
23001/01 +4.551.000
23019/02 +4.562 poj
23072/05 -2.989,27
</t>
        </r>
      </text>
    </comment>
    <comment ref="D680" authorId="128" shapeId="0">
      <text>
        <r>
          <rPr>
            <b/>
            <sz val="9"/>
            <rFont val="Tahoma"/>
          </rPr>
          <t>Jana Holíková:</t>
        </r>
        <r>
          <rPr>
            <sz val="9"/>
            <rFont val="Tahoma"/>
          </rPr>
          <t xml:space="preserve">
23033/02 -30.000 r
</t>
        </r>
      </text>
    </comment>
    <comment ref="D682" authorId="129" shapeId="0">
      <text>
        <r>
          <rPr>
            <b/>
            <sz val="9"/>
            <rFont val="Tahoma"/>
          </rPr>
          <t>Jana Holíková:</t>
        </r>
        <r>
          <rPr>
            <sz val="9"/>
            <rFont val="Tahoma"/>
          </rPr>
          <t xml:space="preserve">
23512/02 -200.000
</t>
        </r>
      </text>
    </comment>
    <comment ref="D685" authorId="130" shapeId="0">
      <text>
        <r>
          <rPr>
            <b/>
            <sz val="9"/>
            <rFont val="Tahoma"/>
          </rPr>
          <t>Jana Holíková:</t>
        </r>
        <r>
          <rPr>
            <sz val="9"/>
            <rFont val="Tahoma"/>
          </rPr>
          <t xml:space="preserve">
23034/02 -25.000 r
23066/05 -10.000 r
</t>
        </r>
      </text>
    </comment>
    <comment ref="D688" authorId="131" shapeId="0">
      <text>
        <r>
          <rPr>
            <b/>
            <sz val="9"/>
            <rFont val="Tahoma"/>
          </rPr>
          <t>Jana Holíková:</t>
        </r>
        <r>
          <rPr>
            <sz val="9"/>
            <rFont val="Tahoma"/>
          </rPr>
          <t xml:space="preserve">
23033/02 +30.000
23034/02 +25.000
23512/02 +200.000
23066/05 +10.000
23084/06 -90.000 r
+90.000       
23085/06 +147.136
</t>
        </r>
      </text>
    </comment>
    <comment ref="D695" authorId="132" shapeId="0">
      <text>
        <r>
          <rPr>
            <b/>
            <sz val="9"/>
            <rFont val="Tahoma"/>
          </rPr>
          <t>Jana Holíková:</t>
        </r>
        <r>
          <rPr>
            <sz val="9"/>
            <rFont val="Tahoma"/>
          </rPr>
          <t xml:space="preserve">
23068/05 
+70.000 +80.000 +50.000
</t>
        </r>
      </text>
    </comment>
    <comment ref="D703" authorId="133" shapeId="0">
      <text>
        <r>
          <rPr>
            <b/>
            <sz val="9"/>
            <rFont val="Tahoma"/>
          </rPr>
          <t>Jana Holíková:</t>
        </r>
        <r>
          <rPr>
            <sz val="9"/>
            <rFont val="Tahoma"/>
          </rPr>
          <t xml:space="preserve">
23068/05 -70.000
23095/06 +16.216
</t>
        </r>
      </text>
    </comment>
    <comment ref="D705" authorId="134" shapeId="0">
      <text>
        <r>
          <rPr>
            <b/>
            <sz val="9"/>
            <rFont val="Tahoma"/>
          </rPr>
          <t>Jana Holíková:</t>
        </r>
        <r>
          <rPr>
            <sz val="9"/>
            <rFont val="Tahoma"/>
          </rPr>
          <t xml:space="preserve">
23007/01 úz 13013
+8.051,90  1041
+68.441,11  1045
23511/02 úz 13013  3388
+9.438 1041
+4.719 1041 bez úz
+80.223 1045
23516/02 úz 13013  3388
+27.733,20 1041
+13.866,60 1041 bez úz
+235.732,20 1045
23566/06 úz 13013 
- 8.051,90 1041
+68.441,11 1045
</t>
        </r>
      </text>
    </comment>
    <comment ref="D706" authorId="135" shapeId="0">
      <text>
        <r>
          <rPr>
            <b/>
            <sz val="9"/>
            <rFont val="Tahoma"/>
          </rPr>
          <t>Jana Holíková:</t>
        </r>
        <r>
          <rPr>
            <sz val="9"/>
            <rFont val="Tahoma"/>
          </rPr>
          <t xml:space="preserve">
23511/02 -94.380 (5168)
23516/02 -277.332 (5168)
23566/06 +76.493,01
</t>
        </r>
      </text>
    </comment>
    <comment ref="D711" authorId="136" shapeId="0">
      <text>
        <r>
          <rPr>
            <b/>
            <sz val="9"/>
            <rFont val="Tahoma"/>
          </rPr>
          <t>Jana Holíková:</t>
        </r>
        <r>
          <rPr>
            <sz val="9"/>
            <rFont val="Tahoma"/>
          </rPr>
          <t xml:space="preserve">
23013/02 
+-1.927.500  5811
+    227.100  5169
23028/02
+-2.077.400  5811
+    232.500  5169
23042/03 
+-1.894.600  5811
+   210.000  5169
23064/04 
+-1.831.700 5811
+   231.000 5169
23076/05 
+- 1.703.700 5811
+    234.000
23092/06 
+-1.588.650 5811
+   241.800
</t>
        </r>
      </text>
    </comment>
    <comment ref="D715" authorId="137" shapeId="0">
      <text>
        <r>
          <rPr>
            <b/>
            <sz val="9"/>
            <rFont val="Tahoma"/>
          </rPr>
          <t>Jana Holíková:</t>
        </r>
        <r>
          <rPr>
            <sz val="9"/>
            <rFont val="Tahoma"/>
          </rPr>
          <t xml:space="preserve">
23002/01  +508.200
</t>
        </r>
      </text>
    </comment>
    <comment ref="D716" authorId="138" shapeId="0">
      <text>
        <r>
          <rPr>
            <b/>
            <sz val="9"/>
            <rFont val="Tahoma"/>
          </rPr>
          <t>Jana Holíková:</t>
        </r>
        <r>
          <rPr>
            <sz val="9"/>
            <rFont val="Tahoma"/>
          </rPr>
          <t xml:space="preserve">
23035/03 +400.000 +36.000
23094/06 +67.000
</t>
        </r>
      </text>
    </comment>
    <comment ref="D718" authorId="139" shapeId="0">
      <text>
        <r>
          <rPr>
            <b/>
            <sz val="9"/>
            <rFont val="Tahoma"/>
          </rPr>
          <t>Jana Holíková:</t>
        </r>
        <r>
          <rPr>
            <sz val="9"/>
            <rFont val="Tahoma"/>
          </rPr>
          <t xml:space="preserve">
23062/04  úz13015
+-791.900 5011
+-196.427 5031
+-71.271 5032
23534/04 -15.000
23068/05 -103.000 -27.000
23082/06 +94.000
23094/06 -67.000
</t>
        </r>
      </text>
    </comment>
    <comment ref="D719" authorId="140" shapeId="0">
      <text>
        <r>
          <rPr>
            <b/>
            <sz val="9"/>
            <rFont val="Tahoma"/>
          </rPr>
          <t>Jana Holíková:</t>
        </r>
        <r>
          <rPr>
            <sz val="9"/>
            <rFont val="Tahoma"/>
          </rPr>
          <t xml:space="preserve">
23534/04 +15.000
23087/06 +804.000
</t>
        </r>
      </text>
    </comment>
    <comment ref="D720" authorId="141" shapeId="0">
      <text>
        <r>
          <rPr>
            <b/>
            <sz val="9"/>
            <rFont val="Tahoma"/>
          </rPr>
          <t>Jana Holíková:</t>
        </r>
        <r>
          <rPr>
            <sz val="9"/>
            <rFont val="Tahoma"/>
          </rPr>
          <t xml:space="preserve">
23082/06 -94.000
</t>
        </r>
      </text>
    </comment>
    <comment ref="D721" authorId="142" shapeId="0">
      <text>
        <r>
          <rPr>
            <b/>
            <sz val="9"/>
            <rFont val="Tahoma"/>
          </rPr>
          <t>Jana Holíková:</t>
        </r>
        <r>
          <rPr>
            <sz val="9"/>
            <rFont val="Tahoma"/>
          </rPr>
          <t xml:space="preserve">
23082/06 -94.000
</t>
        </r>
      </text>
    </comment>
    <comment ref="D745" authorId="143" shapeId="0">
      <text>
        <r>
          <rPr>
            <b/>
            <sz val="9"/>
            <rFont val="Tahoma"/>
          </rPr>
          <t>Jana Holíková:</t>
        </r>
        <r>
          <rPr>
            <sz val="9"/>
            <rFont val="Tahoma"/>
          </rPr>
          <t xml:space="preserve">
23053/04 +50.000
</t>
        </r>
      </text>
    </comment>
    <comment ref="D749" authorId="144" shapeId="0">
      <text>
        <r>
          <rPr>
            <b/>
            <sz val="9"/>
            <rFont val="Tahoma"/>
          </rPr>
          <t>Jana Holíková:</t>
        </r>
        <r>
          <rPr>
            <sz val="9"/>
            <rFont val="Tahoma"/>
          </rPr>
          <t xml:space="preserve">
23053/04 -50.000
</t>
        </r>
      </text>
    </comment>
    <comment ref="D752" authorId="145" shapeId="0">
      <text>
        <r>
          <rPr>
            <b/>
            <sz val="9"/>
            <rFont val="Tahoma"/>
          </rPr>
          <t>Jana Holíková:</t>
        </r>
        <r>
          <rPr>
            <sz val="9"/>
            <rFont val="Tahoma"/>
          </rPr>
          <t xml:space="preserve">
23081/06 +157.000 r
</t>
        </r>
      </text>
    </comment>
    <comment ref="D756" authorId="146" shapeId="0">
      <text>
        <r>
          <rPr>
            <b/>
            <sz val="9"/>
            <rFont val="Tahoma"/>
          </rPr>
          <t>Jana Holíková:</t>
        </r>
        <r>
          <rPr>
            <sz val="9"/>
            <rFont val="Tahoma"/>
          </rPr>
          <t xml:space="preserve">
23010/02 -5,000
23036/03 -15.000 r
</t>
        </r>
      </text>
    </comment>
    <comment ref="D759" authorId="147" shapeId="0">
      <text>
        <r>
          <rPr>
            <b/>
            <sz val="9"/>
            <rFont val="Tahoma"/>
          </rPr>
          <t>Jana Holíková:</t>
        </r>
        <r>
          <rPr>
            <sz val="9"/>
            <rFont val="Tahoma"/>
          </rPr>
          <t xml:space="preserve">
23533/03 -150.000 
+140.000 + 10.000
na 231.0800
</t>
        </r>
      </text>
    </comment>
    <comment ref="D761" authorId="148" shapeId="0">
      <text>
        <r>
          <rPr>
            <b/>
            <sz val="9"/>
            <rFont val="Tahoma"/>
          </rPr>
          <t>Jana Holíková:</t>
        </r>
        <r>
          <rPr>
            <sz val="9"/>
            <rFont val="Tahoma"/>
          </rPr>
          <t xml:space="preserve">
232052/04 +-6.000
</t>
        </r>
      </text>
    </comment>
    <comment ref="D762" authorId="149" shapeId="0">
      <text>
        <r>
          <rPr>
            <b/>
            <sz val="9"/>
            <rFont val="Tahoma"/>
          </rPr>
          <t>Jana Holíková:</t>
        </r>
        <r>
          <rPr>
            <sz val="9"/>
            <rFont val="Tahoma"/>
          </rPr>
          <t xml:space="preserve">
23010/02 +5,000
23036/03 +15.000
23048/03 -+5.000
23081/06 +157.000
</t>
        </r>
      </text>
    </comment>
    <comment ref="D767" authorId="150" shapeId="0">
      <text>
        <r>
          <rPr>
            <b/>
            <sz val="9"/>
            <rFont val="Tahoma"/>
          </rPr>
          <t>Jana Holíková:</t>
        </r>
        <r>
          <rPr>
            <sz val="9"/>
            <rFont val="Tahoma"/>
          </rPr>
          <t xml:space="preserve">
23054/04 +3.134.000 úz 13305
23095/06 +51.728
</t>
        </r>
      </text>
    </comment>
    <comment ref="D768" authorId="151" shapeId="0">
      <text>
        <r>
          <rPr>
            <b/>
            <sz val="9"/>
            <rFont val="Tahoma"/>
          </rPr>
          <t>Jana Holíková:</t>
        </r>
        <r>
          <rPr>
            <sz val="9"/>
            <rFont val="Tahoma"/>
          </rPr>
          <t xml:space="preserve">
23054/04 +740.000 úz 13305
</t>
        </r>
      </text>
    </comment>
    <comment ref="D769" authorId="152" shapeId="0">
      <text>
        <r>
          <rPr>
            <b/>
            <sz val="9"/>
            <rFont val="Tahoma"/>
          </rPr>
          <t>Jana Holíková:</t>
        </r>
        <r>
          <rPr>
            <sz val="9"/>
            <rFont val="Tahoma"/>
          </rPr>
          <t xml:space="preserve">
23054/04 +2.086.000 úz 13305
</t>
        </r>
      </text>
    </comment>
    <comment ref="D781" authorId="153" shapeId="0">
      <text>
        <r>
          <rPr>
            <b/>
            <sz val="9"/>
            <rFont val="Tahoma"/>
          </rPr>
          <t>Jana Holíková:</t>
        </r>
        <r>
          <rPr>
            <sz val="9"/>
            <rFont val="Tahoma"/>
          </rPr>
          <t xml:space="preserve">
23029/02 +400.000
23050/04 -400.000
</t>
        </r>
      </text>
    </comment>
    <comment ref="D783" authorId="154" shapeId="0">
      <text>
        <r>
          <rPr>
            <b/>
            <sz val="9"/>
            <rFont val="Tahoma"/>
          </rPr>
          <t>Jana Holíková:</t>
        </r>
        <r>
          <rPr>
            <sz val="9"/>
            <rFont val="Tahoma"/>
          </rPr>
          <t xml:space="preserve">
23009/02 +3.663.880
</t>
        </r>
      </text>
    </comment>
    <comment ref="D784" authorId="155" shapeId="0">
      <text>
        <r>
          <rPr>
            <b/>
            <sz val="9"/>
            <rFont val="Tahoma"/>
          </rPr>
          <t>Jana Holíková:</t>
        </r>
        <r>
          <rPr>
            <sz val="9"/>
            <rFont val="Tahoma"/>
          </rPr>
          <t xml:space="preserve">
23030/02 +1.650.000
</t>
        </r>
      </text>
    </comment>
    <comment ref="D793" authorId="156" shapeId="0">
      <text>
        <r>
          <rPr>
            <b/>
            <sz val="9"/>
            <rFont val="Tahoma"/>
          </rPr>
          <t>Jana Holíková:</t>
        </r>
        <r>
          <rPr>
            <sz val="9"/>
            <rFont val="Tahoma"/>
          </rPr>
          <t xml:space="preserve">
23057/04 
+14.200 úz 29015
+35.205 úz 29031
</t>
        </r>
      </text>
    </comment>
    <comment ref="D805" authorId="157" shapeId="0">
      <text>
        <r>
          <rPr>
            <b/>
            <sz val="9"/>
            <rFont val="Tahoma"/>
          </rPr>
          <t>Jana Holíková:</t>
        </r>
        <r>
          <rPr>
            <sz val="9"/>
            <rFont val="Tahoma"/>
          </rPr>
          <t xml:space="preserve">
23532/03 -431.000
23563/05 -400.000
</t>
        </r>
      </text>
    </comment>
    <comment ref="D806" authorId="158" shapeId="0">
      <text>
        <r>
          <rPr>
            <b/>
            <sz val="9"/>
            <rFont val="Tahoma"/>
          </rPr>
          <t>Jana Holíková:</t>
        </r>
        <r>
          <rPr>
            <sz val="9"/>
            <rFont val="Tahoma"/>
          </rPr>
          <t xml:space="preserve">
23513/02 +45.254
23546/04 -152.880
</t>
        </r>
      </text>
    </comment>
    <comment ref="D808" authorId="159" shapeId="0">
      <text>
        <r>
          <rPr>
            <b/>
            <sz val="9"/>
            <rFont val="Tahoma"/>
          </rPr>
          <t>Jana Holíková:</t>
        </r>
        <r>
          <rPr>
            <sz val="9"/>
            <rFont val="Tahoma"/>
          </rPr>
          <t xml:space="preserve">
23563/05 -150.000
</t>
        </r>
      </text>
    </comment>
    <comment ref="D809" authorId="160" shapeId="0">
      <text>
        <r>
          <rPr>
            <b/>
            <sz val="9"/>
            <rFont val="Tahoma"/>
          </rPr>
          <t>Jana Holíková:</t>
        </r>
        <r>
          <rPr>
            <sz val="9"/>
            <rFont val="Tahoma"/>
          </rPr>
          <t xml:space="preserve">
23563/05 -100.000
</t>
        </r>
      </text>
    </comment>
    <comment ref="D812" authorId="161" shapeId="0">
      <text>
        <r>
          <rPr>
            <b/>
            <sz val="9"/>
            <rFont val="Tahoma"/>
          </rPr>
          <t>Jana Holíková:</t>
        </r>
        <r>
          <rPr>
            <sz val="9"/>
            <rFont val="Tahoma"/>
          </rPr>
          <t xml:space="preserve">
23563/05 -250.000
</t>
        </r>
      </text>
    </comment>
    <comment ref="D813" authorId="162" shapeId="0">
      <text>
        <r>
          <rPr>
            <b/>
            <sz val="9"/>
            <rFont val="Tahoma"/>
          </rPr>
          <t>Jana Holíková:</t>
        </r>
        <r>
          <rPr>
            <sz val="9"/>
            <rFont val="Tahoma"/>
          </rPr>
          <t xml:space="preserve">
23563/05 -100.000
</t>
        </r>
      </text>
    </comment>
    <comment ref="D815" authorId="163" shapeId="0">
      <text>
        <r>
          <rPr>
            <b/>
            <sz val="9"/>
            <rFont val="Tahoma"/>
          </rPr>
          <t>Jana Holíková:</t>
        </r>
        <r>
          <rPr>
            <sz val="9"/>
            <rFont val="Tahoma"/>
          </rPr>
          <t xml:space="preserve">
23563/05 -800.000
</t>
        </r>
      </text>
    </comment>
    <comment ref="D816" authorId="164" shapeId="0">
      <text>
        <r>
          <rPr>
            <b/>
            <sz val="9"/>
            <rFont val="Tahoma"/>
          </rPr>
          <t>Jana Holíková:</t>
        </r>
        <r>
          <rPr>
            <sz val="9"/>
            <rFont val="Tahoma"/>
          </rPr>
          <t xml:space="preserve">
23563/05 -300.000
</t>
        </r>
      </text>
    </comment>
    <comment ref="D818" authorId="165" shapeId="0">
      <text>
        <r>
          <rPr>
            <b/>
            <sz val="9"/>
            <rFont val="Tahoma"/>
          </rPr>
          <t>Jana Holíková:</t>
        </r>
        <r>
          <rPr>
            <sz val="9"/>
            <rFont val="Tahoma"/>
          </rPr>
          <t xml:space="preserve">
23006/01 +1.812.000
23022/02 -617.845,43
23513/02 -45.254
23558/05 -20.971
23561/05 -13.463,31
23563/05 +2.100.000
23574/06 -63.727
</t>
        </r>
      </text>
    </comment>
    <comment ref="D821" authorId="166" shapeId="0">
      <text>
        <r>
          <rPr>
            <b/>
            <sz val="9"/>
            <rFont val="Tahoma"/>
          </rPr>
          <t>Jana Holíková:</t>
        </r>
        <r>
          <rPr>
            <sz val="9"/>
            <rFont val="Tahoma"/>
          </rPr>
          <t xml:space="preserve">
23546/04 
+152.880 +4.000
23558/05 +20.971
23561/05 +13.463,31
23574/06 +63.727
</t>
        </r>
      </text>
    </comment>
    <comment ref="D822" authorId="167" shapeId="0">
      <text>
        <r>
          <rPr>
            <b/>
            <sz val="9"/>
            <rFont val="Tahoma"/>
          </rPr>
          <t>Jana Holíková:</t>
        </r>
        <r>
          <rPr>
            <sz val="9"/>
            <rFont val="Tahoma"/>
          </rPr>
          <t xml:space="preserve">
23546/04 -4.000
</t>
        </r>
      </text>
    </comment>
    <comment ref="D825" authorId="168" shapeId="0">
      <text>
        <r>
          <rPr>
            <b/>
            <sz val="9"/>
            <rFont val="Tahoma"/>
          </rPr>
          <t>Jana Holíková:</t>
        </r>
        <r>
          <rPr>
            <sz val="9"/>
            <rFont val="Tahoma"/>
          </rPr>
          <t xml:space="preserve">
23532/03 +431.000
</t>
        </r>
      </text>
    </comment>
    <comment ref="D835" authorId="169" shapeId="0">
      <text>
        <r>
          <rPr>
            <b/>
            <sz val="9"/>
            <rFont val="Tahoma"/>
          </rPr>
          <t>Jana Holíková:</t>
        </r>
        <r>
          <rPr>
            <sz val="9"/>
            <rFont val="Tahoma"/>
          </rPr>
          <t xml:space="preserve">
23024/02 -1.500.000
</t>
        </r>
      </text>
    </comment>
    <comment ref="D846" authorId="170" shapeId="0">
      <text>
        <r>
          <rPr>
            <b/>
            <sz val="9"/>
            <rFont val="Tahoma"/>
          </rPr>
          <t>Jana Holíková:</t>
        </r>
        <r>
          <rPr>
            <sz val="9"/>
            <rFont val="Tahoma"/>
          </rPr>
          <t xml:space="preserve">
23024/02  - 500.000 jung b2 (část z 1.200.00)
</t>
        </r>
      </text>
    </comment>
    <comment ref="D850" authorId="171" shapeId="0">
      <text>
        <r>
          <rPr>
            <b/>
            <sz val="9"/>
            <rFont val="Tahoma"/>
          </rPr>
          <t>Jana Holíková:</t>
        </r>
        <r>
          <rPr>
            <sz val="9"/>
            <rFont val="Tahoma"/>
          </rPr>
          <t xml:space="preserve">
23024/02  
-1.500.000 jung b1
- 500.000 jung b2 (část z 1.200.00)
</t>
        </r>
      </text>
    </comment>
    <comment ref="D863" authorId="172" shapeId="0">
      <text>
        <r>
          <rPr>
            <b/>
            <sz val="9"/>
            <rFont val="Tahoma"/>
          </rPr>
          <t>Jana Holíková:</t>
        </r>
        <r>
          <rPr>
            <sz val="9"/>
            <rFont val="Tahoma"/>
          </rPr>
          <t xml:space="preserve">
23095/06 +13.073
</t>
        </r>
      </text>
    </comment>
    <comment ref="D892" authorId="173" shapeId="0">
      <text>
        <r>
          <rPr>
            <b/>
            <sz val="9"/>
            <rFont val="Tahoma"/>
          </rPr>
          <t>Jana Holíková:</t>
        </r>
        <r>
          <rPr>
            <sz val="9"/>
            <rFont val="Tahoma"/>
          </rPr>
          <t xml:space="preserve">
23020/02 +330.000
</t>
        </r>
      </text>
    </comment>
    <comment ref="D898" authorId="174" shapeId="0">
      <text>
        <r>
          <rPr>
            <b/>
            <sz val="9"/>
            <rFont val="Tahoma"/>
          </rPr>
          <t>Jana Holíková:</t>
        </r>
        <r>
          <rPr>
            <sz val="9"/>
            <rFont val="Tahoma"/>
          </rPr>
          <t xml:space="preserve">
23024/02 -4.000.000
</t>
        </r>
      </text>
    </comment>
    <comment ref="D924" authorId="175" shapeId="0">
      <text>
        <r>
          <rPr>
            <b/>
            <sz val="9"/>
            <rFont val="Tahoma"/>
          </rPr>
          <t>Jana Holíková:</t>
        </r>
        <r>
          <rPr>
            <sz val="9"/>
            <rFont val="Tahoma"/>
          </rPr>
          <t xml:space="preserve">
23020/02 -330.000
</t>
        </r>
      </text>
    </comment>
    <comment ref="D957" authorId="176" shapeId="0">
      <text>
        <r>
          <rPr>
            <b/>
            <sz val="9"/>
            <rFont val="Tahoma"/>
          </rPr>
          <t>Jana Holíková:</t>
        </r>
        <r>
          <rPr>
            <sz val="9"/>
            <rFont val="Tahoma"/>
          </rPr>
          <t xml:space="preserve">
23545/04 +-1.500.000 org
</t>
        </r>
      </text>
    </comment>
    <comment ref="D984" authorId="177" shapeId="0">
      <text>
        <r>
          <rPr>
            <b/>
            <sz val="9"/>
            <rFont val="Tahoma"/>
          </rPr>
          <t>Jana Holíková:</t>
        </r>
        <r>
          <rPr>
            <sz val="9"/>
            <rFont val="Tahoma"/>
          </rPr>
          <t xml:space="preserve">
23089/06 -242.500
</t>
        </r>
      </text>
    </comment>
    <comment ref="D986" authorId="178" shapeId="0">
      <text>
        <r>
          <rPr>
            <b/>
            <sz val="9"/>
            <rFont val="Tahoma"/>
          </rPr>
          <t>Jana Holíková:</t>
        </r>
        <r>
          <rPr>
            <sz val="9"/>
            <rFont val="Tahoma"/>
          </rPr>
          <t xml:space="preserve">
23017/02
+15.614,79   0309
+57.246,53   0321
+130.295,27 0322
+210.485,42 0323
+444.697,21 0325
</t>
        </r>
      </text>
    </comment>
    <comment ref="D987" authorId="179" shapeId="0">
      <text>
        <r>
          <rPr>
            <b/>
            <sz val="9"/>
            <rFont val="Tahoma"/>
          </rPr>
          <t>Jana Holíková:</t>
        </r>
        <r>
          <rPr>
            <sz val="9"/>
            <rFont val="Tahoma"/>
          </rPr>
          <t xml:space="preserve">
23041/03 -285.281
</t>
        </r>
      </text>
    </comment>
    <comment ref="D988" authorId="180" shapeId="0">
      <text>
        <r>
          <rPr>
            <b/>
            <sz val="9"/>
            <rFont val="Tahoma"/>
          </rPr>
          <t>Jana Holíková:</t>
        </r>
        <r>
          <rPr>
            <sz val="9"/>
            <rFont val="Tahoma"/>
          </rPr>
          <t xml:space="preserve">
23041/03 -285.281
</t>
        </r>
      </text>
    </comment>
    <comment ref="D993" authorId="181" shapeId="0">
      <text>
        <r>
          <rPr>
            <b/>
            <sz val="9"/>
            <rFont val="Tahoma"/>
          </rPr>
          <t>Jana Holíková:</t>
        </r>
        <r>
          <rPr>
            <sz val="9"/>
            <rFont val="Tahoma"/>
          </rPr>
          <t xml:space="preserve">
23083/06 +50.000
</t>
        </r>
      </text>
    </comment>
    <comment ref="D995" authorId="182" shapeId="0">
      <text>
        <r>
          <rPr>
            <b/>
            <sz val="9"/>
            <rFont val="Tahoma"/>
          </rPr>
          <t>Jana Holíková:</t>
        </r>
        <r>
          <rPr>
            <sz val="9"/>
            <rFont val="Tahoma"/>
          </rPr>
          <t xml:space="preserve">
23060/04 -10.050.300
</t>
        </r>
      </text>
    </comment>
    <comment ref="D996" authorId="183" shapeId="0">
      <text>
        <r>
          <rPr>
            <b/>
            <sz val="9"/>
            <rFont val="Tahoma"/>
          </rPr>
          <t>Jana Holíková:</t>
        </r>
        <r>
          <rPr>
            <sz val="9"/>
            <rFont val="Tahoma"/>
          </rPr>
          <t xml:space="preserve">
23083/06 -3.000.000
</t>
        </r>
      </text>
    </comment>
    <comment ref="D998" authorId="184" shapeId="0">
      <text>
        <r>
          <rPr>
            <b/>
            <sz val="9"/>
            <rFont val="Tahoma"/>
          </rPr>
          <t>Jana Holíková:</t>
        </r>
        <r>
          <rPr>
            <sz val="9"/>
            <rFont val="Tahoma"/>
          </rPr>
          <t xml:space="preserve">
23016/02 +8.015
</t>
        </r>
      </text>
    </comment>
    <comment ref="D999" authorId="185" shapeId="0">
      <text>
        <r>
          <rPr>
            <b/>
            <sz val="9"/>
            <rFont val="Tahoma"/>
          </rPr>
          <t>Jana Holíková:</t>
        </r>
        <r>
          <rPr>
            <sz val="9"/>
            <rFont val="Tahoma"/>
          </rPr>
          <t xml:space="preserve">
23016/02 +33.210
</t>
        </r>
      </text>
    </comment>
    <comment ref="D1000" authorId="186" shapeId="0">
      <text>
        <r>
          <rPr>
            <b/>
            <sz val="9"/>
            <rFont val="Tahoma"/>
          </rPr>
          <t>Jana Holíková:</t>
        </r>
        <r>
          <rPr>
            <sz val="9"/>
            <rFont val="Tahoma"/>
          </rPr>
          <t xml:space="preserve">
23018/02 +221.800
</t>
        </r>
      </text>
    </comment>
    <comment ref="D1001" authorId="187" shapeId="0">
      <text>
        <r>
          <rPr>
            <b/>
            <sz val="9"/>
            <rFont val="Tahoma"/>
          </rPr>
          <t>Jana Holíková:</t>
        </r>
        <r>
          <rPr>
            <sz val="9"/>
            <rFont val="Tahoma"/>
          </rPr>
          <t xml:space="preserve">
23090/06 +1.449.005,28
</t>
        </r>
      </text>
    </comment>
    <comment ref="D1002" authorId="188" shapeId="0">
      <text>
        <r>
          <rPr>
            <b/>
            <sz val="9"/>
            <rFont val="Tahoma"/>
          </rPr>
          <t>Jana Holíková:</t>
        </r>
        <r>
          <rPr>
            <sz val="9"/>
            <rFont val="Tahoma"/>
          </rPr>
          <t xml:space="preserve">
23050/04 +400.000
</t>
        </r>
      </text>
    </comment>
    <comment ref="D1004" authorId="189" shapeId="0">
      <text>
        <r>
          <rPr>
            <b/>
            <sz val="9"/>
            <rFont val="Tahoma"/>
          </rPr>
          <t>Jana Holíková:</t>
        </r>
        <r>
          <rPr>
            <sz val="9"/>
            <rFont val="Tahoma"/>
          </rPr>
          <t xml:space="preserve">
23002/01 -508.200
23003/01 +45.455
23004/01 -2.500.000
23005/01 +2.499.800
23006/01 -1.812.000
23007/01 -76.493,01
23008/01 -33.698
23009/02 -3.663.880
23017/02 -120.860,71
23018/02 -221.800
23019/02 +50.161  poj
23021/02 +14.000.000
23022/02 +14.055,43
23026/02 -1.700.000
23029/02 -300.000
23030/02 -1.938.178,27
23035/03 -436.000
23037/03 -175.000
23038/03 +5.706.845,54
23041/03 +285.281
23043/03 -7.381.538
23044/03 +384
23046/03 +80.676,71
23047/03 +248.308,32
23049/03 -1.750.000
23061/04 +43.797
23062/04 -84.940
23063/04 +3.705,41
23065/05 -231.000
23069/05 -50.000
23071/05 +270
23072/05 +2.989,27
23073/05 +1.200.000 -96.800
23074/05 +921.600
23075/05 
-89.825 -296.450 -213.204
23077/05 -1.000.000
23083/06
+20.000 +76.497 +20200 +36.600 +156.589,68 +5.360 +147.136 +87.410 +265 673,13 +2.870.000
23085/06 -147.136
23089/06 -176
23090/06 -1.449.005,28
</t>
        </r>
      </text>
    </comment>
    <comment ref="D1005" authorId="190" shapeId="0">
      <text>
        <r>
          <rPr>
            <b/>
            <sz val="9"/>
            <rFont val="Tahoma"/>
          </rPr>
          <t>Jana Holíková:</t>
        </r>
        <r>
          <rPr>
            <sz val="9"/>
            <rFont val="Tahoma"/>
          </rPr>
          <t xml:space="preserve">
23069/05 +40.000 +10.000
23083/06 +80.000
</t>
        </r>
      </text>
    </comment>
  </commentList>
</comments>
</file>

<file path=xl/comments4.xml><?xml version="1.0" encoding="utf-8"?>
<comments xmlns="http://schemas.openxmlformats.org/spreadsheetml/2006/main">
  <authors>
    <author>tc={000C000D-0080-43F6-AB24-005D003600C6}</author>
    <author>tc={0070007D-004C-4F78-89CF-00DB004A0012}</author>
    <author>tc={009E001B-00B6-4EAA-A5BF-007000C20068}</author>
    <author>tc={00420033-008F-4CB6-A162-00DE00ED00D2}</author>
    <author>tc={009D00DA-00F5-4E92-A4F5-00DF00E9006A}</author>
    <author>tc={00900017-0039-41C4-9F1E-009000920028}</author>
    <author>tc={002000FB-0018-40D8-9097-0048009B0045}</author>
    <author>tc={00AE0031-0005-4A57-A48C-0055001000E5}</author>
    <author>tc={00BA00D8-0040-4460-8BBA-00850006009C}</author>
    <author>tc={008B0013-0033-4AB9-9D3E-00BD00740093}</author>
    <author>tc={001700EA-0017-4384-9DB0-00C8003700E3}</author>
    <author>tc={00680010-003A-4E4B-B3FB-006900FC00EE}</author>
    <author>tc={00CC003B-0076-48E7-B50C-005300E50087}</author>
    <author>tc={007300D7-00CB-4871-ABB7-009A0054000D}</author>
    <author>tc={008A008B-00EF-497B-A33B-0087006A00FC}</author>
    <author>tc={002B0072-008A-41CB-A472-001E00A600A4}</author>
    <author>tc={005F00FB-00F3-408B-9531-002600E90098}</author>
    <author>tc={00010091-00C0-4F01-9DA0-00AA006D00F1}</author>
    <author>tc={00A2005F-007B-4653-9A66-00E90093005C}</author>
    <author>tc={00F5005E-002D-4853-837A-003F00990048}</author>
    <author>tc={009600AF-0082-4AA8-A84D-005F006A009D}</author>
    <author>tc={003A0083-00EF-469D-B26B-002F00D10050}</author>
    <author>tc={00EC0022-0015-48AF-8D60-008A00EC0095}</author>
    <author>tc={00740050-0023-47CF-9925-0036001100BB}</author>
    <author>tc={00A8000F-003A-4CFC-9DDB-0073005E0081}</author>
    <author>tc={00F7000E-0030-4B20-9F83-00DA004A0093}</author>
    <author>tc={00CF007B-0021-4B18-8E42-004600510093}</author>
    <author>tc={00350051-006E-4540-AB12-009B00950054}</author>
    <author>tc={00780071-002E-48F3-9F00-003C005500AF}</author>
    <author>tc={00150045-00E8-469D-A9E3-0044001C00F8}</author>
    <author>tc={0038007F-00D4-4C72-B3F2-00B4004400F4}</author>
    <author>tc={000B000E-00BD-4F5C-8E44-00B000DC000B}</author>
    <author>tc={00AF00A4-00A6-46A4-9BE2-002700CF00FA}</author>
    <author>tc={002500E9-00BE-4C12-A036-00B000550082}</author>
    <author>tc={007900F2-00A8-4A10-8CEF-002A00C40009}</author>
    <author>tc={001300B2-009A-4918-A45E-007F0062006A}</author>
    <author>tc={000100BD-0024-407F-8669-007F00D9006A}</author>
    <author>tc={003500B0-00C8-4F2C-96DC-00DF006D0079}</author>
    <author>tc={00ED0016-00A8-4983-8A32-00B600DB008C}</author>
    <author>tc={00990036-00B3-4B2F-B070-00010095000B}</author>
    <author>tc={0053000E-0064-45DA-BF60-00A700B6008D}</author>
    <author>tc={001B0053-00F7-418E-98CC-00C000DB008A}</author>
    <author>tc={003100DA-0036-445F-ACFB-002800FB00AD}</author>
    <author>tc={00B1001C-0062-4047-AA1E-002F00B80023}</author>
    <author>tc={007B007B-0078-45F1-A7A5-009E00FB004C}</author>
    <author>tc={00DF00FD-0089-4432-8CEA-0035003B0053}</author>
    <author>tc={007F0015-0040-425B-9271-006600250084}</author>
    <author>tc={00F300F2-0074-4BA7-998B-0058004400F9}</author>
    <author>tc={005C00DC-004C-4609-9573-00D100900070}</author>
    <author>tc={001F0099-003C-459B-92B1-003E00120087}</author>
    <author>tc={0039003C-0017-4740-BD4E-000200000061}</author>
    <author>tc={007900F6-006C-4709-BDCB-007A0094005C}</author>
    <author>tc={009A0062-00B6-4D13-8784-00DA00C700FC}</author>
    <author>tc={003E0082-00EE-4DDC-BB1E-005400A000C8}</author>
    <author>tc={00F80068-0037-4B9C-BACD-00FB008500EE}</author>
    <author>tc={004A004D-00F1-444E-A983-00FB00E200CB}</author>
    <author>tc={00A60066-00B2-46DE-9B10-0050002700B8}</author>
    <author>tc={0096006D-008C-46A8-B82F-000A00BA0052}</author>
    <author>tc={006A00A6-002D-449F-895B-00C500680011}</author>
    <author>tc={004C00A7-008C-4793-AF00-003F00A2000F}</author>
    <author>tc={00FC0038-007D-46A9-B431-001700F700B4}</author>
    <author>tc={00E00077-0098-49CF-8824-002B00420038}</author>
    <author>tc={00780009-0035-4069-AD02-008E003C0000}</author>
    <author>tc={008900B6-007C-41D5-B68C-00D5004800D7}</author>
    <author>tc={00830019-0053-454B-BA8C-001B00CE0074}</author>
    <author>tc={00DC0045-00DB-41DC-A577-006400440096}</author>
    <author>tc={00E000F8-0085-4109-B4BF-007B00D40017}</author>
    <author>tc={00BD002B-0001-4449-9F43-004A00CD00CD}</author>
    <author>tc={0030009E-00F4-429A-9137-00DB004600CF}</author>
    <author>tc={00F400F2-00DA-45DD-872B-009500020039}</author>
    <author>tc={00C00097-006C-43F2-BF01-0074006D00AE}</author>
    <author>tc={00B20040-008E-45E3-AE25-006200E20039}</author>
    <author>tc={0048009E-006A-4F0F-AA9E-00CC001B00D4}</author>
    <author>tc={00BC003D-0050-470E-B3EB-005E0033006C}</author>
    <author>tc={00560070-000B-4E1D-AB25-007400B100BD}</author>
    <author>tc={00350082-0019-4B60-A997-00D900D200ED}</author>
    <author>tc={0026008C-0042-49B9-AF45-00A3004F0034}</author>
    <author>tc={00F70040-00AD-473A-8DD2-006F00EA0075}</author>
    <author>tc={00AD00D2-0017-49BF-88F0-00A700B4005E}</author>
    <author>tc={00F8007F-0000-4CC4-A327-007D00AB00EA}</author>
    <author>tc={00DA002E-00C8-4C65-95BD-003C0023004F}</author>
    <author>tc={00A900E3-009E-4B4B-BF55-005E009E00B2}</author>
    <author>tc={008C00BE-00F8-49A2-9849-0025008B0052}</author>
    <author>tc={008B0060-0056-423C-86A0-00D7003C00A3}</author>
    <author>tc={001600B9-00C2-4E64-A6C0-0093009C0079}</author>
    <author>tc={00070054-00E6-4BB5-804D-000200170060}</author>
    <author>tc={001500A0-00D7-4C72-BDBA-0018007A0071}</author>
    <author>tc={004700DA-00DE-40CD-B978-007D00770013}</author>
    <author>tc={008F00F5-00DE-492F-AE7E-0025006D007A}</author>
    <author>tc={004F00B1-008F-4DDE-88C1-003A00F800F5}</author>
    <author>tc={00B40090-0002-48A1-BF85-006200CA0009}</author>
    <author>tc={0066008E-00DD-4FEC-B24E-0003000E0079}</author>
    <author>tc={00870009-003B-4492-9DCE-004500B3004A}</author>
    <author>tc={00DC0060-00E3-46D3-BF24-003200440033}</author>
    <author>tc={003E0002-00E7-4FC5-ACF9-005700C200AD}</author>
    <author>tc={002D0048-0013-44E2-8540-0085000500F5}</author>
    <author>tc={00FB00E0-00B0-49C8-9E39-00A7008D00C7}</author>
    <author>tc={00A300A3-006C-4DF6-9F23-000C001200F4}</author>
    <author>tc={00D70032-00F4-49E2-A0AA-00F200FA002F}</author>
    <author>tc={00920009-0001-45CB-AAF5-00B900B800FA}</author>
    <author>tc={00550052-00CC-4861-B0B1-00EB00B0008E}</author>
    <author>tc={00FA0078-00C0-44CB-BF6D-001D005F00DE}</author>
    <author>tc={00580074-0021-4D5E-B50F-00EE006A00BB}</author>
    <author>tc={00BD0037-003E-422E-9BF3-0035002D00D9}</author>
    <author>tc={00CD00A5-0066-42EE-872D-0014002200EF}</author>
    <author>tc={003E008B-0019-4B83-A341-00A100C200C5}</author>
    <author>tc={0074003A-004F-479B-831E-00DB007A0083}</author>
    <author>tc={009D0068-004F-41AE-AEA1-0018006F007D}</author>
    <author>tc={00A8002D-0092-40E3-9261-00ED007C0072}</author>
    <author>tc={006C0016-00C5-4DE8-8451-003900CF0055}</author>
    <author>tc={00BD004E-0088-4F40-B1E3-004E00F1003F}</author>
    <author>tc={00280043-00D1-40B6-82C1-0069006600F8}</author>
    <author>tc={001700D9-00B6-4CC2-8F98-00880030004E}</author>
    <author>tc={001700D9-0005-40D8-BAF1-00EF00130085}</author>
    <author>tc={00A800F4-003F-42B0-B433-00F1002700F6}</author>
    <author>tc={007D0083-0091-442F-92A4-004E005D00A5}</author>
    <author>tc={0047009B-0087-4BC2-8883-00AE000C00C1}</author>
    <author>tc={00860089-008E-4190-B5AA-00B4008A009A}</author>
    <author>tc={005F000D-00B2-42B9-BB8F-00BD007A00B5}</author>
    <author>tc={00AD00BB-003E-4CEC-A592-00BA005B000F}</author>
    <author>tc={008B0053-00CC-40F1-8DA4-00310069004A}</author>
    <author>tc={004B006D-0087-4F95-84FE-00FE00070056}</author>
    <author>tc={00EC001A-00BE-4DDC-A698-00B0002A0002}</author>
    <author>tc={005D00B3-00E6-4413-9910-002A00D50019}</author>
    <author>tc={000700CC-00BC-41B0-B184-006900E4004F}</author>
    <author>tc={005300A4-005A-4D51-BDDD-00ED00CA00C3}</author>
    <author>tc={002C004D-0029-4A12-8B34-000F00540085}</author>
    <author>tc={00AD006E-00E5-485E-BE66-0032007800FE}</author>
    <author>tc={00570081-00BA-4793-AF09-00EE00D700CA}</author>
    <author>tc={004E0029-0054-48C9-9F82-00B0006F0084}</author>
    <author>tc={006000E7-00FD-4161-9336-00B0003800A8}</author>
    <author>tc={00C80081-00E0-42FE-9055-007100190075}</author>
    <author>tc={00AD00A2-00C4-4629-8B18-0043006F00B7}</author>
    <author>tc={004E004B-00AB-46A6-A5CC-008200520033}</author>
    <author>tc={006E00A5-00F0-4FF9-9192-000900FB00E3}</author>
    <author>tc={00AE00D0-00C3-4CF6-9759-004200160009}</author>
    <author>tc={000B0008-009B-49D8-8DC5-00F900130032}</author>
    <author>tc={001900E1-0054-4436-88C3-0008008A00ED}</author>
    <author>tc={00E500B7-0003-48DB-9E8C-005E00EB004F}</author>
    <author>tc={00EE00BE-00BD-4CBC-BE63-00ED00F9001A}</author>
    <author>tc={003F00B4-0051-4A52-A773-004900B700D1}</author>
    <author>tc={0060002B-00B4-4511-8B9D-00D200BD00DB}</author>
    <author>tc={00A7005F-0060-468D-B921-00A90089009F}</author>
    <author>tc={00DB0003-0076-440A-83B7-00B7004C0059}</author>
    <author>tc={007800BF-0038-4B9D-8BE8-0084004C002D}</author>
    <author>tc={00E50067-00B5-4C46-BFE4-008A009200F5}</author>
    <author>tc={00C90072-00BF-4670-AB33-005F0010003E}</author>
    <author>tc={00CD00F0-00E1-4AA0-8449-00DE002A000B}</author>
    <author>tc={00A20042-000D-44AD-A30C-004D0074002D}</author>
    <author>tc={00C000CA-0010-4481-9D4E-00A900CC009F}</author>
    <author>tc={00F40059-00FE-46E8-B53A-008B00290020}</author>
    <author>tc={00450095-00FA-4918-BE66-000900370028}</author>
    <author>tc={008F00BE-0051-40F0-AB63-000F00E3006E}</author>
    <author>tc={0097005F-003E-4A77-9694-00740067001E}</author>
    <author>tc={00110044-0080-4AE9-82E7-002700EB0067}</author>
    <author>tc={00B60014-006E-4247-9A71-00D9004D00B7}</author>
    <author>tc={009200D0-008F-4774-83BD-00D100230051}</author>
    <author>tc={00EA0004-0091-4782-AC75-0032004400F6}</author>
    <author>tc={00620076-007E-4DAB-9A17-003A002B007C}</author>
    <author>tc={000F00C9-0045-4CBE-B043-0031004F00CB}</author>
    <author>tc={0020006F-0021-4D2A-81DB-0051009A0068}</author>
    <author>tc={00AF00D2-0092-4F33-A04E-008E00A10066}</author>
    <author>tc={005600CC-008B-458A-A57D-0015000C00BE}</author>
    <author>tc={00AB00A8-0032-4343-BFED-006900FD00DB}</author>
    <author>tc={00810017-00F8-4E1B-9389-008800F900CC}</author>
    <author>tc={00F5007C-003C-4137-B41D-006900A50099}</author>
    <author>tc={00F70029-002B-441C-ACEE-005F00910048}</author>
    <author>tc={003100CE-009E-4C97-B886-0087009F0032}</author>
    <author>tc={00BC0070-0079-4B74-8F2F-00FD00380043}</author>
    <author>tc={0022001E-00B8-45FA-A245-008F00CF000A}</author>
    <author>tc={001A009F-00A5-47E8-884E-008E00AF004A}</author>
    <author>tc={0007000D-0036-4CC4-9F03-006800260044}</author>
    <author>tc={008E009F-00F1-4884-8382-0081000A006E}</author>
    <author>tc={003100DD-00D4-4CE7-98C6-00B5002E00C0}</author>
    <author>tc={00540085-00DF-4B10-8EDA-0040006B0083}</author>
    <author>tc={009200D0-003D-4D24-A23E-003000ED0005}</author>
    <author>tc={0003005A-0014-4143-90EC-007500510048}</author>
    <author>tc={0067005B-009B-47E4-AA6D-00BE00100042}</author>
    <author>tc={007F006A-0057-417A-BEA9-00D2009B0006}</author>
    <author>tc={00C700B0-0047-4A84-8D02-00EC00700069}</author>
    <author>tc={000F00A2-004B-4209-AA9F-00F0006E0057}</author>
    <author>tc={001000DF-008F-43CB-9010-0025007400E6}</author>
    <author>tc={00A90023-0075-493F-A11D-00790027002A}</author>
    <author>tc={0053008B-008B-4B6D-9492-00E900210073}</author>
    <author>tc={006A00DB-0093-4B40-BAA9-00B400B000FF}</author>
    <author>tc={00AF00A3-0091-40C9-9D1C-006D005400BB}</author>
    <author>tc={007200A6-004A-4EFE-ADB4-001900F900A1}</author>
    <author>tc={0019002C-007A-491A-81BB-00EE008F006B}</author>
    <author>tc={002E00D5-00BE-4173-9CC0-00E300E0002A}</author>
    <author>tc={0074008B-00CC-46D3-B441-002900420013}</author>
    <author>tc={005A0036-0012-4AEE-884C-006C00A400C5}</author>
    <author>tc={00C900D4-005E-479E-B716-0032002400A1}</author>
    <author>tc={008900E0-0008-4276-A146-003300B8003E}</author>
    <author>tc={009B0093-00F1-49D6-9490-00660009004B}</author>
    <author>tc={00B300DE-0095-4B12-9514-005F00FF0096}</author>
    <author>tc={00AE0021-0043-4F6F-9DC5-006F001100BA}</author>
    <author>tc={00A800FB-0040-415D-A860-0060005500FB}</author>
    <author>tc={00E900BB-005A-4E53-A784-00C70061004A}</author>
    <author>tc={006A001F-004C-48B0-A203-006D001B0059}</author>
    <author>tc={00CD007A-00E4-4DD1-874B-00C3008E005D}</author>
    <author>tc={0065003F-003A-451B-B9EF-003F00DA0039}</author>
    <author>tc={00EE0076-0044-4591-93F9-00250045005B}</author>
    <author>tc={00570071-0035-4D1E-A6BF-00BB003900D2}</author>
    <author>tc={00860090-002E-4EEA-A830-00EE00B00010}</author>
    <author>tc={00B1004F-004D-4455-898B-007500150034}</author>
    <author>tc={001300E2-00A0-4303-B5E7-002F00CE006D}</author>
    <author>tc={003300C1-00CE-46FF-AA86-003E00D10050}</author>
    <author>tc={004700D0-004F-47DA-997B-003C00A7008C}</author>
    <author>tc={00F10034-00B5-4BA0-A749-00D20000001D}</author>
    <author>tc={002400B8-00ED-4E41-AD0E-002C00720086}</author>
    <author>tc={002400C0-0047-4598-B612-005D00810024}</author>
    <author>tc={001E00CB-00BD-4598-B2E6-008900E3003A}</author>
    <author>tc={00090095-005B-48E5-807D-00A300F7002F}</author>
    <author>tc={00280099-0073-4D3A-87DC-00B200F200DC}</author>
    <author>tc={00770023-0002-433D-9710-00F10003006F}</author>
    <author>tc={0099009B-001D-4A69-B671-005100AC00E5}</author>
    <author>tc={00760003-009E-4299-883B-0009003E0014}</author>
    <author>tc={009800F3-0084-4328-867D-00EB00B50091}</author>
    <author>tc={00BE0025-00E4-4EAA-95D5-0049008D0023}</author>
    <author>tc={005E0031-00BB-46CD-82AA-00B8002F0022}</author>
    <author>tc={00280031-001D-47A1-80E0-0029001C0070}</author>
    <author>tc={001D00B5-0028-44FA-A75A-00ED00840002}</author>
    <author>tc={0004001E-00CF-41E2-892D-00AA00FE00B5}</author>
    <author>tc={0001002A-00F1-4F91-8988-00BF00D600FE}</author>
    <author>tc={00A20067-0011-42EC-BE1A-005C00C4004F}</author>
    <author>tc={00DF00F5-001F-4CE1-B7FE-00010011000F}</author>
    <author>tc={00B30088-00D6-42A5-B59F-00AB00B400F5}</author>
    <author>tc={003D000E-0038-4AEE-86F6-00610022002A}</author>
    <author>tc={00A100C1-0070-44AC-A6F0-007B008C0000}</author>
    <author>tc={006C007D-00B0-4E42-9AC2-0028006C0024}</author>
    <author>tc={001300FE-0015-4817-A888-000700DE00D2}</author>
    <author>tc={00750084-0087-4274-BFDC-00FC0085007F}</author>
    <author>tc={00940061-0017-4D6F-AC2C-005600FF0014}</author>
    <author>tc={000C0033-00DB-4639-9274-005E00890084}</author>
    <author>tc={00CF00E4-00CA-4050-9DA8-00CC003A00B9}</author>
    <author>tc={007C0039-004E-4768-9AF4-00CA00E00050}</author>
    <author>tc={002B0051-009D-47A7-B465-003C0090004E}</author>
    <author>tc={0044006C-0025-418A-AB48-00F200AF0027}</author>
    <author>tc={0053007F-00F8-4D03-9DB7-00140039005F}</author>
    <author>tc={00E500BD-0051-4197-B54B-0018004900D9}</author>
    <author>tc={00BD00B4-00F4-4196-B5CC-00A300F900E1}</author>
    <author>tc={0058001A-0059-4D7F-B84D-00DA008700C3}</author>
    <author>tc={0065001F-0056-4C84-9B29-0099003200A2}</author>
    <author>tc={005B00A3-00A3-4CB7-B065-00EE00C2004F}</author>
    <author>tc={000F0040-00FC-4F4C-9872-008900C10049}</author>
    <author>tc={0016005B-00F1-4B74-80DB-00D6001A0083}</author>
    <author>tc={009A000D-0070-414B-ADB7-005000F40023}</author>
    <author>tc={00E80044-0024-4E9E-BFB7-008000FB0032}</author>
    <author>tc={004D0041-003D-44CA-BC15-00FD00CE00E5}</author>
    <author>tc={002C00E2-00AA-4C08-81FE-004F00170057}</author>
    <author>tc={00D50084-00E0-4DA2-8D1C-00D30032009F}</author>
    <author>tc={000E0062-0003-4F29-8638-00BE000500DC}</author>
    <author>tc={00F400E8-0081-4A9C-B1C1-0040005F00D1}</author>
    <author>tc={008100CD-00A1-48E2-8DE5-00BF00370098}</author>
    <author>tc={005D004B-00EF-4781-B84E-006B00A000D4}</author>
    <author>tc={00DE002C-003A-460D-9EB7-00D7000A00F4}</author>
    <author>tc={0085002A-0061-42ED-8C1C-0079006C0099}</author>
    <author>tc={004A0072-0021-4C56-982A-00D500660094}</author>
    <author>tc={001D0016-0094-4E83-B04A-00680049002B}</author>
    <author>tc={00880072-007D-4EF0-94CB-0053008F0000}</author>
    <author>tc={00200050-00FE-418C-8B89-000300990066}</author>
    <author>tc={00720005-00A7-4147-9796-003500260065}</author>
    <author>tc={00C800C7-0061-4D61-8468-00EE00E4004F}</author>
    <author>tc={002E00A7-000A-45C9-942E-00B900CA00FA}</author>
    <author>tc={007500E9-00EE-4984-9F68-00E900DC0030}</author>
    <author>tc={00A80089-00A8-4EAE-A240-00E1004D005F}</author>
    <author>tc={007C006A-00D6-424C-8765-002F00420073}</author>
    <author>tc={009D00AB-00DC-4D41-BC0D-00F3005300B2}</author>
    <author>tc={006F0064-005A-4D10-A8C8-00FB0095006F}</author>
    <author>tc={006100FE-00B9-45EE-A2A1-0030004500A7}</author>
    <author>tc={00B600C5-0007-4103-8F74-009D002D00FC}</author>
    <author>tc={00040039-0098-4D95-8A04-00EC00B8005A}</author>
    <author>tc={003500AC-002B-4D8E-AFAF-00C70034002D}</author>
    <author>tc={009200C0-008A-4696-96A1-008B00DD0071}</author>
    <author>tc={00BE0071-00A0-4964-89CB-00DB005D00B7}</author>
    <author>tc={002200F2-0092-40F5-80DC-0059005D0058}</author>
    <author>tc={0055008A-000C-40E4-AAE5-005F00B900C6}</author>
    <author>tc={00570012-0074-409F-AC16-00B4001500E9}</author>
    <author>tc={00E500F3-0083-4F8D-A080-001200ED00D1}</author>
    <author>tc={00A600F8-00C5-4EDF-ADE4-00D3004D00E0}</author>
    <author>tc={004D00B8-0084-4664-A822-00FA0058007E}</author>
    <author>tc={00B20090-00DE-42E1-BD94-00CC006C009A}</author>
    <author>tc={0006003E-00DB-4F25-A300-00E800A200CB}</author>
    <author>tc={005400AE-00D4-43D6-8E58-00DC00110028}</author>
    <author>tc={00C700DD-006E-472D-80BB-00B600A8002C}</author>
    <author>tc={0054006E-0091-4C88-8DA3-000000AA00DB}</author>
    <author>tc={005A005F-00EA-4B32-B4CC-00AC00560033}</author>
    <author>tc={003C0025-0010-440F-BE57-0062003B00FB}</author>
    <author>tc={002500AD-00AA-4B4A-BCD5-00CC00DC00B9}</author>
    <author>tc={00720030-0050-463E-8445-00E100AD0054}</author>
    <author>tc={00C30033-002A-4AC7-90BF-00CB00DD00A6}</author>
    <author>tc={005F00B0-00BA-42A6-8406-009400950065}</author>
    <author>tc={007B0006-00F2-4C27-921C-0045007D0096}</author>
    <author>tc={00DE0050-0088-4037-B59F-005700E7009F}</author>
    <author>tc={00AA00EF-00E9-4A45-A545-00B6001B0065}</author>
    <author>tc={00D40084-00CF-4C3E-8972-001E0084007F}</author>
    <author>tc={005A00EE-00BA-43BB-BF1A-00B400C9004C}</author>
    <author>tc={003200B7-0088-4DCD-8756-0038004500A2}</author>
    <author>tc={00D60092-004E-4357-AF89-005F006E00A3}</author>
    <author>tc={00CC00E4-007F-4180-8256-00FB00B100D2}</author>
    <author>tc={00C20072-0086-421F-9DC9-00CF00960072}</author>
    <author>tc={00F20022-003D-4020-9432-00AB00D100F4}</author>
    <author>tc={00E6003A-00E7-4C9D-BE22-0003001E00EE}</author>
    <author>tc={001900C9-0047-4BA6-984B-00E900790080}</author>
    <author>tc={001300BF-00CB-451F-B7AD-0059009800DE}</author>
    <author>tc={001A0023-003F-499A-BDAF-000500B200A0}</author>
    <author>tc={00320078-00B8-4E54-A4A8-00EE000D00B9}</author>
    <author>tc={00040098-00A6-4F64-85BF-00F700E20059}</author>
    <author>tc={0095000D-0065-4ADC-90DA-0042009D0059}</author>
    <author>tc={000400F9-006D-44B4-ADC5-00F500FC0072}</author>
    <author>tc={00710016-00F7-4D18-AD12-00740029003F}</author>
    <author>tc={000C0042-000B-4DB3-9BDA-0073000D00D9}</author>
    <author>tc={005C001A-000D-40EA-BBCC-00FF008400A8}</author>
    <author>tc={00BB00C1-001D-4B7C-A830-0023000F0009}</author>
    <author>tc={000600CF-00AD-422C-83B2-009700350046}</author>
    <author>tc={00F5007A-0086-4D4D-AFBC-0044004200BA}</author>
    <author>tc={00900051-0094-4687-BAE1-007A007A000B}</author>
    <author>tc={00D800DB-000E-4192-ACF5-004D007500A3}</author>
    <author>tc={00DA0076-0005-4C20-8614-003600720044}</author>
    <author>tc={004C008B-00C3-4441-A300-004800BA0048}</author>
    <author>tc={003C0054-0092-4499-B7A7-00410005003D}</author>
    <author>tc={00F30071-0036-47AF-B587-005B00A10007}</author>
    <author>tc={00F500A3-00DA-4DAD-8DF9-006400A700A9}</author>
    <author>tc={00FD00EF-0004-45F5-8616-00B00063001A}</author>
    <author>tc={002A0048-0008-4981-9900-0096004B00A5}</author>
    <author>tc={001B0051-0097-4886-8EC8-00F300AC00AF}</author>
    <author>tc={000C001E-0013-4CF1-AF75-00F100DC0083}</author>
    <author>tc={00770069-00AF-46D2-B656-00BF00CE0076}</author>
    <author>tc={00B700A6-0013-4207-8D00-00CB00FF00FA}</author>
    <author>tc={00B30061-0065-4230-84CF-0013009900BF}</author>
    <author>tc={00DD003E-0003-4A66-AB74-00E500530041}</author>
    <author>tc={00A7001A-00B2-47AD-8107-004900FE00D1}</author>
    <author>tc={00B90070-00C8-4CF9-9002-002200E600B1}</author>
    <author>tc={00290046-0060-4FE8-AC71-00FF00830062}</author>
    <author>tc={000000F7-009A-442F-A120-005C002B00B3}</author>
    <author>tc={00A300EC-00BE-41F2-A8B6-00A400400098}</author>
    <author>tc={00390057-00CC-49D7-9E4F-005C000F00A4}</author>
    <author>tc={006A0062-0012-49B6-B5ED-00CC00560050}</author>
    <author>tc={00F1006D-007B-4858-B989-008400BE003D}</author>
    <author>tc={00C90043-0069-4A79-9341-001200AD0032}</author>
    <author>tc={005E00DF-0064-4021-A7A5-0002000F00BF}</author>
    <author>tc={0099006B-0038-47DE-AC85-00CB00630022}</author>
    <author>tc={00F7008C-0097-41C5-9BF3-004600A20049}</author>
    <author>tc={00C60087-0043-4207-9FA2-0000009E0044}</author>
    <author>tc={000F00D2-001B-45ED-8CF5-003C00890052}</author>
    <author>tc={001E00F7-00F5-4DD5-8AF6-0089009D007F}</author>
    <author>tc={00180053-00C3-41D4-8B07-0036003D0097}</author>
    <author>tc={00E9002F-005D-4597-A0FD-00D600530061}</author>
    <author>tc={000600E2-002F-4C87-9A9F-005D006B00E6}</author>
    <author>tc={00F700BF-005A-4A60-B666-0063006B00CC}</author>
    <author>tc={001A0085-00A6-47B8-85FD-005300F50098}</author>
    <author>tc={009E007A-00B2-40B8-A8DF-0083005B00FA}</author>
    <author>tc={00D200AB-0053-4C06-BB4C-007100D7001E}</author>
    <author>tc={00010016-0032-4969-9C66-0073000E00BE}</author>
    <author>tc={000A00FA-00F2-4710-B5C7-006D006A0028}</author>
    <author>tc={004E00A3-0016-4630-A17E-009B007D004D}</author>
    <author>tc={002600C6-009E-4367-9024-00F3001400ED}</author>
    <author>tc={00940016-005B-466C-8390-0045003A00AC}</author>
    <author>tc={00C400E0-006F-4776-A797-0075008400C5}</author>
    <author>tc={007F006B-006D-4492-9FE0-00C9007C00ED}</author>
    <author>tc={00750075-00D4-4CAF-A0A9-00BE00540074}</author>
    <author>tc={00460093-002B-4659-AC22-004B00EA0058}</author>
    <author>tc={004B00B9-00CE-49C9-9169-0063005C00A7}</author>
    <author>tc={00DA00D1-0043-4A66-AAF4-0034002C002C}</author>
    <author>tc={00BC00BB-0030-4E63-8E48-00BB008F0097}</author>
    <author>tc={00D900BA-001E-4B32-B92B-008B0006001A}</author>
    <author>tc={0018008F-00CC-44EC-A4A4-0013001D007A}</author>
    <author>tc={009D0039-0012-4F06-B70B-004100C300F8}</author>
    <author>tc={003E00C0-009F-4824-BE97-00E300F400A1}</author>
    <author>tc={00E400B1-006C-4B69-AD54-00B2004B00A5}</author>
    <author>tc={0088008E-00B7-4E90-A2D4-002800C40089}</author>
    <author>tc={0082001D-0021-48E1-ACC0-00E700CF007A}</author>
    <author>tc={00450078-0047-4E9F-8867-008600000015}</author>
    <author>tc={002000E0-00CD-4296-A9A1-001C002A0092}</author>
    <author>tc={003900AA-0023-48BF-8052-009500080091}</author>
    <author>tc={00C80055-00D6-42B2-AEC4-00B9009100F2}</author>
    <author>tc={00B500BB-007A-4323-BBB4-000200DC00D6}</author>
    <author>tc={0036005B-0091-40A5-BE5E-00B100D700A5}</author>
    <author>tc={00070091-0002-4814-83A8-005800F10099}</author>
    <author>tc={002F00E4-0028-498A-973B-006D0010000C}</author>
    <author>tc={00C100DB-00C6-4227-B913-006B009600FF}</author>
    <author>tc={00C800D3-00AB-4735-9A28-0019003300B7}</author>
    <author>tc={00E9000D-001C-49DD-B47A-000E00AD00F5}</author>
    <author>tc={00A100E6-00FD-4BA2-B44E-0018007A002C}</author>
  </authors>
  <commentList>
    <comment ref="K11" authorId="0" shapeId="0">
      <text>
        <r>
          <rPr>
            <b/>
            <sz val="9"/>
            <rFont val="Tahoma"/>
          </rPr>
          <t>Jana Holíková:</t>
        </r>
        <r>
          <rPr>
            <sz val="9"/>
            <rFont val="Tahoma"/>
          </rPr>
          <t xml:space="preserve">
ř.4240-4220
</t>
        </r>
      </text>
    </comment>
    <comment ref="K12" authorId="1" shapeId="0">
      <text>
        <r>
          <rPr>
            <b/>
            <sz val="9"/>
            <rFont val="Tahoma"/>
          </rPr>
          <t>Ing. Jana Holíková:</t>
        </r>
        <r>
          <rPr>
            <sz val="9"/>
            <rFont val="Tahoma"/>
          </rPr>
          <t xml:space="preserve">
040 ř.4220
nebo celk výdaje - tř6
nebo
min Závěrečný propočet dle výkazu
</t>
        </r>
      </text>
    </comment>
    <comment ref="L12" authorId="2" shapeId="0">
      <text>
        <r>
          <rPr>
            <b/>
            <sz val="9"/>
            <rFont val="Tahoma"/>
          </rPr>
          <t>Jana Holíková:</t>
        </r>
        <r>
          <rPr>
            <sz val="9"/>
            <rFont val="Tahoma"/>
          </rPr>
          <t xml:space="preserve">
ř.4220
</t>
        </r>
      </text>
    </comment>
    <comment ref="K13" authorId="3" shapeId="0">
      <text>
        <r>
          <rPr>
            <b/>
            <sz val="9"/>
            <rFont val="Tahoma"/>
          </rPr>
          <t>Ing. Jana Holíková:</t>
        </r>
        <r>
          <rPr>
            <sz val="9"/>
            <rFont val="Tahoma"/>
          </rPr>
          <t xml:space="preserve">
040 ř.4240
nebo
min Závěrečný propočet
dle výkazu
</t>
        </r>
      </text>
    </comment>
    <comment ref="L13" authorId="4" shapeId="0">
      <text>
        <r>
          <rPr>
            <b/>
            <sz val="9"/>
            <rFont val="Tahoma"/>
          </rPr>
          <t>Jana Holíková:</t>
        </r>
        <r>
          <rPr>
            <sz val="9"/>
            <rFont val="Tahoma"/>
          </rPr>
          <t xml:space="preserve">
ř.4240-ř.4300-ř.4310
</t>
        </r>
      </text>
    </comment>
    <comment ref="D38" authorId="5" shapeId="0">
      <text>
        <r>
          <rPr>
            <b/>
            <sz val="9"/>
            <rFont val="Tahoma"/>
          </rPr>
          <t>Jana Holíková:</t>
        </r>
        <r>
          <rPr>
            <sz val="9"/>
            <rFont val="Tahoma"/>
          </rPr>
          <t xml:space="preserve">
23060/04 -10.050.300
</t>
        </r>
      </text>
    </comment>
    <comment ref="D40" authorId="6" shapeId="0">
      <text>
        <r>
          <rPr>
            <b/>
            <sz val="9"/>
            <rFont val="Tahoma"/>
          </rPr>
          <t>Jana Holíková:</t>
        </r>
        <r>
          <rPr>
            <sz val="9"/>
            <rFont val="Tahoma"/>
          </rPr>
          <t xml:space="preserve">
23126/08 +20.000
</t>
        </r>
      </text>
    </comment>
    <comment ref="D41" authorId="7" shapeId="0">
      <text>
        <r>
          <rPr>
            <b/>
            <sz val="9"/>
            <rFont val="Tahoma"/>
          </rPr>
          <t>Jana Holíková:</t>
        </r>
        <r>
          <rPr>
            <sz val="9"/>
            <rFont val="Tahoma"/>
          </rPr>
          <t xml:space="preserve">
23194.12 -3.221,96
</t>
        </r>
      </text>
    </comment>
    <comment ref="D45" authorId="8" shapeId="0">
      <text>
        <r>
          <rPr>
            <b/>
            <sz val="9"/>
            <rFont val="Tahoma"/>
          </rPr>
          <t>Jana Holíková:</t>
        </r>
        <r>
          <rPr>
            <sz val="9"/>
            <rFont val="Tahoma"/>
          </rPr>
          <t xml:space="preserve">
23083/06 +76.497
23126/08 +92.417
23137/09 +24.118
</t>
        </r>
      </text>
    </comment>
    <comment ref="D46" authorId="9" shapeId="0">
      <text>
        <r>
          <rPr>
            <b/>
            <sz val="9"/>
            <rFont val="Tahoma"/>
          </rPr>
          <t>Jana Holíková:</t>
        </r>
        <r>
          <rPr>
            <sz val="9"/>
            <rFont val="Tahoma"/>
          </rPr>
          <t xml:space="preserve">
23137/09 +36.700  110
</t>
        </r>
      </text>
    </comment>
    <comment ref="D47" authorId="10" shapeId="0">
      <text>
        <r>
          <rPr>
            <b/>
            <sz val="9"/>
            <rFont val="Tahoma"/>
          </rPr>
          <t>Jana Holíková:</t>
        </r>
        <r>
          <rPr>
            <sz val="9"/>
            <rFont val="Tahoma"/>
          </rPr>
          <t xml:space="preserve">
23126/08 +32.540
</t>
        </r>
      </text>
    </comment>
    <comment ref="D48" authorId="11" shapeId="0">
      <text>
        <r>
          <rPr>
            <b/>
            <sz val="9"/>
            <rFont val="Tahoma"/>
          </rPr>
          <t>Jana Holíková:</t>
        </r>
        <r>
          <rPr>
            <sz val="9"/>
            <rFont val="Tahoma"/>
          </rPr>
          <t xml:space="preserve">
23194.12 +10.674,12
</t>
        </r>
      </text>
    </comment>
    <comment ref="D49" authorId="12" shapeId="0">
      <text>
        <r>
          <rPr>
            <b/>
            <sz val="9"/>
            <rFont val="Tahoma"/>
          </rPr>
          <t>Jana Holíková:</t>
        </r>
        <r>
          <rPr>
            <sz val="9"/>
            <rFont val="Tahoma"/>
          </rPr>
          <t xml:space="preserve">
23040/03 +33.700
23083/06 +20.200
23137/09 + 8.100
</t>
        </r>
      </text>
    </comment>
    <comment ref="D50" authorId="13" shapeId="0">
      <text>
        <r>
          <rPr>
            <b/>
            <sz val="9"/>
            <rFont val="Tahoma"/>
          </rPr>
          <t>Jana Holíková:</t>
        </r>
        <r>
          <rPr>
            <sz val="9"/>
            <rFont val="Tahoma"/>
          </rPr>
          <t xml:space="preserve">
23137/09 + 78.700
</t>
        </r>
      </text>
    </comment>
    <comment ref="D51" authorId="14" shapeId="0">
      <text>
        <r>
          <rPr>
            <b/>
            <sz val="9"/>
            <rFont val="Tahoma"/>
          </rPr>
          <t>Jana Holíková:</t>
        </r>
        <r>
          <rPr>
            <sz val="9"/>
            <rFont val="Tahoma"/>
          </rPr>
          <t xml:space="preserve">
23194.12 -7.452,16
</t>
        </r>
      </text>
    </comment>
    <comment ref="D54" authorId="15" shapeId="0">
      <text>
        <r>
          <rPr>
            <b/>
            <sz val="9"/>
            <rFont val="Tahoma"/>
          </rPr>
          <t>Jana Holíková:</t>
        </r>
        <r>
          <rPr>
            <sz val="9"/>
            <rFont val="Tahoma"/>
          </rPr>
          <t xml:space="preserve">
23137/09 +396.670
</t>
        </r>
      </text>
    </comment>
    <comment ref="D59" authorId="16" shapeId="0">
      <text>
        <r>
          <rPr>
            <b/>
            <sz val="9"/>
            <rFont val="Tahoma"/>
          </rPr>
          <t>Jana Holíková:</t>
        </r>
        <r>
          <rPr>
            <sz val="9"/>
            <rFont val="Tahoma"/>
          </rPr>
          <t xml:space="preserve">
23126/08 +559.345,14
</t>
        </r>
      </text>
    </comment>
    <comment ref="D60" authorId="17" shapeId="0">
      <text>
        <r>
          <rPr>
            <b/>
            <sz val="9"/>
            <rFont val="Tahoma"/>
          </rPr>
          <t>Jana Holíková:</t>
        </r>
        <r>
          <rPr>
            <sz val="9"/>
            <rFont val="Tahoma"/>
          </rPr>
          <t xml:space="preserve">
23126/08 +559.345,14
</t>
        </r>
      </text>
    </comment>
    <comment ref="D61" authorId="18" shapeId="0">
      <text>
        <r>
          <rPr>
            <b/>
            <sz val="9"/>
            <rFont val="Tahoma"/>
          </rPr>
          <t>Jana Holíková:</t>
        </r>
        <r>
          <rPr>
            <sz val="9"/>
            <rFont val="Tahoma"/>
          </rPr>
          <t xml:space="preserve">
23126/08 +3.968.238,12
</t>
        </r>
      </text>
    </comment>
    <comment ref="D70" authorId="19" shapeId="0">
      <text>
        <r>
          <rPr>
            <b/>
            <sz val="9"/>
            <rFont val="Tahoma"/>
          </rPr>
          <t>Jana Holíková:</t>
        </r>
        <r>
          <rPr>
            <sz val="9"/>
            <rFont val="Tahoma"/>
          </rPr>
          <t xml:space="preserve">
23083/06 +20.000
</t>
        </r>
      </text>
    </comment>
    <comment ref="D71" authorId="20" shapeId="0">
      <text>
        <r>
          <rPr>
            <b/>
            <sz val="9"/>
            <rFont val="Tahoma"/>
          </rPr>
          <t>Jana Holíková:</t>
        </r>
        <r>
          <rPr>
            <sz val="9"/>
            <rFont val="Tahoma"/>
          </rPr>
          <t xml:space="preserve">
23083/06 +87.410
</t>
        </r>
      </text>
    </comment>
    <comment ref="D72" authorId="21" shapeId="0">
      <text>
        <r>
          <rPr>
            <b/>
            <sz val="9"/>
            <rFont val="Tahoma"/>
          </rPr>
          <t>Jana Holíková:</t>
        </r>
        <r>
          <rPr>
            <sz val="9"/>
            <rFont val="Tahoma"/>
          </rPr>
          <t xml:space="preserve">
23137/09 +1.404.681,67
</t>
        </r>
      </text>
    </comment>
    <comment ref="D75" authorId="22" shapeId="0">
      <text>
        <r>
          <rPr>
            <b/>
            <sz val="9"/>
            <rFont val="Tahoma"/>
          </rPr>
          <t>Jana Holíková:</t>
        </r>
        <r>
          <rPr>
            <sz val="9"/>
            <rFont val="Tahoma"/>
          </rPr>
          <t xml:space="preserve">
23126/08 +300.000
</t>
        </r>
      </text>
    </comment>
    <comment ref="D79" authorId="23" shapeId="0">
      <text>
        <r>
          <rPr>
            <b/>
            <sz val="9"/>
            <rFont val="Tahoma"/>
          </rPr>
          <t>Jana Holíková:</t>
        </r>
        <r>
          <rPr>
            <sz val="9"/>
            <rFont val="Tahoma"/>
          </rPr>
          <t xml:space="preserve">
23044/03 +384 (321)
23061/04 +43.797 (350)
23071/05 +270 (322)
23142/10 -3.504 (321)
23143/10 +262.743 (321)
</t>
        </r>
      </text>
    </comment>
    <comment ref="D85" authorId="24" shapeId="0">
      <text>
        <r>
          <rPr>
            <b/>
            <sz val="9"/>
            <rFont val="Tahoma"/>
          </rPr>
          <t>Jana Holíková:</t>
        </r>
        <r>
          <rPr>
            <sz val="9"/>
            <rFont val="Tahoma"/>
          </rPr>
          <t xml:space="preserve">
23146/10 +9.000
</t>
        </r>
      </text>
    </comment>
    <comment ref="D90" authorId="25" shapeId="0">
      <text>
        <r>
          <rPr>
            <b/>
            <sz val="9"/>
            <rFont val="Tahoma"/>
          </rPr>
          <t>Jana Holíková:</t>
        </r>
        <r>
          <rPr>
            <sz val="9"/>
            <rFont val="Tahoma"/>
          </rPr>
          <t xml:space="preserve">
23043/03 -7.381.538
</t>
        </r>
      </text>
    </comment>
    <comment ref="D96" authorId="26" shapeId="0">
      <text>
        <r>
          <rPr>
            <b/>
            <sz val="9"/>
            <rFont val="Tahoma"/>
          </rPr>
          <t>Jana Holíková:</t>
        </r>
        <r>
          <rPr>
            <sz val="9"/>
            <rFont val="Tahoma"/>
          </rPr>
          <t xml:space="preserve">
23083/06 +36.600
</t>
        </r>
      </text>
    </comment>
    <comment ref="D97" authorId="27" shapeId="0">
      <text>
        <r>
          <rPr>
            <b/>
            <sz val="9"/>
            <rFont val="Tahoma"/>
          </rPr>
          <t>Jana Holíková:</t>
        </r>
        <r>
          <rPr>
            <sz val="9"/>
            <rFont val="Tahoma"/>
          </rPr>
          <t xml:space="preserve">
23083/06 
+144.589,67 osm
+12.000 od
</t>
        </r>
      </text>
    </comment>
    <comment ref="D102" authorId="28" shapeId="0">
      <text>
        <r>
          <rPr>
            <b/>
            <sz val="9"/>
            <rFont val="Tahoma"/>
          </rPr>
          <t>Jana Holíková:</t>
        </r>
        <r>
          <rPr>
            <sz val="9"/>
            <rFont val="Tahoma"/>
          </rPr>
          <t xml:space="preserve">
23137/09 +65.755,68
</t>
        </r>
      </text>
    </comment>
    <comment ref="D103" authorId="29" shapeId="0">
      <text>
        <r>
          <rPr>
            <b/>
            <sz val="9"/>
            <rFont val="Tahoma"/>
          </rPr>
          <t>Jana Holíková:</t>
        </r>
        <r>
          <rPr>
            <sz val="9"/>
            <rFont val="Tahoma"/>
          </rPr>
          <t xml:space="preserve">
23126/08 +28.500
</t>
        </r>
      </text>
    </comment>
    <comment ref="D108" authorId="30" shapeId="0">
      <text>
        <r>
          <rPr>
            <b/>
            <sz val="9"/>
            <rFont val="Tahoma"/>
          </rPr>
          <t>Jana Holíková:</t>
        </r>
        <r>
          <rPr>
            <sz val="9"/>
            <rFont val="Tahoma"/>
          </rPr>
          <t xml:space="preserve">
23137/09 +65.069
</t>
        </r>
      </text>
    </comment>
    <comment ref="D110" authorId="31" shapeId="0">
      <text>
        <r>
          <rPr>
            <b/>
            <sz val="9"/>
            <rFont val="Tahoma"/>
          </rPr>
          <t>Jana Holíková:</t>
        </r>
        <r>
          <rPr>
            <sz val="9"/>
            <rFont val="Tahoma"/>
          </rPr>
          <t xml:space="preserve">
23017/02 
+ 91.051,59   0307
+159.661,95 0305
</t>
        </r>
      </text>
    </comment>
    <comment ref="D111" authorId="32" shapeId="0">
      <text>
        <r>
          <rPr>
            <b/>
            <sz val="9"/>
            <rFont val="Tahoma"/>
          </rPr>
          <t>Jana Holíková:</t>
        </r>
        <r>
          <rPr>
            <sz val="9"/>
            <rFont val="Tahoma"/>
          </rPr>
          <t xml:space="preserve">
23017/02 +29.886,84
</t>
        </r>
      </text>
    </comment>
    <comment ref="D112" authorId="33" shapeId="0">
      <text>
        <r>
          <rPr>
            <b/>
            <sz val="9"/>
            <rFont val="Tahoma"/>
          </rPr>
          <t>Jana Holíková:</t>
        </r>
        <r>
          <rPr>
            <sz val="9"/>
            <rFont val="Tahoma"/>
          </rPr>
          <t xml:space="preserve">
23017/02 +305.600,85
</t>
        </r>
      </text>
    </comment>
    <comment ref="D113" authorId="34" shapeId="0">
      <text>
        <r>
          <rPr>
            <b/>
            <sz val="9"/>
            <rFont val="Tahoma"/>
          </rPr>
          <t>Jana Holíková:</t>
        </r>
        <r>
          <rPr>
            <sz val="9"/>
            <rFont val="Tahoma"/>
          </rPr>
          <t xml:space="preserve">
23017/02 +151.277,28
</t>
        </r>
      </text>
    </comment>
    <comment ref="D114" authorId="35" shapeId="0">
      <text>
        <r>
          <rPr>
            <b/>
            <sz val="9"/>
            <rFont val="Tahoma"/>
          </rPr>
          <t>Jana Holíková:</t>
        </r>
        <r>
          <rPr>
            <sz val="9"/>
            <rFont val="Tahoma"/>
          </rPr>
          <t xml:space="preserve">
23038/03 +5.706.845,54
23126/08 -1.000.000
</t>
        </r>
      </text>
    </comment>
    <comment ref="D115" authorId="36" shapeId="0">
      <text>
        <r>
          <rPr>
            <b/>
            <sz val="9"/>
            <rFont val="Tahoma"/>
          </rPr>
          <t>Jana Holíková:</t>
        </r>
        <r>
          <rPr>
            <sz val="9"/>
            <rFont val="Tahoma"/>
          </rPr>
          <t xml:space="preserve">
23126/08 +1.457.025,42
</t>
        </r>
      </text>
    </comment>
    <comment ref="D116" authorId="37" shapeId="0">
      <text>
        <r>
          <rPr>
            <b/>
            <sz val="9"/>
            <rFont val="Tahoma"/>
          </rPr>
          <t>Jana Holíková:</t>
        </r>
        <r>
          <rPr>
            <sz val="9"/>
            <rFont val="Tahoma"/>
          </rPr>
          <t xml:space="preserve">
23083/06 +265.673,13
</t>
        </r>
      </text>
    </comment>
    <comment ref="D118" authorId="38" shapeId="0">
      <text>
        <r>
          <rPr>
            <b/>
            <sz val="9"/>
            <rFont val="Tahoma"/>
          </rPr>
          <t>Jana Holíková:</t>
        </r>
        <r>
          <rPr>
            <sz val="9"/>
            <rFont val="Tahoma"/>
          </rPr>
          <t xml:space="preserve">
23083/06 
+5.360 +147.136
</t>
        </r>
      </text>
    </comment>
    <comment ref="D119" authorId="39" shapeId="0">
      <text>
        <r>
          <rPr>
            <b/>
            <sz val="9"/>
            <rFont val="Tahoma"/>
          </rPr>
          <t>Jana Holíková:</t>
        </r>
        <r>
          <rPr>
            <sz val="9"/>
            <rFont val="Tahoma"/>
          </rPr>
          <t xml:space="preserve">
23107/07 úz13014
+ 1.784,32 1201
+10.111,13 1205
</t>
        </r>
      </text>
    </comment>
    <comment ref="D120" authorId="40" shapeId="0">
      <text>
        <r>
          <rPr>
            <b/>
            <sz val="9"/>
            <rFont val="Tahoma"/>
          </rPr>
          <t>Jana Holíková:</t>
        </r>
        <r>
          <rPr>
            <sz val="9"/>
            <rFont val="Tahoma"/>
          </rPr>
          <t xml:space="preserve">
23016/02 +8.015
</t>
        </r>
      </text>
    </comment>
    <comment ref="D121" authorId="41" shapeId="0">
      <text>
        <r>
          <rPr>
            <b/>
            <sz val="9"/>
            <rFont val="Tahoma"/>
          </rPr>
          <t>Jana Holíková:</t>
        </r>
        <r>
          <rPr>
            <sz val="9"/>
            <rFont val="Tahoma"/>
          </rPr>
          <t xml:space="preserve">
23016/02 +33.210
</t>
        </r>
      </text>
    </comment>
    <comment ref="D122" authorId="42" shapeId="0">
      <text>
        <r>
          <rPr>
            <b/>
            <sz val="9"/>
            <rFont val="Tahoma"/>
          </rPr>
          <t>Jana Holíková:</t>
        </r>
        <r>
          <rPr>
            <sz val="9"/>
            <rFont val="Tahoma"/>
          </rPr>
          <t xml:space="preserve">
23050/04 +100.000
</t>
        </r>
      </text>
    </comment>
    <comment ref="D123" authorId="43" shapeId="0">
      <text>
        <r>
          <rPr>
            <b/>
            <sz val="9"/>
            <rFont val="Tahoma"/>
          </rPr>
          <t>Jana Holíková:</t>
        </r>
        <r>
          <rPr>
            <sz val="9"/>
            <rFont val="Tahoma"/>
          </rPr>
          <t xml:space="preserve">
23011/02 -+50.000
23031/02 -+50.000
23032/02 +5.000
</t>
        </r>
      </text>
    </comment>
    <comment ref="D124" authorId="44" shapeId="0">
      <text>
        <r>
          <rPr>
            <b/>
            <sz val="9"/>
            <rFont val="Tahoma"/>
          </rPr>
          <t>Jana Holíková:</t>
        </r>
        <r>
          <rPr>
            <sz val="9"/>
            <rFont val="Tahoma"/>
          </rPr>
          <t xml:space="preserve">
23011/02 -+50.000
23031/02 -+50.000
23032/02 +5.000
</t>
        </r>
      </text>
    </comment>
    <comment ref="D125" authorId="45" shapeId="0">
      <text>
        <r>
          <rPr>
            <b/>
            <sz val="9"/>
            <rFont val="Tahoma"/>
          </rPr>
          <t>Jana Holíková:</t>
        </r>
        <r>
          <rPr>
            <sz val="9"/>
            <rFont val="Tahoma"/>
          </rPr>
          <t xml:space="preserve">
23019/02 +59.931
23095/06 +206.193
23155/11 +35.583
23185/11 +4.011
</t>
        </r>
      </text>
    </comment>
    <comment ref="D127" authorId="46" shapeId="0">
      <text>
        <r>
          <rPr>
            <b/>
            <sz val="9"/>
            <rFont val="Tahoma"/>
          </rPr>
          <t>Jana Holíková:</t>
        </r>
        <r>
          <rPr>
            <sz val="9"/>
            <rFont val="Tahoma"/>
          </rPr>
          <t xml:space="preserve">
23194.12 +901.049
</t>
        </r>
      </text>
    </comment>
    <comment ref="D131" authorId="47" shapeId="0">
      <text>
        <r>
          <rPr>
            <b/>
            <sz val="9"/>
            <rFont val="Tahoma"/>
          </rPr>
          <t>Jana Holíková:</t>
        </r>
        <r>
          <rPr>
            <sz val="9"/>
            <rFont val="Tahoma"/>
          </rPr>
          <t xml:space="preserve">
23194.12 -101.945,85
</t>
        </r>
      </text>
    </comment>
    <comment ref="D132" authorId="48" shapeId="0">
      <text>
        <r>
          <rPr>
            <b/>
            <sz val="9"/>
            <rFont val="Tahoma"/>
          </rPr>
          <t>Jana Holíková:</t>
        </r>
        <r>
          <rPr>
            <sz val="9"/>
            <rFont val="Tahoma"/>
          </rPr>
          <t xml:space="preserve">
23194.12 -101.945,85
</t>
        </r>
      </text>
    </comment>
    <comment ref="D136" authorId="49" shapeId="0">
      <text>
        <r>
          <rPr>
            <b/>
            <sz val="9"/>
            <rFont val="Tahoma"/>
          </rPr>
          <t>Jana Holíková:</t>
        </r>
        <r>
          <rPr>
            <sz val="9"/>
            <rFont val="Tahoma"/>
          </rPr>
          <t xml:space="preserve">
23126/08 +145.200
</t>
        </r>
      </text>
    </comment>
    <comment ref="D143" authorId="50" shapeId="0">
      <text>
        <r>
          <rPr>
            <b/>
            <sz val="9"/>
            <rFont val="Tahoma"/>
          </rPr>
          <t>Jana Holíková:</t>
        </r>
        <r>
          <rPr>
            <sz val="9"/>
            <rFont val="Tahoma"/>
          </rPr>
          <t xml:space="preserve">
23013/02 +227.100
23028/02 +232.500
23042/03 +210.000
23064/04 +231.000
23076/05 +234.000
23092/06 +241.800
23106/07 +231.000
</t>
        </r>
      </text>
    </comment>
    <comment ref="D147" authorId="51" shapeId="0">
      <text>
        <r>
          <rPr>
            <b/>
            <sz val="9"/>
            <rFont val="Tahoma"/>
          </rPr>
          <t>Jana Holíková:</t>
        </r>
        <r>
          <rPr>
            <sz val="9"/>
            <rFont val="Tahoma"/>
          </rPr>
          <t xml:space="preserve">
23194.12 +50.000
</t>
        </r>
      </text>
    </comment>
    <comment ref="D153" authorId="52" shapeId="0">
      <text>
        <r>
          <rPr>
            <b/>
            <sz val="9"/>
            <rFont val="Tahoma"/>
          </rPr>
          <t>Jana Holíková:</t>
        </r>
        <r>
          <rPr>
            <sz val="9"/>
            <rFont val="Tahoma"/>
          </rPr>
          <t xml:space="preserve">
23080/06 -5.500.000
</t>
        </r>
      </text>
    </comment>
    <comment ref="D155" authorId="53" shapeId="0">
      <text>
        <r>
          <rPr>
            <b/>
            <sz val="9"/>
            <rFont val="Tahoma"/>
          </rPr>
          <t>Jana Holíková:</t>
        </r>
        <r>
          <rPr>
            <sz val="9"/>
            <rFont val="Tahoma"/>
          </rPr>
          <t xml:space="preserve">
23087/06 -7.500.000
</t>
        </r>
      </text>
    </comment>
    <comment ref="D156" authorId="54" shapeId="0">
      <text>
        <r>
          <rPr>
            <b/>
            <sz val="9"/>
            <rFont val="Tahoma"/>
          </rPr>
          <t>Jana Holíková:</t>
        </r>
        <r>
          <rPr>
            <sz val="9"/>
            <rFont val="Tahoma"/>
          </rPr>
          <t xml:space="preserve">
23062/04 -1.144.538
</t>
        </r>
      </text>
    </comment>
    <comment ref="D165" authorId="55" shapeId="0">
      <text>
        <r>
          <rPr>
            <b/>
            <sz val="9"/>
            <rFont val="Tahoma"/>
          </rPr>
          <t>Jana Holíková:</t>
        </r>
        <r>
          <rPr>
            <sz val="9"/>
            <rFont val="Tahoma"/>
          </rPr>
          <t xml:space="preserve">
23194.12 -4.081.000
</t>
        </r>
      </text>
    </comment>
    <comment ref="D166" authorId="56" shapeId="0">
      <text>
        <r>
          <rPr>
            <b/>
            <sz val="9"/>
            <rFont val="Tahoma"/>
          </rPr>
          <t>Jana Holíková:</t>
        </r>
        <r>
          <rPr>
            <sz val="9"/>
            <rFont val="Tahoma"/>
          </rPr>
          <t xml:space="preserve">
23194.12 -5.103.000
</t>
        </r>
      </text>
    </comment>
    <comment ref="D167" authorId="57" shapeId="0">
      <text>
        <r>
          <rPr>
            <b/>
            <sz val="9"/>
            <rFont val="Tahoma"/>
          </rPr>
          <t>Jana Holíková:</t>
        </r>
        <r>
          <rPr>
            <sz val="9"/>
            <rFont val="Tahoma"/>
          </rPr>
          <t xml:space="preserve">
23194.12 -4.200.000
</t>
        </r>
      </text>
    </comment>
    <comment ref="D168" authorId="58" shapeId="0">
      <text>
        <r>
          <rPr>
            <b/>
            <sz val="9"/>
            <rFont val="Tahoma"/>
          </rPr>
          <t>Jana Holíková:</t>
        </r>
        <r>
          <rPr>
            <sz val="9"/>
            <rFont val="Tahoma"/>
          </rPr>
          <t xml:space="preserve">
23121/08 +121.111
</t>
        </r>
      </text>
    </comment>
    <comment ref="D171" authorId="59" shapeId="0">
      <text>
        <r>
          <rPr>
            <b/>
            <sz val="9"/>
            <rFont val="Tahoma"/>
          </rPr>
          <t>Jana Holíková:</t>
        </r>
        <r>
          <rPr>
            <sz val="9"/>
            <rFont val="Tahoma"/>
          </rPr>
          <t xml:space="preserve">
23147/10 +500.000
23196/12 -100.000
</t>
        </r>
      </text>
    </comment>
    <comment ref="D173" authorId="60" shapeId="0">
      <text>
        <r>
          <rPr>
            <b/>
            <sz val="9"/>
            <rFont val="Tahoma"/>
          </rPr>
          <t>Jana Holíková:</t>
        </r>
        <r>
          <rPr>
            <sz val="9"/>
            <rFont val="Tahoma"/>
          </rPr>
          <t xml:space="preserve">
23126/08 -2.200.000
</t>
        </r>
      </text>
    </comment>
    <comment ref="D174" authorId="61" shapeId="0">
      <text>
        <r>
          <rPr>
            <b/>
            <sz val="9"/>
            <rFont val="Tahoma"/>
          </rPr>
          <t>Jana Holíková:</t>
        </r>
        <r>
          <rPr>
            <sz val="9"/>
            <rFont val="Tahoma"/>
          </rPr>
          <t xml:space="preserve">
23133/09 -1.200.000
</t>
        </r>
      </text>
    </comment>
    <comment ref="D178" authorId="62" shapeId="0">
      <text>
        <r>
          <rPr>
            <b/>
            <sz val="9"/>
            <rFont val="Tahoma"/>
          </rPr>
          <t>Jana Holíková:</t>
        </r>
        <r>
          <rPr>
            <sz val="9"/>
            <rFont val="Tahoma"/>
          </rPr>
          <t xml:space="preserve">
23014/02 +864.200
</t>
        </r>
      </text>
    </comment>
    <comment ref="D179" authorId="63" shapeId="0">
      <text>
        <r>
          <rPr>
            <b/>
            <sz val="9"/>
            <rFont val="Tahoma"/>
          </rPr>
          <t>Jana Holíková:</t>
        </r>
        <r>
          <rPr>
            <sz val="9"/>
            <rFont val="Tahoma"/>
          </rPr>
          <t xml:space="preserve">
23063/04 +3.705,41
</t>
        </r>
      </text>
    </comment>
    <comment ref="D180" authorId="64" shapeId="0">
      <text>
        <r>
          <rPr>
            <b/>
            <sz val="9"/>
            <rFont val="Tahoma"/>
          </rPr>
          <t>Jana Holíková:</t>
        </r>
        <r>
          <rPr>
            <sz val="9"/>
            <rFont val="Tahoma"/>
          </rPr>
          <t xml:space="preserve">
23005/01 +2.499.800
</t>
        </r>
      </text>
    </comment>
    <comment ref="D182" authorId="65" shapeId="0">
      <text>
        <r>
          <rPr>
            <b/>
            <sz val="9"/>
            <rFont val="Tahoma"/>
          </rPr>
          <t>Jana Holíková:</t>
        </r>
        <r>
          <rPr>
            <sz val="9"/>
            <rFont val="Tahoma"/>
          </rPr>
          <t xml:space="preserve">
23116/08 + úz 13013
+ 59.357,27 (1041)
+504.536,84 (1045)
</t>
        </r>
      </text>
    </comment>
    <comment ref="D183" authorId="66" shapeId="0">
      <text>
        <r>
          <rPr>
            <b/>
            <sz val="9"/>
            <rFont val="Tahoma"/>
          </rPr>
          <t>Jana Holíková:</t>
        </r>
        <r>
          <rPr>
            <sz val="9"/>
            <rFont val="Tahoma"/>
          </rPr>
          <t xml:space="preserve">
23062/04 +1.059.598
</t>
        </r>
      </text>
    </comment>
    <comment ref="D184" authorId="67" shapeId="0">
      <text>
        <r>
          <rPr>
            <b/>
            <sz val="9"/>
            <rFont val="Tahoma"/>
          </rPr>
          <t>Jana Holíková:</t>
        </r>
        <r>
          <rPr>
            <sz val="9"/>
            <rFont val="Tahoma"/>
          </rPr>
          <t xml:space="preserve">
23087/06 +8.304.000
</t>
        </r>
      </text>
    </comment>
    <comment ref="D185" authorId="68" shapeId="0">
      <text>
        <r>
          <rPr>
            <b/>
            <sz val="9"/>
            <rFont val="Tahoma"/>
          </rPr>
          <t>Jana Holíková:</t>
        </r>
        <r>
          <rPr>
            <sz val="9"/>
            <rFont val="Tahoma"/>
          </rPr>
          <t xml:space="preserve">
23152/11 +114.563,55
</t>
        </r>
      </text>
    </comment>
    <comment ref="D186" authorId="69" shapeId="0">
      <text>
        <r>
          <rPr>
            <b/>
            <sz val="9"/>
            <rFont val="Tahoma"/>
          </rPr>
          <t>Jana Holíková:</t>
        </r>
        <r>
          <rPr>
            <sz val="9"/>
            <rFont val="Tahoma"/>
          </rPr>
          <t xml:space="preserve">
23046/03
+    635,25 17015 1071
+12.705     17015 1075 
</t>
        </r>
      </text>
    </comment>
    <comment ref="D187" authorId="70" shapeId="0">
      <text>
        <r>
          <rPr>
            <b/>
            <sz val="9"/>
            <rFont val="Tahoma"/>
          </rPr>
          <t>Jana Holíková:</t>
        </r>
        <r>
          <rPr>
            <sz val="9"/>
            <rFont val="Tahoma"/>
          </rPr>
          <t xml:space="preserve">
23047/03
+ 635,25  17015 107 1
+12.705  17016 107 5
</t>
        </r>
      </text>
    </comment>
    <comment ref="D188" authorId="71" shapeId="0">
      <text>
        <r>
          <rPr>
            <b/>
            <sz val="9"/>
            <rFont val="Tahoma"/>
          </rPr>
          <t>Jana Holíková:</t>
        </r>
        <r>
          <rPr>
            <sz val="9"/>
            <rFont val="Tahoma"/>
          </rPr>
          <t xml:space="preserve">
23174/11
+ 2.117,50  17015 107 1
+35.997,50  17016 107 5
</t>
        </r>
      </text>
    </comment>
    <comment ref="D189" authorId="72" shapeId="0">
      <text>
        <r>
          <rPr>
            <b/>
            <sz val="9"/>
            <rFont val="Tahoma"/>
          </rPr>
          <t>Jana Holíková:</t>
        </r>
        <r>
          <rPr>
            <sz val="9"/>
            <rFont val="Tahoma"/>
          </rPr>
          <t xml:space="preserve">
23057/04 +14.200
</t>
        </r>
      </text>
    </comment>
    <comment ref="D190" authorId="73" shapeId="0">
      <text>
        <r>
          <rPr>
            <b/>
            <sz val="9"/>
            <rFont val="Tahoma"/>
          </rPr>
          <t>Jana Holíková:</t>
        </r>
        <r>
          <rPr>
            <sz val="9"/>
            <rFont val="Tahoma"/>
          </rPr>
          <t xml:space="preserve">
23057/04 +35.205
23194.12 -108.238 úz29031 1705
</t>
        </r>
      </text>
    </comment>
    <comment ref="D191" authorId="74" shapeId="0">
      <text>
        <r>
          <rPr>
            <b/>
            <sz val="9"/>
            <rFont val="Tahoma"/>
          </rPr>
          <t>Jana:</t>
        </r>
        <r>
          <rPr>
            <sz val="9"/>
            <rFont val="Tahoma"/>
          </rPr>
          <t xml:space="preserve">
23015/02 úz33092 
+ +949.089,62 1431
+3.130.384,38 1435
</t>
        </r>
      </text>
    </comment>
    <comment ref="D192" authorId="75" shapeId="0">
      <text>
        <r>
          <rPr>
            <b/>
            <sz val="9"/>
            <rFont val="Tahoma"/>
          </rPr>
          <t>Jana:</t>
        </r>
        <r>
          <rPr>
            <sz val="9"/>
            <rFont val="Tahoma"/>
          </rPr>
          <t xml:space="preserve">
23015/02 úz33092 
+1.005.316,48 1431
+3.315.837,52 1435
</t>
        </r>
      </text>
    </comment>
    <comment ref="D193" authorId="76" shapeId="0">
      <text>
        <r>
          <rPr>
            <b/>
            <sz val="9"/>
            <rFont val="Tahoma"/>
          </rPr>
          <t>Jana:</t>
        </r>
        <r>
          <rPr>
            <sz val="9"/>
            <rFont val="Tahoma"/>
          </rPr>
          <t xml:space="preserve">
23058/04 úz33092 
+ 519.876,20 1431
+1.714.708,80 1435
</t>
        </r>
      </text>
    </comment>
    <comment ref="D194" authorId="77" shapeId="0">
      <text>
        <r>
          <rPr>
            <b/>
            <sz val="9"/>
            <rFont val="Tahoma"/>
          </rPr>
          <t>Jana:</t>
        </r>
        <r>
          <rPr>
            <sz val="9"/>
            <rFont val="Tahoma"/>
          </rPr>
          <t xml:space="preserve">
23093/06 úz33092 
+ 551.883,72 1431
+1.820.279,28 1435
</t>
        </r>
      </text>
    </comment>
    <comment ref="D195" authorId="78" shapeId="0">
      <text>
        <r>
          <rPr>
            <b/>
            <sz val="9"/>
            <rFont val="Tahoma"/>
          </rPr>
          <t>Jana Holíková:</t>
        </r>
        <r>
          <rPr>
            <sz val="9"/>
            <rFont val="Tahoma"/>
          </rPr>
          <t xml:space="preserve">
23096/06 +100.000
</t>
        </r>
      </text>
    </comment>
    <comment ref="D196" authorId="79" shapeId="0">
      <text>
        <r>
          <rPr>
            <b/>
            <sz val="9"/>
            <rFont val="Tahoma"/>
          </rPr>
          <t>Jana Holíková:</t>
        </r>
        <r>
          <rPr>
            <sz val="9"/>
            <rFont val="Tahoma"/>
          </rPr>
          <t xml:space="preserve">
23131/09 
+775.000 -500.000
</t>
        </r>
      </text>
    </comment>
    <comment ref="D198" authorId="80" shapeId="0">
      <text>
        <r>
          <rPr>
            <b/>
            <sz val="9"/>
            <rFont val="Tahoma"/>
          </rPr>
          <t>Jana Holíková:</t>
        </r>
        <r>
          <rPr>
            <sz val="9"/>
            <rFont val="Tahoma"/>
          </rPr>
          <t xml:space="preserve">
23137/09 +67.500
</t>
        </r>
      </text>
    </comment>
    <comment ref="D199" authorId="81" shapeId="0">
      <text>
        <r>
          <rPr>
            <b/>
            <sz val="9"/>
            <rFont val="Tahoma"/>
          </rPr>
          <t>Jana Holíková:</t>
        </r>
        <r>
          <rPr>
            <sz val="9"/>
            <rFont val="Tahoma"/>
          </rPr>
          <t xml:space="preserve">
23194.12 -204
</t>
        </r>
      </text>
    </comment>
    <comment ref="D200" authorId="82" shapeId="0">
      <text>
        <r>
          <rPr>
            <b/>
            <sz val="9"/>
            <rFont val="Tahoma"/>
          </rPr>
          <t>Jana Holíková:</t>
        </r>
        <r>
          <rPr>
            <sz val="9"/>
            <rFont val="Tahoma"/>
          </rPr>
          <t xml:space="preserve">
23194.12 -75.889
</t>
        </r>
      </text>
    </comment>
    <comment ref="D202" authorId="83" shapeId="0">
      <text>
        <r>
          <rPr>
            <b/>
            <sz val="9"/>
            <rFont val="Tahoma"/>
          </rPr>
          <t>Jana Holíková:</t>
        </r>
        <r>
          <rPr>
            <sz val="9"/>
            <rFont val="Tahoma"/>
          </rPr>
          <t xml:space="preserve">
23039/03 org z 541 na 029
</t>
        </r>
      </text>
    </comment>
    <comment ref="D203" authorId="84" shapeId="0">
      <text>
        <r>
          <rPr>
            <b/>
            <sz val="9"/>
            <rFont val="Tahoma"/>
          </rPr>
          <t>Jana Holíková:</t>
        </r>
        <r>
          <rPr>
            <sz val="9"/>
            <rFont val="Tahoma"/>
          </rPr>
          <t xml:space="preserve">
23137/09 
+230.505 -100.000
23194.12 +76.835
</t>
        </r>
      </text>
    </comment>
    <comment ref="D206" authorId="85" shapeId="0">
      <text>
        <r>
          <rPr>
            <b/>
            <sz val="9"/>
            <rFont val="Tahoma"/>
          </rPr>
          <t>Jana Holíková:</t>
        </r>
        <r>
          <rPr>
            <sz val="9"/>
            <rFont val="Tahoma"/>
          </rPr>
          <t xml:space="preserve">
23157/11 
+ 4.900 úz 253 SR
+44.100 úz 911 EU
</t>
        </r>
      </text>
    </comment>
    <comment ref="D207" authorId="86" shapeId="0">
      <text>
        <r>
          <rPr>
            <b/>
            <sz val="9"/>
            <rFont val="Tahoma"/>
          </rPr>
          <t>Jana Holíková:</t>
        </r>
        <r>
          <rPr>
            <sz val="9"/>
            <rFont val="Tahoma"/>
          </rPr>
          <t xml:space="preserve">
23158/11 
+ 7.519 úz 253 SR
+67.671 úz 911 EU
</t>
        </r>
      </text>
    </comment>
    <comment ref="D208" authorId="87" shapeId="0">
      <text>
        <r>
          <rPr>
            <b/>
            <sz val="9"/>
            <rFont val="Tahoma"/>
          </rPr>
          <t>Jana Holíková:</t>
        </r>
        <r>
          <rPr>
            <sz val="9"/>
            <rFont val="Tahoma"/>
          </rPr>
          <t xml:space="preserve">
23159/11 
+ 6.798 úz 253 SR
+61.182 úz 911 EU
</t>
        </r>
      </text>
    </comment>
    <comment ref="D209" authorId="88" shapeId="0">
      <text>
        <r>
          <rPr>
            <b/>
            <sz val="9"/>
            <rFont val="Tahoma"/>
          </rPr>
          <t>Jana Holíková:</t>
        </r>
        <r>
          <rPr>
            <sz val="9"/>
            <rFont val="Tahoma"/>
          </rPr>
          <t xml:space="preserve">
23001/01 +4.551.000
</t>
        </r>
      </text>
    </comment>
    <comment ref="D210" authorId="89" shapeId="0">
      <text>
        <r>
          <rPr>
            <b/>
            <sz val="9"/>
            <rFont val="Tahoma"/>
          </rPr>
          <t>Jana Holíková:</t>
        </r>
        <r>
          <rPr>
            <sz val="9"/>
            <rFont val="Tahoma"/>
          </rPr>
          <t xml:space="preserve">
23056/04 +80.000
</t>
        </r>
      </text>
    </comment>
    <comment ref="D211" authorId="90" shapeId="0">
      <text>
        <r>
          <rPr>
            <b/>
            <sz val="9"/>
            <rFont val="Tahoma"/>
          </rPr>
          <t>Jana Holíková:</t>
        </r>
        <r>
          <rPr>
            <sz val="9"/>
            <rFont val="Tahoma"/>
          </rPr>
          <t xml:space="preserve">
23055/04 +50.000
</t>
        </r>
      </text>
    </comment>
    <comment ref="D212" authorId="91" shapeId="0">
      <text>
        <r>
          <rPr>
            <b/>
            <sz val="9"/>
            <rFont val="Tahoma"/>
          </rPr>
          <t>Jana Holíková:</t>
        </r>
        <r>
          <rPr>
            <sz val="9"/>
            <rFont val="Tahoma"/>
          </rPr>
          <t xml:space="preserve">
23027/02 +9.234 (z 4222)
</t>
        </r>
      </text>
    </comment>
    <comment ref="D213" authorId="92" shapeId="0">
      <text>
        <r>
          <rPr>
            <b/>
            <sz val="9"/>
            <rFont val="Tahoma"/>
          </rPr>
          <t>Jana Holíková:</t>
        </r>
        <r>
          <rPr>
            <sz val="9"/>
            <rFont val="Tahoma"/>
          </rPr>
          <t xml:space="preserve">
23059/04 +210.000
</t>
        </r>
      </text>
    </comment>
    <comment ref="D214" authorId="93" shapeId="0">
      <text>
        <r>
          <rPr>
            <b/>
            <sz val="9"/>
            <rFont val="Tahoma"/>
          </rPr>
          <t>Jana Holíková:</t>
        </r>
        <r>
          <rPr>
            <sz val="9"/>
            <rFont val="Tahoma"/>
          </rPr>
          <t xml:space="preserve">
23194.12 +45.000
</t>
        </r>
      </text>
    </comment>
    <comment ref="D215" authorId="94" shapeId="0">
      <text>
        <r>
          <rPr>
            <b/>
            <sz val="9"/>
            <rFont val="Tahoma"/>
          </rPr>
          <t>Jana Holíková:</t>
        </r>
        <r>
          <rPr>
            <sz val="9"/>
            <rFont val="Tahoma"/>
          </rPr>
          <t xml:space="preserve">
23102/07 +170.400
23177/11 -28.290
</t>
        </r>
      </text>
    </comment>
    <comment ref="D216" authorId="95" shapeId="0">
      <text>
        <r>
          <rPr>
            <b/>
            <sz val="9"/>
            <rFont val="Tahoma"/>
          </rPr>
          <t>Jana Holíková:</t>
        </r>
        <r>
          <rPr>
            <sz val="9"/>
            <rFont val="Tahoma"/>
          </rPr>
          <t xml:space="preserve">
23086/06 úz 913, 120 1,5
+ 4.752,88 (0321, 1201)
+26.932,97 (0321, 1205)
+ 1.806,05 (0322, 1201)
+10.234,30 (0322, 1205)
+ 5.713,08 (0323, 1201)
+32.374,08 (0323, 1205)
23107/07 úz 913
- 1.607,13 (0321 1205)
- 9.107,07 (0321 1205)
- 1.051,79 (0322 1201)
- 5.960,11 (0322 1205)
-   177,66  (0323 1201)
- 1.006,74 (0320 1205)
</t>
        </r>
      </text>
    </comment>
    <comment ref="D217" authorId="96" shapeId="0">
      <text>
        <r>
          <rPr>
            <b/>
            <sz val="9"/>
            <rFont val="Tahoma"/>
          </rPr>
          <t>Jana Holíková:</t>
        </r>
        <r>
          <rPr>
            <sz val="9"/>
            <rFont val="Tahoma"/>
          </rPr>
          <t xml:space="preserve">
23054/04 + 5.960.000
</t>
        </r>
      </text>
    </comment>
    <comment ref="D218" authorId="97" shapeId="0">
      <text>
        <r>
          <rPr>
            <b/>
            <sz val="9"/>
            <rFont val="Tahoma"/>
          </rPr>
          <t>Jana Holíková:</t>
        </r>
        <r>
          <rPr>
            <sz val="9"/>
            <rFont val="Tahoma"/>
          </rPr>
          <t xml:space="preserve">
23082/06-94.000
</t>
        </r>
      </text>
    </comment>
    <comment ref="D220" authorId="98" shapeId="0">
      <text>
        <r>
          <rPr>
            <b/>
            <sz val="9"/>
            <rFont val="Tahoma"/>
          </rPr>
          <t>Jana Holíková:</t>
        </r>
        <r>
          <rPr>
            <sz val="9"/>
            <rFont val="Tahoma"/>
          </rPr>
          <t xml:space="preserve">
23174/11 -1.400.000
23189/11 +2.180.699,34
</t>
        </r>
      </text>
    </comment>
    <comment ref="D222" authorId="99" shapeId="0">
      <text>
        <r>
          <rPr>
            <b/>
            <sz val="9"/>
            <rFont val="Tahoma"/>
          </rPr>
          <t>Jana Holíková:</t>
        </r>
        <r>
          <rPr>
            <sz val="9"/>
            <rFont val="Tahoma"/>
          </rPr>
          <t xml:space="preserve">
23116/08 -500.000
</t>
        </r>
      </text>
    </comment>
    <comment ref="D223" authorId="100" shapeId="0">
      <text>
        <r>
          <rPr>
            <b/>
            <sz val="9"/>
            <rFont val="Tahoma"/>
          </rPr>
          <t>Jana Holíková:</t>
        </r>
        <r>
          <rPr>
            <sz val="9"/>
            <rFont val="Tahoma"/>
          </rPr>
          <t xml:space="preserve">
23133/09 +1.200.000
</t>
        </r>
      </text>
    </comment>
    <comment ref="D224" authorId="101" shapeId="0">
      <text>
        <r>
          <rPr>
            <b/>
            <sz val="9"/>
            <rFont val="Tahoma"/>
          </rPr>
          <t>Jana Holíková:</t>
        </r>
        <r>
          <rPr>
            <sz val="9"/>
            <rFont val="Tahoma"/>
          </rPr>
          <t xml:space="preserve">
23046/03 -4.250.000
+   205.587,45 17968 1071
+4.111.749,01  17969 1075 
</t>
        </r>
      </text>
    </comment>
    <comment ref="D225" authorId="102" shapeId="0">
      <text>
        <r>
          <rPr>
            <b/>
            <sz val="9"/>
            <rFont val="Tahoma"/>
          </rPr>
          <t>Jana Holíková:</t>
        </r>
        <r>
          <rPr>
            <sz val="9"/>
            <rFont val="Tahoma"/>
          </rPr>
          <t xml:space="preserve">
23047/03 
-4.800.000 17969 1075
+ 239.760,30 17968 107 1
+4.795.207,68 17969 107 5
</t>
        </r>
      </text>
    </comment>
    <comment ref="D226" authorId="103" shapeId="0">
      <text>
        <r>
          <rPr>
            <b/>
            <sz val="9"/>
            <rFont val="Tahoma"/>
          </rPr>
          <t>Jana Holíková:</t>
        </r>
        <r>
          <rPr>
            <sz val="9"/>
            <rFont val="Tahoma"/>
          </rPr>
          <t xml:space="preserve">
23174/11
+    93.385,85 17968 107 1
+1.587.559,45 17969 107 5
</t>
        </r>
      </text>
    </comment>
    <comment ref="D227" authorId="104" shapeId="0">
      <text>
        <r>
          <rPr>
            <b/>
            <sz val="9"/>
            <rFont val="Tahoma"/>
          </rPr>
          <t>Jana Holíková:</t>
        </r>
        <r>
          <rPr>
            <sz val="9"/>
            <rFont val="Tahoma"/>
          </rPr>
          <t xml:space="preserve">
23194.12 -2.869.843,80
</t>
        </r>
      </text>
    </comment>
    <comment ref="D229" authorId="105" shapeId="0">
      <text>
        <r>
          <rPr>
            <b/>
            <sz val="9"/>
            <rFont val="Tahoma"/>
          </rPr>
          <t>Jana Holíková:</t>
        </r>
        <r>
          <rPr>
            <sz val="9"/>
            <rFont val="Tahoma"/>
          </rPr>
          <t xml:space="preserve">
23055/04 +150.000
</t>
        </r>
      </text>
    </comment>
    <comment ref="D230" authorId="106" shapeId="0">
      <text>
        <r>
          <rPr>
            <b/>
            <sz val="9"/>
            <rFont val="Tahoma"/>
          </rPr>
          <t>Jana Holíková:</t>
        </r>
        <r>
          <rPr>
            <sz val="9"/>
            <rFont val="Tahoma"/>
          </rPr>
          <t xml:space="preserve">
23088/06 +22.018
</t>
        </r>
      </text>
    </comment>
    <comment ref="D231" authorId="107" shapeId="0">
      <text>
        <r>
          <rPr>
            <b/>
            <sz val="9"/>
            <rFont val="Tahoma"/>
          </rPr>
          <t>Jana Holíková:</t>
        </r>
        <r>
          <rPr>
            <sz val="9"/>
            <rFont val="Tahoma"/>
          </rPr>
          <t xml:space="preserve">
23027/02 
zm úz z 720 na 711,
-9.234 (na 4122)
</t>
        </r>
      </text>
    </comment>
    <comment ref="D232" authorId="108" shapeId="0">
      <text>
        <r>
          <rPr>
            <b/>
            <sz val="9"/>
            <rFont val="Tahoma"/>
          </rPr>
          <t>Jana Holíková:</t>
        </r>
        <r>
          <rPr>
            <sz val="9"/>
            <rFont val="Tahoma"/>
          </rPr>
          <t xml:space="preserve">
23194.12 -287.980
</t>
        </r>
      </text>
    </comment>
    <comment ref="D248" authorId="109" shapeId="0">
      <text>
        <r>
          <rPr>
            <b/>
            <sz val="9"/>
            <rFont val="Tahoma"/>
          </rPr>
          <t>Jana Holíková:</t>
        </r>
        <r>
          <rPr>
            <sz val="9"/>
            <rFont val="Tahoma"/>
          </rPr>
          <t xml:space="preserve">
23571/06 -13.240
</t>
        </r>
      </text>
    </comment>
    <comment ref="D249" authorId="110" shapeId="0">
      <text>
        <r>
          <rPr>
            <b/>
            <sz val="9"/>
            <rFont val="Tahoma"/>
          </rPr>
          <t>Jana Holíková:</t>
        </r>
        <r>
          <rPr>
            <sz val="9"/>
            <rFont val="Tahoma"/>
          </rPr>
          <t xml:space="preserve">
23625/10 +58.821
</t>
        </r>
      </text>
    </comment>
    <comment ref="D250" authorId="111" shapeId="0">
      <text>
        <r>
          <rPr>
            <b/>
            <sz val="9"/>
            <rFont val="Tahoma"/>
          </rPr>
          <t>Jana Holíková:</t>
        </r>
        <r>
          <rPr>
            <sz val="9"/>
            <rFont val="Tahoma"/>
          </rPr>
          <t xml:space="preserve">
23625/10 -58.821
</t>
        </r>
      </text>
    </comment>
    <comment ref="D251" authorId="112" shapeId="0">
      <text>
        <r>
          <rPr>
            <b/>
            <sz val="9"/>
            <rFont val="Tahoma"/>
          </rPr>
          <t>Jana Holíková:</t>
        </r>
        <r>
          <rPr>
            <sz val="9"/>
            <rFont val="Tahoma"/>
          </rPr>
          <t xml:space="preserve">
23571/06 +13.240
</t>
        </r>
      </text>
    </comment>
    <comment ref="D253" authorId="113" shapeId="0">
      <text>
        <r>
          <rPr>
            <b/>
            <sz val="9"/>
            <rFont val="Tahoma"/>
          </rPr>
          <t>Jana Holíková:</t>
        </r>
        <r>
          <rPr>
            <sz val="9"/>
            <rFont val="Tahoma"/>
          </rPr>
          <t xml:space="preserve">
23180/11 +70.000
</t>
        </r>
      </text>
    </comment>
    <comment ref="D254" authorId="114" shapeId="0">
      <text>
        <r>
          <rPr>
            <b/>
            <sz val="9"/>
            <rFont val="Tahoma"/>
          </rPr>
          <t>Jana Holíková:</t>
        </r>
        <r>
          <rPr>
            <sz val="9"/>
            <rFont val="Tahoma"/>
          </rPr>
          <t xml:space="preserve">
23089/06 +242.676
23602/08 +100.000
</t>
        </r>
      </text>
    </comment>
    <comment ref="D255" authorId="115" shapeId="0">
      <text>
        <r>
          <rPr>
            <b/>
            <sz val="9"/>
            <rFont val="Tahoma"/>
          </rPr>
          <t>Jana Holíková:</t>
        </r>
        <r>
          <rPr>
            <sz val="9"/>
            <rFont val="Tahoma"/>
          </rPr>
          <t xml:space="preserve">
23602/08 -100.000
</t>
        </r>
      </text>
    </comment>
    <comment ref="D259" authorId="116" shapeId="0">
      <text>
        <r>
          <rPr>
            <b/>
            <sz val="9"/>
            <rFont val="Tahoma"/>
          </rPr>
          <t>Jana Holíková:</t>
        </r>
        <r>
          <rPr>
            <sz val="9"/>
            <rFont val="Tahoma"/>
          </rPr>
          <t xml:space="preserve">
23180/11 -70.000
</t>
        </r>
      </text>
    </comment>
    <comment ref="D263" authorId="117" shapeId="0">
      <text>
        <r>
          <rPr>
            <b/>
            <sz val="9"/>
            <rFont val="Tahoma"/>
          </rPr>
          <t>Jana Holíková:</t>
        </r>
        <r>
          <rPr>
            <sz val="9"/>
            <rFont val="Tahoma"/>
          </rPr>
          <t xml:space="preserve">
23173/11 -30.000
</t>
        </r>
      </text>
    </comment>
    <comment ref="D264" authorId="118" shapeId="0">
      <text>
        <r>
          <rPr>
            <b/>
            <sz val="9"/>
            <rFont val="Tahoma"/>
          </rPr>
          <t>Jana Holíková:</t>
        </r>
        <r>
          <rPr>
            <sz val="9"/>
            <rFont val="Tahoma"/>
          </rPr>
          <t xml:space="preserve">
23173/11 -10.637.000
</t>
        </r>
      </text>
    </comment>
    <comment ref="D265" authorId="119" shapeId="0">
      <text>
        <r>
          <rPr>
            <b/>
            <sz val="9"/>
            <rFont val="Tahoma"/>
          </rPr>
          <t>Jana Holíková:</t>
        </r>
        <r>
          <rPr>
            <sz val="9"/>
            <rFont val="Tahoma"/>
          </rPr>
          <t xml:space="preserve">
23173/11 -26.810
</t>
        </r>
      </text>
    </comment>
    <comment ref="D266" authorId="120" shapeId="0">
      <text>
        <r>
          <rPr>
            <b/>
            <sz val="9"/>
            <rFont val="Tahoma"/>
          </rPr>
          <t>Jana Holíková:</t>
        </r>
        <r>
          <rPr>
            <sz val="9"/>
            <rFont val="Tahoma"/>
          </rPr>
          <t xml:space="preserve">
23171/11 +300.000
</t>
        </r>
      </text>
    </comment>
    <comment ref="D267" authorId="121" shapeId="0">
      <text>
        <r>
          <rPr>
            <b/>
            <sz val="9"/>
            <rFont val="Tahoma"/>
          </rPr>
          <t>Jana Holíková:</t>
        </r>
        <r>
          <rPr>
            <sz val="9"/>
            <rFont val="Tahoma"/>
          </rPr>
          <t xml:space="preserve">
23171/11 -100.000
23195/12 -1.600.000
</t>
        </r>
      </text>
    </comment>
    <comment ref="D268" authorId="122" shapeId="0">
      <text>
        <r>
          <rPr>
            <b/>
            <sz val="9"/>
            <rFont val="Tahoma"/>
          </rPr>
          <t>Jana Holíková:</t>
        </r>
        <r>
          <rPr>
            <sz val="9"/>
            <rFont val="Tahoma"/>
          </rPr>
          <t xml:space="preserve">
23095/06 +61.673
23148/10 -100.000
23190/12 -125.000
</t>
        </r>
      </text>
    </comment>
    <comment ref="D269" authorId="123" shapeId="0">
      <text>
        <r>
          <rPr>
            <b/>
            <sz val="9"/>
            <rFont val="Tahoma"/>
          </rPr>
          <t>Jana Holíková:</t>
        </r>
        <r>
          <rPr>
            <sz val="9"/>
            <rFont val="Tahoma"/>
          </rPr>
          <t xml:space="preserve">
23590/07 +500.000
23119/08 +300.000
23635/10 +3j00.000
</t>
        </r>
      </text>
    </comment>
    <comment ref="D270" authorId="124" shapeId="0">
      <text>
        <r>
          <rPr>
            <b/>
            <sz val="9"/>
            <rFont val="Tahoma"/>
          </rPr>
          <t>Jana Holíková:</t>
        </r>
        <r>
          <rPr>
            <sz val="9"/>
            <rFont val="Tahoma"/>
          </rPr>
          <t xml:space="preserve">
23590/07 -500.000
23635/10 -300.000
23636/10 -550.000
</t>
        </r>
      </text>
    </comment>
    <comment ref="D271" authorId="125" shapeId="0">
      <text>
        <r>
          <rPr>
            <b/>
            <sz val="9"/>
            <rFont val="Tahoma"/>
          </rPr>
          <t>Jana Holíková:</t>
        </r>
        <r>
          <rPr>
            <sz val="9"/>
            <rFont val="Tahoma"/>
          </rPr>
          <t xml:space="preserve">
23636/10 +550.000
</t>
        </r>
      </text>
    </comment>
    <comment ref="D275" authorId="126" shapeId="0">
      <text>
        <r>
          <rPr>
            <b/>
            <sz val="9"/>
            <rFont val="Tahoma"/>
          </rPr>
          <t>Jana Holíková:</t>
        </r>
        <r>
          <rPr>
            <sz val="9"/>
            <rFont val="Tahoma"/>
          </rPr>
          <t xml:space="preserve">
23049/03 -700.000
23624/10 +3.000
</t>
        </r>
      </text>
    </comment>
    <comment ref="D278" authorId="127" shapeId="0">
      <text>
        <r>
          <rPr>
            <b/>
            <sz val="9"/>
            <rFont val="Tahoma"/>
          </rPr>
          <t>Jana Holíková:</t>
        </r>
        <r>
          <rPr>
            <sz val="9"/>
            <rFont val="Tahoma"/>
          </rPr>
          <t xml:space="preserve">
23624/10 -3.000
</t>
        </r>
      </text>
    </comment>
    <comment ref="D279" authorId="128" shapeId="0">
      <text>
        <r>
          <rPr>
            <b/>
            <sz val="9"/>
            <rFont val="Tahoma"/>
          </rPr>
          <t>Jana Holíková:</t>
        </r>
        <r>
          <rPr>
            <sz val="9"/>
            <rFont val="Tahoma"/>
          </rPr>
          <t xml:space="preserve">
23671/12 +114.240
</t>
        </r>
      </text>
    </comment>
    <comment ref="D280" authorId="129" shapeId="0">
      <text>
        <r>
          <rPr>
            <b/>
            <sz val="9"/>
            <rFont val="Tahoma"/>
          </rPr>
          <t>Jana Holíková:</t>
        </r>
        <r>
          <rPr>
            <sz val="9"/>
            <rFont val="Tahoma"/>
          </rPr>
          <t xml:space="preserve">
23120/08 -76.104,43
23124/08 -103.109,69
23134/09 +76.104,43
23148/10 +100.000
23190/12 +125.000
23671/12 -114.240
</t>
        </r>
      </text>
    </comment>
    <comment ref="D283" authorId="130" shapeId="0">
      <text>
        <r>
          <rPr>
            <b/>
            <sz val="9"/>
            <rFont val="Tahoma"/>
          </rPr>
          <t>Jana Holíková:</t>
        </r>
        <r>
          <rPr>
            <sz val="9"/>
            <rFont val="Tahoma"/>
          </rPr>
          <t xml:space="preserve">
23508/02 +29.498,59
</t>
        </r>
      </text>
    </comment>
    <comment ref="D284" authorId="131" shapeId="0">
      <text>
        <r>
          <rPr>
            <b/>
            <sz val="9"/>
            <rFont val="Tahoma"/>
          </rPr>
          <t>Jana Holíková:</t>
        </r>
        <r>
          <rPr>
            <sz val="9"/>
            <rFont val="Tahoma"/>
          </rPr>
          <t xml:space="preserve">
23508/02 -29.498,59
</t>
        </r>
      </text>
    </comment>
    <comment ref="D285" authorId="132" shapeId="0">
      <text>
        <r>
          <rPr>
            <b/>
            <sz val="9"/>
            <rFont val="Tahoma"/>
          </rPr>
          <t>Jana Holíková:</t>
        </r>
        <r>
          <rPr>
            <sz val="9"/>
            <rFont val="Tahoma"/>
          </rPr>
          <t xml:space="preserve">
23095/06 +1.124
</t>
        </r>
      </text>
    </comment>
    <comment ref="D291" authorId="133" shapeId="0">
      <text>
        <r>
          <rPr>
            <b/>
            <sz val="9"/>
            <rFont val="Tahoma"/>
          </rPr>
          <t>Jana Holíková:</t>
        </r>
        <r>
          <rPr>
            <sz val="9"/>
            <rFont val="Tahoma"/>
          </rPr>
          <t xml:space="preserve">
23633/10 -8.000
23651/11 +15.000
</t>
        </r>
      </text>
    </comment>
    <comment ref="D293" authorId="134" shapeId="0">
      <text>
        <r>
          <rPr>
            <b/>
            <sz val="9"/>
            <rFont val="Tahoma"/>
          </rPr>
          <t>Jana Holíková:</t>
        </r>
        <r>
          <rPr>
            <sz val="9"/>
            <rFont val="Tahoma"/>
          </rPr>
          <t xml:space="preserve">
23651/11 -15.000
</t>
        </r>
      </text>
    </comment>
    <comment ref="D294" authorId="135" shapeId="0">
      <text>
        <r>
          <rPr>
            <b/>
            <sz val="9"/>
            <rFont val="Tahoma"/>
          </rPr>
          <t>Jana Holíková:</t>
        </r>
        <r>
          <rPr>
            <sz val="9"/>
            <rFont val="Tahoma"/>
          </rPr>
          <t xml:space="preserve">
23633/10 +8.000
</t>
        </r>
      </text>
    </comment>
    <comment ref="D302" authorId="136" shapeId="0">
      <text>
        <r>
          <rPr>
            <b/>
            <sz val="9"/>
            <rFont val="Tahoma"/>
          </rPr>
          <t>Jana Holíková:</t>
        </r>
        <r>
          <rPr>
            <sz val="9"/>
            <rFont val="Tahoma"/>
          </rPr>
          <t xml:space="preserve">
23091/06 +274.029,69
23097/06 +220.000 
(a 23115/08)
</t>
        </r>
      </text>
    </comment>
    <comment ref="D303" authorId="137" shapeId="0">
      <text>
        <r>
          <rPr>
            <b/>
            <sz val="9"/>
            <rFont val="Tahoma"/>
          </rPr>
          <t>Jana Holíková:</t>
        </r>
        <r>
          <rPr>
            <sz val="9"/>
            <rFont val="Tahoma"/>
          </rPr>
          <t xml:space="preserve">
23132/09 +200.000
</t>
        </r>
      </text>
    </comment>
    <comment ref="D305" authorId="138" shapeId="0">
      <text>
        <r>
          <rPr>
            <b/>
            <sz val="9"/>
            <rFont val="Tahoma"/>
          </rPr>
          <t>Jana Holíková:</t>
        </r>
        <r>
          <rPr>
            <sz val="9"/>
            <rFont val="Tahoma"/>
          </rPr>
          <t xml:space="preserve">
23123/08 +146.890,31
23124/08 +103.109,69
</t>
        </r>
      </text>
    </comment>
    <comment ref="D306" authorId="139" shapeId="0">
      <text>
        <r>
          <rPr>
            <b/>
            <sz val="9"/>
            <rFont val="Tahoma"/>
          </rPr>
          <t>Jana Holíková:</t>
        </r>
        <r>
          <rPr>
            <sz val="9"/>
            <rFont val="Tahoma"/>
          </rPr>
          <t xml:space="preserve">
23553/05 -179.080
23091/06 -274.029,69
23123/08 -146.890,31
</t>
        </r>
      </text>
    </comment>
    <comment ref="D309" authorId="140" shapeId="0">
      <text>
        <r>
          <rPr>
            <b/>
            <sz val="9"/>
            <rFont val="Tahoma"/>
          </rPr>
          <t>Jana Holíková:</t>
        </r>
        <r>
          <rPr>
            <sz val="9"/>
            <rFont val="Tahoma"/>
          </rPr>
          <t xml:space="preserve">
23553/05 +179.080
</t>
        </r>
      </text>
    </comment>
    <comment ref="D310" authorId="141" shapeId="0">
      <text>
        <r>
          <rPr>
            <b/>
            <sz val="9"/>
            <rFont val="Tahoma"/>
          </rPr>
          <t>Jana Holíková:</t>
        </r>
        <r>
          <rPr>
            <sz val="9"/>
            <rFont val="Tahoma"/>
          </rPr>
          <t xml:space="preserve">
23051/04 +100.000 houpačka Kojetín part.rozp
</t>
        </r>
      </text>
    </comment>
    <comment ref="D312" authorId="142" shapeId="0">
      <text>
        <r>
          <rPr>
            <b/>
            <sz val="9"/>
            <rFont val="Tahoma"/>
          </rPr>
          <t>Jana Holíková:</t>
        </r>
        <r>
          <rPr>
            <sz val="9"/>
            <rFont val="Tahoma"/>
          </rPr>
          <t xml:space="preserve">
23171/11 -48.744
</t>
        </r>
      </text>
    </comment>
    <comment ref="D317" authorId="143" shapeId="0">
      <text>
        <r>
          <rPr>
            <b/>
            <sz val="9"/>
            <rFont val="Tahoma"/>
          </rPr>
          <t>Jana Holíková:</t>
        </r>
        <r>
          <rPr>
            <sz val="9"/>
            <rFont val="Tahoma"/>
          </rPr>
          <t xml:space="preserve">
23025/02 -43.923
</t>
        </r>
      </text>
    </comment>
    <comment ref="D319" authorId="144" shapeId="0">
      <text>
        <r>
          <rPr>
            <b/>
            <sz val="9"/>
            <rFont val="Tahoma"/>
          </rPr>
          <t>Jana Holíková:</t>
        </r>
        <r>
          <rPr>
            <sz val="9"/>
            <rFont val="Tahoma"/>
          </rPr>
          <t xml:space="preserve">
23184/11 -300.000
</t>
        </r>
      </text>
    </comment>
    <comment ref="D321" authorId="145" shapeId="0">
      <text>
        <r>
          <rPr>
            <b/>
            <sz val="9"/>
            <rFont val="Tahoma"/>
          </rPr>
          <t>Jana Holíková:</t>
        </r>
        <r>
          <rPr>
            <sz val="9"/>
            <rFont val="Tahoma"/>
          </rPr>
          <t xml:space="preserve">
23171/11 -350.000
</t>
        </r>
      </text>
    </comment>
    <comment ref="D324" authorId="146" shapeId="0">
      <text>
        <r>
          <rPr>
            <b/>
            <sz val="9"/>
            <rFont val="Tahoma"/>
          </rPr>
          <t>Jana Holíková:</t>
        </r>
        <r>
          <rPr>
            <sz val="9"/>
            <rFont val="Tahoma"/>
          </rPr>
          <t xml:space="preserve">
23095/06 +1.858
</t>
        </r>
      </text>
    </comment>
    <comment ref="D327" authorId="147" shapeId="0">
      <text>
        <r>
          <rPr>
            <b/>
            <sz val="9"/>
            <rFont val="Tahoma"/>
          </rPr>
          <t>Jana Holíková:</t>
        </r>
        <r>
          <rPr>
            <sz val="9"/>
            <rFont val="Tahoma"/>
          </rPr>
          <t xml:space="preserve">
23514/02 +70.301
</t>
        </r>
      </text>
    </comment>
    <comment ref="D328" authorId="148" shapeId="0">
      <text>
        <r>
          <rPr>
            <b/>
            <sz val="9"/>
            <rFont val="Tahoma"/>
          </rPr>
          <t>Jana Holíková:</t>
        </r>
        <r>
          <rPr>
            <sz val="9"/>
            <rFont val="Tahoma"/>
          </rPr>
          <t xml:space="preserve">
23514/02 +26257
</t>
        </r>
      </text>
    </comment>
    <comment ref="D329" authorId="149" shapeId="0">
      <text>
        <r>
          <rPr>
            <b/>
            <sz val="9"/>
            <rFont val="Tahoma"/>
          </rPr>
          <t>Jana Holíková:</t>
        </r>
        <r>
          <rPr>
            <sz val="9"/>
            <rFont val="Tahoma"/>
          </rPr>
          <t xml:space="preserve">
23184/11
</t>
        </r>
      </text>
    </comment>
    <comment ref="D331" authorId="150" shapeId="0">
      <text>
        <r>
          <rPr>
            <b/>
            <sz val="9"/>
            <rFont val="Tahoma"/>
          </rPr>
          <t>Jana Holíková:</t>
        </r>
        <r>
          <rPr>
            <sz val="9"/>
            <rFont val="Tahoma"/>
          </rPr>
          <t xml:space="preserve">
23514/02 -124.482
23184/11 -400.000
</t>
        </r>
      </text>
    </comment>
    <comment ref="D332" authorId="151" shapeId="0">
      <text>
        <r>
          <rPr>
            <b/>
            <sz val="9"/>
            <rFont val="Tahoma"/>
          </rPr>
          <t>Jana Holíková:</t>
        </r>
        <r>
          <rPr>
            <sz val="9"/>
            <rFont val="Tahoma"/>
          </rPr>
          <t xml:space="preserve">
23514/02 +27.924
</t>
        </r>
      </text>
    </comment>
    <comment ref="D334" authorId="152" shapeId="0">
      <text>
        <r>
          <rPr>
            <b/>
            <sz val="9"/>
            <rFont val="Tahoma"/>
          </rPr>
          <t>Jana Holíková:</t>
        </r>
        <r>
          <rPr>
            <sz val="9"/>
            <rFont val="Tahoma"/>
          </rPr>
          <t xml:space="preserve">
23184/11 -900.000
</t>
        </r>
      </text>
    </comment>
    <comment ref="D337" authorId="153" shapeId="0">
      <text>
        <r>
          <rPr>
            <b/>
            <sz val="9"/>
            <rFont val="Tahoma"/>
          </rPr>
          <t>Jana Holíková:</t>
        </r>
        <r>
          <rPr>
            <sz val="9"/>
            <rFont val="Tahoma"/>
          </rPr>
          <t xml:space="preserve">
23008/01 +33.698
23173/11 -370.088
</t>
        </r>
      </text>
    </comment>
    <comment ref="D338" authorId="154" shapeId="0">
      <text>
        <r>
          <rPr>
            <b/>
            <sz val="9"/>
            <rFont val="Tahoma"/>
          </rPr>
          <t>Jana Holíková:</t>
        </r>
        <r>
          <rPr>
            <sz val="9"/>
            <rFont val="Tahoma"/>
          </rPr>
          <t xml:space="preserve">
23171/11 -600.000
</t>
        </r>
      </text>
    </comment>
    <comment ref="D339" authorId="155" shapeId="0">
      <text>
        <r>
          <rPr>
            <b/>
            <sz val="9"/>
            <rFont val="Tahoma"/>
          </rPr>
          <t>Jana Holíková:</t>
        </r>
        <r>
          <rPr>
            <sz val="9"/>
            <rFont val="Tahoma"/>
          </rPr>
          <t xml:space="preserve">
23171/11 -10.163
</t>
        </r>
      </text>
    </comment>
    <comment ref="D347" authorId="156" shapeId="0">
      <text/>
    </comment>
    <comment ref="D348" authorId="157" shapeId="0">
      <text>
        <r>
          <rPr>
            <b/>
            <sz val="9"/>
            <rFont val="Tahoma"/>
          </rPr>
          <t>Jana Holíková:</t>
        </r>
        <r>
          <rPr>
            <sz val="9"/>
            <rFont val="Tahoma"/>
          </rPr>
          <t xml:space="preserve">
23095/06 +29.008
23132/09 +200.000
(part.rozp. lavičky Hückelovy vily)
</t>
        </r>
      </text>
    </comment>
    <comment ref="D353" authorId="158" shapeId="0">
      <text>
        <r>
          <rPr>
            <b/>
            <sz val="9"/>
            <rFont val="Tahoma"/>
          </rPr>
          <t>Jana Holíková:</t>
        </r>
        <r>
          <rPr>
            <sz val="9"/>
            <rFont val="Tahoma"/>
          </rPr>
          <t xml:space="preserve">
23098/07 -1.000.000
</t>
        </r>
      </text>
    </comment>
    <comment ref="D355" authorId="159" shapeId="0">
      <text>
        <r>
          <rPr>
            <b/>
            <sz val="9"/>
            <rFont val="Tahoma"/>
          </rPr>
          <t>Jana Holíková:</t>
        </r>
        <r>
          <rPr>
            <sz val="9"/>
            <rFont val="Tahoma"/>
          </rPr>
          <t xml:space="preserve">
23098/07 -1.000.000
23138/10 -100.000
23140/10 -400.000
</t>
        </r>
      </text>
    </comment>
    <comment ref="D356" authorId="160" shapeId="0">
      <text>
        <r>
          <rPr>
            <b/>
            <sz val="9"/>
            <rFont val="Tahoma"/>
          </rPr>
          <t>Jana Holíková:</t>
        </r>
        <r>
          <rPr>
            <sz val="9"/>
            <rFont val="Tahoma"/>
          </rPr>
          <t xml:space="preserve">
23098/07 -1.000.000
</t>
        </r>
      </text>
    </comment>
    <comment ref="D357" authorId="161" shapeId="0">
      <text>
        <r>
          <rPr>
            <b/>
            <sz val="9"/>
            <rFont val="Tahoma"/>
          </rPr>
          <t>Jana Holíková:</t>
        </r>
        <r>
          <rPr>
            <sz val="9"/>
            <rFont val="Tahoma"/>
          </rPr>
          <t xml:space="preserve">
23138/10 -200.000
</t>
        </r>
      </text>
    </comment>
    <comment ref="D358" authorId="162" shapeId="0">
      <text>
        <r>
          <rPr>
            <b/>
            <sz val="9"/>
            <rFont val="Tahoma"/>
          </rPr>
          <t>Jana Holíková:</t>
        </r>
        <r>
          <rPr>
            <sz val="9"/>
            <rFont val="Tahoma"/>
          </rPr>
          <t xml:space="preserve">
23098/07 -280.000
23594/07 +10.000
</t>
        </r>
      </text>
    </comment>
    <comment ref="D359" authorId="163" shapeId="0">
      <text>
        <r>
          <rPr>
            <b/>
            <sz val="9"/>
            <rFont val="Tahoma"/>
          </rPr>
          <t>Jana Holíková:</t>
        </r>
        <r>
          <rPr>
            <sz val="9"/>
            <rFont val="Tahoma"/>
          </rPr>
          <t xml:space="preserve">
23594/07 -10.000
</t>
        </r>
      </text>
    </comment>
    <comment ref="D364" authorId="164" shapeId="0">
      <text>
        <r>
          <rPr>
            <b/>
            <sz val="9"/>
            <rFont val="Tahoma"/>
          </rPr>
          <t>Jana Holíková:</t>
        </r>
        <r>
          <rPr>
            <sz val="9"/>
            <rFont val="Tahoma"/>
          </rPr>
          <t xml:space="preserve">
23520/02 -13.500
23049/03 
+700.000 +1.250.000
23138/10 -1.800.000
</t>
        </r>
      </text>
    </comment>
    <comment ref="D368" authorId="165" shapeId="0">
      <text>
        <r>
          <rPr>
            <b/>
            <sz val="9"/>
            <rFont val="Tahoma"/>
          </rPr>
          <t>Jana Holíková:</t>
        </r>
        <r>
          <rPr>
            <sz val="9"/>
            <rFont val="Tahoma"/>
          </rPr>
          <t xml:space="preserve">
23520/02 +13.500
</t>
        </r>
      </text>
    </comment>
    <comment ref="D369" authorId="166" shapeId="0">
      <text>
        <r>
          <rPr>
            <b/>
            <sz val="9"/>
            <rFont val="Tahoma"/>
          </rPr>
          <t>Jana Holíková:</t>
        </r>
        <r>
          <rPr>
            <sz val="9"/>
            <rFont val="Tahoma"/>
          </rPr>
          <t xml:space="preserve">
23569/06 +200.000
</t>
        </r>
      </text>
    </comment>
    <comment ref="D371" authorId="167" shapeId="0">
      <text>
        <r>
          <rPr>
            <b/>
            <sz val="9"/>
            <rFont val="Tahoma"/>
          </rPr>
          <t>Jana Holíková:</t>
        </r>
        <r>
          <rPr>
            <sz val="9"/>
            <rFont val="Tahoma"/>
          </rPr>
          <t xml:space="preserve">
23569/06 -200.000
23138/10 -2.000.000
</t>
        </r>
      </text>
    </comment>
    <comment ref="D372" authorId="168" shapeId="0">
      <text>
        <r>
          <rPr>
            <b/>
            <sz val="9"/>
            <rFont val="Tahoma"/>
          </rPr>
          <t>Jana Holíková:</t>
        </r>
        <r>
          <rPr>
            <sz val="9"/>
            <rFont val="Tahoma"/>
          </rPr>
          <t xml:space="preserve">
23138/10 -500.000
</t>
        </r>
      </text>
    </comment>
    <comment ref="D373" authorId="169" shapeId="0">
      <text>
        <r>
          <rPr>
            <b/>
            <sz val="9"/>
            <rFont val="Tahoma"/>
          </rPr>
          <t>Jana Holíková:</t>
        </r>
        <r>
          <rPr>
            <sz val="9"/>
            <rFont val="Tahoma"/>
          </rPr>
          <t xml:space="preserve">
23049/03 +500.000
23138/10 -450.000
</t>
        </r>
      </text>
    </comment>
    <comment ref="D374" authorId="170" shapeId="0">
      <text>
        <r>
          <rPr>
            <b/>
            <sz val="9"/>
            <rFont val="Tahoma"/>
          </rPr>
          <t>Jana Holíková:</t>
        </r>
        <r>
          <rPr>
            <sz val="9"/>
            <rFont val="Tahoma"/>
          </rPr>
          <t xml:space="preserve">
23138/10 -230.000
23677/12 +70.000
</t>
        </r>
      </text>
    </comment>
    <comment ref="D375" authorId="171" shapeId="0">
      <text>
        <r>
          <rPr>
            <b/>
            <sz val="9"/>
            <rFont val="Tahoma"/>
          </rPr>
          <t>Jana Holíková:</t>
        </r>
        <r>
          <rPr>
            <sz val="9"/>
            <rFont val="Tahoma"/>
          </rPr>
          <t xml:space="preserve">
23138/10 -2s00.000
23677/12 -70.000
</t>
        </r>
      </text>
    </comment>
    <comment ref="D379" authorId="172" shapeId="0">
      <text>
        <r>
          <rPr>
            <b/>
            <sz val="9"/>
            <rFont val="Tahoma"/>
          </rPr>
          <t>Jana Holíková:</t>
        </r>
        <r>
          <rPr>
            <sz val="9"/>
            <rFont val="Tahoma"/>
          </rPr>
          <t xml:space="preserve">
23573/06 +50.000
</t>
        </r>
      </text>
    </comment>
    <comment ref="D380" authorId="173" shapeId="0">
      <text>
        <r>
          <rPr>
            <b/>
            <sz val="9"/>
            <rFont val="Tahoma"/>
          </rPr>
          <t>Jana Holíková:</t>
        </r>
        <r>
          <rPr>
            <sz val="9"/>
            <rFont val="Tahoma"/>
          </rPr>
          <t xml:space="preserve">
23542/04 -50.000
23573/06 -50.000
</t>
        </r>
      </text>
    </comment>
    <comment ref="D381" authorId="174" shapeId="0">
      <text>
        <r>
          <rPr>
            <b/>
            <sz val="9"/>
            <rFont val="Tahoma"/>
          </rPr>
          <t>Jana Holíková:</t>
        </r>
        <r>
          <rPr>
            <sz val="9"/>
            <rFont val="Tahoma"/>
          </rPr>
          <t xml:space="preserve">
23588/07 +500.000
</t>
        </r>
      </text>
    </comment>
    <comment ref="D382" authorId="175" shapeId="0">
      <text>
        <r>
          <rPr>
            <b/>
            <sz val="9"/>
            <rFont val="Tahoma"/>
          </rPr>
          <t>Jana Holíková:</t>
        </r>
        <r>
          <rPr>
            <sz val="9"/>
            <rFont val="Tahoma"/>
          </rPr>
          <t xml:space="preserve">
23542/04 +50.000
23585/07 +660.000
</t>
        </r>
      </text>
    </comment>
    <comment ref="D384" authorId="176" shapeId="0">
      <text>
        <r>
          <rPr>
            <b/>
            <sz val="9"/>
            <rFont val="Tahoma"/>
          </rPr>
          <t>Jana Holíková:</t>
        </r>
        <r>
          <rPr>
            <sz val="9"/>
            <rFont val="Tahoma"/>
          </rPr>
          <t xml:space="preserve">
23138/10 -730.000
</t>
        </r>
      </text>
    </comment>
    <comment ref="D385" authorId="177" shapeId="0">
      <text>
        <r>
          <rPr>
            <b/>
            <sz val="9"/>
            <rFont val="Tahoma"/>
          </rPr>
          <t>Jana Holíková:</t>
        </r>
        <r>
          <rPr>
            <sz val="9"/>
            <rFont val="Tahoma"/>
          </rPr>
          <t xml:space="preserve">
23004/01 +2.500.000
23138/10 -300.000
</t>
        </r>
      </text>
    </comment>
    <comment ref="D387" authorId="178" shapeId="0">
      <text>
        <r>
          <rPr>
            <b/>
            <sz val="9"/>
            <rFont val="Tahoma"/>
          </rPr>
          <t>Jana Holíková:</t>
        </r>
        <r>
          <rPr>
            <sz val="9"/>
            <rFont val="Tahoma"/>
          </rPr>
          <t xml:space="preserve">
23138/10 -550.000
</t>
        </r>
      </text>
    </comment>
    <comment ref="D392" authorId="179" shapeId="0">
      <text>
        <r>
          <rPr>
            <b/>
            <sz val="9"/>
            <rFont val="Tahoma"/>
          </rPr>
          <t>Jana Holíková:</t>
        </r>
        <r>
          <rPr>
            <sz val="9"/>
            <rFont val="Tahoma"/>
          </rPr>
          <t xml:space="preserve">
23151/11 -700.000
</t>
        </r>
      </text>
    </comment>
    <comment ref="D393" authorId="180" shapeId="0">
      <text>
        <r>
          <rPr>
            <b/>
            <sz val="9"/>
            <rFont val="Tahoma"/>
          </rPr>
          <t>Jana Holíková:</t>
        </r>
        <r>
          <rPr>
            <sz val="9"/>
            <rFont val="Tahoma"/>
          </rPr>
          <t xml:space="preserve">
23138/10 -450.000 
</t>
        </r>
      </text>
    </comment>
    <comment ref="D394" authorId="181" shapeId="0">
      <text>
        <r>
          <rPr>
            <b/>
            <sz val="9"/>
            <rFont val="Tahoma"/>
          </rPr>
          <t>Jana Holíková:</t>
        </r>
        <r>
          <rPr>
            <sz val="9"/>
            <rFont val="Tahoma"/>
          </rPr>
          <t xml:space="preserve">
23138/10 -800.000
</t>
        </r>
      </text>
    </comment>
    <comment ref="D395" authorId="182" shapeId="0">
      <text>
        <r>
          <rPr>
            <b/>
            <sz val="9"/>
            <rFont val="Tahoma"/>
          </rPr>
          <t>Jana Holíková:</t>
        </r>
        <r>
          <rPr>
            <sz val="9"/>
            <rFont val="Tahoma"/>
          </rPr>
          <t xml:space="preserve">
23111/07 -81.550,55
23588/07 -500.000
23138/10 -310000
</t>
        </r>
      </text>
    </comment>
    <comment ref="D401" authorId="183" shapeId="0">
      <text>
        <r>
          <rPr>
            <b/>
            <sz val="9"/>
            <rFont val="Tahoma"/>
          </rPr>
          <t>Jana Holíková:</t>
        </r>
        <r>
          <rPr>
            <sz val="9"/>
            <rFont val="Tahoma"/>
          </rPr>
          <t xml:space="preserve">
23088 +22.018 úz611
</t>
        </r>
      </text>
    </comment>
    <comment ref="D402" authorId="184" shapeId="0">
      <text>
        <r>
          <rPr>
            <b/>
            <sz val="9"/>
            <rFont val="Tahoma"/>
          </rPr>
          <t>Jana Holíková:</t>
        </r>
        <r>
          <rPr>
            <sz val="9"/>
            <rFont val="Tahoma"/>
          </rPr>
          <t xml:space="preserve">
23521/03 +-117.833 dozn úz 610
23138/10 -500.000
</t>
        </r>
      </text>
    </comment>
    <comment ref="D403" authorId="185" shapeId="0">
      <text>
        <r>
          <rPr>
            <b/>
            <sz val="9"/>
            <rFont val="Tahoma"/>
          </rPr>
          <t>Jana Holíková:</t>
        </r>
        <r>
          <rPr>
            <sz val="9"/>
            <rFont val="Tahoma"/>
          </rPr>
          <t xml:space="preserve">
23138/10 -750.000
</t>
        </r>
      </text>
    </comment>
    <comment ref="D405" authorId="186" shapeId="0">
      <text>
        <r>
          <rPr>
            <b/>
            <sz val="9"/>
            <rFont val="Tahoma"/>
          </rPr>
          <t>Jana Holíková:</t>
        </r>
        <r>
          <rPr>
            <sz val="9"/>
            <rFont val="Tahoma"/>
          </rPr>
          <t xml:space="preserve">
23138/10 -780.000
</t>
        </r>
      </text>
    </comment>
    <comment ref="D406" authorId="187" shapeId="0">
      <text>
        <r>
          <rPr>
            <b/>
            <sz val="9"/>
            <rFont val="Tahoma"/>
          </rPr>
          <t>Jana Holíková:</t>
        </r>
        <r>
          <rPr>
            <sz val="9"/>
            <rFont val="Tahoma"/>
          </rPr>
          <t xml:space="preserve">
23012/02 +13.000 úz612
</t>
        </r>
      </text>
    </comment>
    <comment ref="D408" authorId="188" shapeId="0">
      <text>
        <r>
          <rPr>
            <b/>
            <sz val="9"/>
            <rFont val="Tahoma"/>
          </rPr>
          <t>Jana Holíková:</t>
        </r>
        <r>
          <rPr>
            <sz val="9"/>
            <rFont val="Tahoma"/>
          </rPr>
          <t xml:space="preserve">
23598/07 -1.000.000
23109/07 -7.500.000
23110/07 -100.000
-660.000
</t>
        </r>
      </text>
    </comment>
    <comment ref="D413" authorId="189" shapeId="0">
      <text>
        <r>
          <rPr>
            <b/>
            <sz val="9"/>
            <rFont val="Tahoma"/>
          </rPr>
          <t>Jana Holíková:</t>
        </r>
        <r>
          <rPr>
            <sz val="9"/>
            <rFont val="Tahoma"/>
          </rPr>
          <t xml:space="preserve">
23110/07 +100.000
</t>
        </r>
      </text>
    </comment>
    <comment ref="D416" authorId="190" shapeId="0">
      <text>
        <r>
          <rPr>
            <b/>
            <sz val="9"/>
            <rFont val="Tahoma"/>
          </rPr>
          <t>Jana Holíková:</t>
        </r>
        <r>
          <rPr>
            <sz val="9"/>
            <rFont val="Tahoma"/>
          </rPr>
          <t xml:space="preserve">
23601/08 -520.000
</t>
        </r>
      </text>
    </comment>
    <comment ref="D418" authorId="191" shapeId="0">
      <text>
        <r>
          <rPr>
            <b/>
            <sz val="9"/>
            <rFont val="Tahoma"/>
          </rPr>
          <t>Jana Holíková:</t>
        </r>
        <r>
          <rPr>
            <sz val="9"/>
            <rFont val="Tahoma"/>
          </rPr>
          <t xml:space="preserve">
23543/04 +4.635.000
23601/08 +520.000
</t>
        </r>
      </text>
    </comment>
    <comment ref="D419" authorId="192" shapeId="0">
      <text>
        <r>
          <rPr>
            <b/>
            <sz val="9"/>
            <rFont val="Tahoma"/>
          </rPr>
          <t>Jana Holíková:</t>
        </r>
        <r>
          <rPr>
            <sz val="9"/>
            <rFont val="Tahoma"/>
          </rPr>
          <t xml:space="preserve">
23543/04 -4.635.000
</t>
        </r>
      </text>
    </comment>
    <comment ref="D422" authorId="193" shapeId="0">
      <text>
        <r>
          <rPr>
            <b/>
            <sz val="9"/>
            <rFont val="Tahoma"/>
          </rPr>
          <t>Jana Holíková:</t>
        </r>
        <r>
          <rPr>
            <sz val="9"/>
            <rFont val="Tahoma"/>
          </rPr>
          <t xml:space="preserve">
23548/05 
+150.000 +80.000
23596/08 +200.000
</t>
        </r>
      </text>
    </comment>
    <comment ref="D423" authorId="194" shapeId="0">
      <text>
        <r>
          <rPr>
            <b/>
            <sz val="9"/>
            <rFont val="Tahoma"/>
          </rPr>
          <t>Jana Holíková:</t>
        </r>
        <r>
          <rPr>
            <sz val="9"/>
            <rFont val="Tahoma"/>
          </rPr>
          <t xml:space="preserve">
23596/08 -200.000
23141/10 -100.000
</t>
        </r>
      </text>
    </comment>
    <comment ref="D424" authorId="195" shapeId="0">
      <text>
        <r>
          <rPr>
            <b/>
            <sz val="9"/>
            <rFont val="Tahoma"/>
          </rPr>
          <t>Jana Holíková:</t>
        </r>
        <r>
          <rPr>
            <sz val="9"/>
            <rFont val="Tahoma"/>
          </rPr>
          <t xml:space="preserve">
23070/05 -1.700.000
</t>
        </r>
      </text>
    </comment>
    <comment ref="D425" authorId="196" shapeId="0">
      <text>
        <r>
          <rPr>
            <b/>
            <sz val="9"/>
            <rFont val="Tahoma"/>
          </rPr>
          <t>Jana Holíková:</t>
        </r>
        <r>
          <rPr>
            <sz val="9"/>
            <rFont val="Tahoma"/>
          </rPr>
          <t xml:space="preserve">
23021/02 -14.000.000
23548/05 -230.000
</t>
        </r>
      </text>
    </comment>
    <comment ref="D431" authorId="197" shapeId="0">
      <text>
        <r>
          <rPr>
            <b/>
            <sz val="9"/>
            <rFont val="Tahoma"/>
          </rPr>
          <t>Jana Holíková:</t>
        </r>
        <r>
          <rPr>
            <sz val="9"/>
            <rFont val="Tahoma"/>
          </rPr>
          <t xml:space="preserve">
23098/07 -1.000.000
</t>
        </r>
      </text>
    </comment>
    <comment ref="D435" authorId="198" shapeId="0">
      <text>
        <r>
          <rPr>
            <b/>
            <sz val="9"/>
            <rFont val="Tahoma"/>
          </rPr>
          <t>Jana Holíková:</t>
        </r>
        <r>
          <rPr>
            <sz val="9"/>
            <rFont val="Tahoma"/>
          </rPr>
          <t xml:space="preserve">
23679/12 +16.000
</t>
        </r>
      </text>
    </comment>
    <comment ref="D436" authorId="199" shapeId="0">
      <text>
        <r>
          <rPr>
            <b/>
            <sz val="9"/>
            <rFont val="Tahoma"/>
          </rPr>
          <t>Jana Holíková:</t>
        </r>
        <r>
          <rPr>
            <sz val="9"/>
            <rFont val="Tahoma"/>
          </rPr>
          <t xml:space="preserve">
23023/02 -153.307 part.rozp-psí hř
23051/04 -100.000 part.rozp Houpačka Kojetín
23604/08 +-184.827,50
23132/09 -400.000 part.rozp-
(200t. Rodinné hřiště TJ Sokol Lamberk+200t Lavičky Hückelovy vily) 
23138/10 -1.000.000 studie
23679/12 -16.000
</t>
        </r>
      </text>
    </comment>
    <comment ref="D440" authorId="200" shapeId="0">
      <text>
        <r>
          <rPr>
            <b/>
            <sz val="9"/>
            <rFont val="Tahoma"/>
          </rPr>
          <t>Jana Holíková:</t>
        </r>
        <r>
          <rPr>
            <sz val="9"/>
            <rFont val="Tahoma"/>
          </rPr>
          <t xml:space="preserve">
23098/07 -6.900.000
</t>
        </r>
      </text>
    </comment>
    <comment ref="D442" authorId="201" shapeId="0">
      <text>
        <r>
          <rPr>
            <b/>
            <sz val="9"/>
            <rFont val="Tahoma"/>
          </rPr>
          <t>Jana Holíková:</t>
        </r>
        <r>
          <rPr>
            <sz val="9"/>
            <rFont val="Tahoma"/>
          </rPr>
          <t xml:space="preserve">
23098/07 -2.000.000
</t>
        </r>
      </text>
    </comment>
    <comment ref="D447" authorId="202" shapeId="0">
      <text>
        <r>
          <rPr>
            <b/>
            <sz val="9"/>
            <rFont val="Tahoma"/>
          </rPr>
          <t>Jana Holíková:</t>
        </r>
        <r>
          <rPr>
            <sz val="9"/>
            <rFont val="Tahoma"/>
          </rPr>
          <t xml:space="preserve">
23554/05 +500.000
23131/09 +-500.000
(dopl. Úz 34054)
</t>
        </r>
      </text>
    </comment>
    <comment ref="D448" authorId="203" shapeId="0">
      <text>
        <r>
          <rPr>
            <b/>
            <sz val="9"/>
            <rFont val="Tahoma"/>
          </rPr>
          <t>Jana Holíková:</t>
        </r>
        <r>
          <rPr>
            <sz val="9"/>
            <rFont val="Tahoma"/>
          </rPr>
          <t xml:space="preserve">
23606/09 -150.000
</t>
        </r>
      </text>
    </comment>
    <comment ref="D449" authorId="204" shapeId="0">
      <text>
        <r>
          <rPr>
            <b/>
            <sz val="9"/>
            <rFont val="Tahoma"/>
          </rPr>
          <t>Jana Holíková:</t>
        </r>
        <r>
          <rPr>
            <sz val="9"/>
            <rFont val="Tahoma"/>
          </rPr>
          <t xml:space="preserve">
23554/05 -500.000
23606/09 +150.000
</t>
        </r>
      </text>
    </comment>
    <comment ref="D454" authorId="205" shapeId="0">
      <text>
        <r>
          <rPr>
            <b/>
            <sz val="9"/>
            <rFont val="Tahoma"/>
          </rPr>
          <t>Jana Holíková:</t>
        </r>
        <r>
          <rPr>
            <sz val="9"/>
            <rFont val="Tahoma"/>
          </rPr>
          <t xml:space="preserve">
23140/10 +400.000
</t>
        </r>
      </text>
    </comment>
    <comment ref="D460" authorId="206" shapeId="0">
      <text>
        <r>
          <rPr>
            <b/>
            <sz val="9"/>
            <rFont val="Tahoma"/>
          </rPr>
          <t>Jana Holíková:</t>
        </r>
        <r>
          <rPr>
            <sz val="9"/>
            <rFont val="Tahoma"/>
          </rPr>
          <t xml:space="preserve">
23089/07 -1.000.000
</t>
        </r>
      </text>
    </comment>
    <comment ref="D463" authorId="207" shapeId="0">
      <text>
        <r>
          <rPr>
            <b/>
            <sz val="9"/>
            <rFont val="Tahoma"/>
          </rPr>
          <t>Jana Holíková:</t>
        </r>
        <r>
          <rPr>
            <sz val="9"/>
            <rFont val="Tahoma"/>
          </rPr>
          <t xml:space="preserve">
23045/03 +1.500.000
</t>
        </r>
      </text>
    </comment>
    <comment ref="D465" authorId="208" shapeId="0">
      <text>
        <r>
          <rPr>
            <b/>
            <sz val="9"/>
            <rFont val="Tahoma"/>
          </rPr>
          <t>Jana Holíková:</t>
        </r>
        <r>
          <rPr>
            <sz val="9"/>
            <rFont val="Tahoma"/>
          </rPr>
          <t xml:space="preserve">
23537/04 +-400.000 org
</t>
        </r>
      </text>
    </comment>
    <comment ref="D469" authorId="209" shapeId="0">
      <text>
        <r>
          <rPr>
            <b/>
            <sz val="9"/>
            <rFont val="Tahoma"/>
          </rPr>
          <t>Jana Holíková:</t>
        </r>
        <r>
          <rPr>
            <sz val="9"/>
            <rFont val="Tahoma"/>
          </rPr>
          <t xml:space="preserve">
23024/02 +1.500.000
</t>
        </r>
      </text>
    </comment>
    <comment ref="D470" authorId="210" shapeId="0">
      <text>
        <r>
          <rPr>
            <b/>
            <sz val="9"/>
            <rFont val="Tahoma"/>
          </rPr>
          <t>Jana Holíková:</t>
        </r>
        <r>
          <rPr>
            <sz val="9"/>
            <rFont val="Tahoma"/>
          </rPr>
          <t xml:space="preserve">
23024/02 +1.200.000
</t>
        </r>
      </text>
    </comment>
    <comment ref="D472" authorId="211" shapeId="0">
      <text>
        <r>
          <rPr>
            <b/>
            <sz val="9"/>
            <rFont val="Tahoma"/>
          </rPr>
          <t>Jana Holíková:</t>
        </r>
        <r>
          <rPr>
            <sz val="9"/>
            <rFont val="Tahoma"/>
          </rPr>
          <t xml:space="preserve">
23098/07 -2.000.000
23610/09 - 500.000
</t>
        </r>
      </text>
    </comment>
    <comment ref="D473" authorId="212" shapeId="0">
      <text>
        <r>
          <rPr>
            <b/>
            <sz val="9"/>
            <rFont val="Tahoma"/>
          </rPr>
          <t>Jana Holíková:</t>
        </r>
        <r>
          <rPr>
            <sz val="9"/>
            <rFont val="Tahoma"/>
          </rPr>
          <t xml:space="preserve">
23610/09 -230.000
</t>
        </r>
      </text>
    </comment>
    <comment ref="D474" authorId="213" shapeId="0">
      <text>
        <r>
          <rPr>
            <b/>
            <sz val="9"/>
            <rFont val="Tahoma"/>
          </rPr>
          <t>Jana Holíková:</t>
        </r>
        <r>
          <rPr>
            <sz val="9"/>
            <rFont val="Tahoma"/>
          </rPr>
          <t xml:space="preserve">
23098/07 -1.100.000
</t>
        </r>
      </text>
    </comment>
    <comment ref="D475" authorId="214" shapeId="0">
      <text>
        <r>
          <rPr>
            <b/>
            <sz val="9"/>
            <rFont val="Tahoma"/>
          </rPr>
          <t>Jana Holíková:</t>
        </r>
        <r>
          <rPr>
            <sz val="9"/>
            <rFont val="Tahoma"/>
          </rPr>
          <t xml:space="preserve">
23098/07 -550.000
</t>
        </r>
      </text>
    </comment>
    <comment ref="D476" authorId="215" shapeId="0">
      <text>
        <r>
          <rPr>
            <b/>
            <sz val="9"/>
            <rFont val="Tahoma"/>
          </rPr>
          <t>Jana Holíková:</t>
        </r>
        <r>
          <rPr>
            <sz val="9"/>
            <rFont val="Tahoma"/>
          </rPr>
          <t xml:space="preserve">
23026/02 +1.700.000
23610/09 -  258.000
</t>
        </r>
      </text>
    </comment>
    <comment ref="D477" authorId="216" shapeId="0">
      <text>
        <r>
          <rPr>
            <b/>
            <sz val="9"/>
            <rFont val="Tahoma"/>
          </rPr>
          <t>Jana Holíková:</t>
        </r>
        <r>
          <rPr>
            <sz val="9"/>
            <rFont val="Tahoma"/>
          </rPr>
          <t xml:space="preserve">
23024/02 +4.000.000
23610/09 +988.000
</t>
        </r>
      </text>
    </comment>
    <comment ref="D479" authorId="217" shapeId="0">
      <text>
        <r>
          <rPr>
            <b/>
            <sz val="9"/>
            <rFont val="Tahoma"/>
          </rPr>
          <t>Jana Holíková:</t>
        </r>
        <r>
          <rPr>
            <sz val="9"/>
            <rFont val="Tahoma"/>
          </rPr>
          <t xml:space="preserve">
23551/05 -1.300.000
23098/07 -1.500.000
23138/10 -800.000
</t>
        </r>
      </text>
    </comment>
    <comment ref="D481" authorId="218" shapeId="0">
      <text>
        <r>
          <rPr>
            <b/>
            <sz val="9"/>
            <rFont val="Tahoma"/>
          </rPr>
          <t>Jana Holíková:</t>
        </r>
        <r>
          <rPr>
            <sz val="9"/>
            <rFont val="Tahoma"/>
          </rPr>
          <t xml:space="preserve">
23524/03 -1.300.000
23551/05 +1.300.000
</t>
        </r>
      </text>
    </comment>
    <comment ref="D483" authorId="219" shapeId="0">
      <text>
        <r>
          <rPr>
            <b/>
            <sz val="9"/>
            <rFont val="Tahoma"/>
          </rPr>
          <t>Jana Holíková:</t>
        </r>
        <r>
          <rPr>
            <sz val="9"/>
            <rFont val="Tahoma"/>
          </rPr>
          <t xml:space="preserve">
23098/07 -1.500.000
23138/10 -450.000
</t>
        </r>
      </text>
    </comment>
    <comment ref="D484" authorId="220" shapeId="0">
      <text>
        <r>
          <rPr>
            <b/>
            <sz val="9"/>
            <rFont val="Tahoma"/>
          </rPr>
          <t>Jana Holíková:</t>
        </r>
        <r>
          <rPr>
            <sz val="9"/>
            <rFont val="Tahoma"/>
          </rPr>
          <t xml:space="preserve">
23098/07 -1.500.000
23138/10 -480.000
</t>
        </r>
      </text>
    </comment>
    <comment ref="D485" authorId="221" shapeId="0">
      <text>
        <r>
          <rPr>
            <b/>
            <sz val="9"/>
            <rFont val="Tahoma"/>
          </rPr>
          <t>Jana Holíková:</t>
        </r>
        <r>
          <rPr>
            <sz val="9"/>
            <rFont val="Tahoma"/>
          </rPr>
          <t xml:space="preserve">
23523/03 -40.000
23138/10 -2.000.000
</t>
        </r>
      </text>
    </comment>
    <comment ref="D486" authorId="222" shapeId="0">
      <text>
        <r>
          <rPr>
            <b/>
            <sz val="9"/>
            <rFont val="Tahoma"/>
          </rPr>
          <t>Jana Holíková:</t>
        </r>
        <r>
          <rPr>
            <sz val="9"/>
            <rFont val="Tahoma"/>
          </rPr>
          <t xml:space="preserve">
23524/03 +1.300.000
23138/10 -200.000
</t>
        </r>
      </text>
    </comment>
    <comment ref="D487" authorId="223" shapeId="0">
      <text>
        <r>
          <rPr>
            <b/>
            <sz val="9"/>
            <rFont val="Tahoma"/>
          </rPr>
          <t>Jana Holíková:</t>
        </r>
        <r>
          <rPr>
            <sz val="9"/>
            <rFont val="Tahoma"/>
          </rPr>
          <t xml:space="preserve">
23523/03 +40.000
</t>
        </r>
      </text>
    </comment>
    <comment ref="D494" authorId="224" shapeId="0">
      <text>
        <r>
          <rPr>
            <b/>
            <sz val="9"/>
            <rFont val="Tahoma"/>
          </rPr>
          <t>Jana Holíková:</t>
        </r>
        <r>
          <rPr>
            <sz val="9"/>
            <rFont val="Tahoma"/>
          </rPr>
          <t xml:space="preserve">
23012/02 -13.000
23522/03 +3.000
</t>
        </r>
      </text>
    </comment>
    <comment ref="D495" authorId="225" shapeId="0">
      <text>
        <r>
          <rPr>
            <b/>
            <sz val="9"/>
            <rFont val="Tahoma"/>
          </rPr>
          <t>Jana Holíková:</t>
        </r>
        <r>
          <rPr>
            <sz val="9"/>
            <rFont val="Tahoma"/>
          </rPr>
          <t xml:space="preserve">
23501/01 -20.000
23522/03 -3.000
23535/04 -10.000
</t>
        </r>
      </text>
    </comment>
    <comment ref="D496" authorId="226" shapeId="0">
      <text>
        <r>
          <rPr>
            <b/>
            <sz val="9"/>
            <rFont val="Tahoma"/>
          </rPr>
          <t>Jana Holíková:</t>
        </r>
        <r>
          <rPr>
            <sz val="9"/>
            <rFont val="Tahoma"/>
          </rPr>
          <t xml:space="preserve">
23501/01 +20.000
23535/04 +10.000
23568/06 +50.000
</t>
        </r>
      </text>
    </comment>
    <comment ref="D499" authorId="227" shapeId="0">
      <text>
        <r>
          <rPr>
            <b/>
            <sz val="9"/>
            <rFont val="Tahoma"/>
          </rPr>
          <t>Jana Holíková:</t>
        </r>
        <r>
          <rPr>
            <sz val="9"/>
            <rFont val="Tahoma"/>
          </rPr>
          <t xml:space="preserve">
23012/02 -13.000
23568/06 -50.000
</t>
        </r>
      </text>
    </comment>
    <comment ref="D503" authorId="228" shapeId="0">
      <text>
        <r>
          <rPr>
            <b/>
            <sz val="9"/>
            <rFont val="Tahoma"/>
          </rPr>
          <t>Jana Holíková:</t>
        </r>
        <r>
          <rPr>
            <sz val="9"/>
            <rFont val="Tahoma"/>
          </rPr>
          <t xml:space="preserve">
23109/07 +7.500.000
23138/10 -7.500.000
</t>
        </r>
      </text>
    </comment>
    <comment ref="D504" authorId="229" shapeId="0">
      <text>
        <r>
          <rPr>
            <b/>
            <sz val="9"/>
            <rFont val="Tahoma"/>
          </rPr>
          <t>Jana Holíková:</t>
        </r>
        <r>
          <rPr>
            <sz val="9"/>
            <rFont val="Tahoma"/>
          </rPr>
          <t xml:space="preserve">
23518/02 -20.160
23138/10 -500.000
</t>
        </r>
      </text>
    </comment>
    <comment ref="D505" authorId="230" shapeId="0">
      <text>
        <r>
          <rPr>
            <b/>
            <sz val="9"/>
            <rFont val="Tahoma"/>
          </rPr>
          <t>Jana Holíková:</t>
        </r>
        <r>
          <rPr>
            <sz val="9"/>
            <rFont val="Tahoma"/>
          </rPr>
          <t xml:space="preserve">
23182/11 -500.000
</t>
        </r>
      </text>
    </comment>
    <comment ref="D506" authorId="231" shapeId="0">
      <text>
        <r>
          <rPr>
            <b/>
            <sz val="9"/>
            <rFont val="Tahoma"/>
          </rPr>
          <t>Jana Holíková:</t>
        </r>
        <r>
          <rPr>
            <sz val="9"/>
            <rFont val="Tahoma"/>
          </rPr>
          <t xml:space="preserve">
23516/02 +20.160
</t>
        </r>
      </text>
    </comment>
    <comment ref="D508" authorId="232" shapeId="0">
      <text>
        <r>
          <rPr>
            <b/>
            <sz val="9"/>
            <rFont val="Tahoma"/>
          </rPr>
          <t>Jana Holíková:</t>
        </r>
        <r>
          <rPr>
            <sz val="9"/>
            <rFont val="Tahoma"/>
          </rPr>
          <t xml:space="preserve">
23507/02 -12.000
</t>
        </r>
      </text>
    </comment>
    <comment ref="D509" authorId="233" shapeId="0">
      <text>
        <r>
          <rPr>
            <b/>
            <sz val="9"/>
            <rFont val="Tahoma"/>
          </rPr>
          <t>Jana Holíková:</t>
        </r>
        <r>
          <rPr>
            <sz val="9"/>
            <rFont val="Tahoma"/>
          </rPr>
          <t xml:space="preserve">
23507/02 +12.000
</t>
        </r>
      </text>
    </comment>
    <comment ref="D513" authorId="234" shapeId="0">
      <text>
        <r>
          <rPr>
            <b/>
            <sz val="9"/>
            <rFont val="Tahoma"/>
          </rPr>
          <t>Jana Holíková:</t>
        </r>
        <r>
          <rPr>
            <sz val="9"/>
            <rFont val="Tahoma"/>
          </rPr>
          <t xml:space="preserve">
23137/09 -412.445
</t>
        </r>
      </text>
    </comment>
    <comment ref="D519" authorId="235" shapeId="0">
      <text>
        <r>
          <rPr>
            <b/>
            <sz val="9"/>
            <rFont val="Tahoma"/>
          </rPr>
          <t>Jana Holíková:</t>
        </r>
        <r>
          <rPr>
            <sz val="9"/>
            <rFont val="Tahoma"/>
          </rPr>
          <t xml:space="preserve">
23173/11 -594,97
23179/11 +145.413,26
</t>
        </r>
      </text>
    </comment>
    <comment ref="D520" authorId="236" shapeId="0">
      <text>
        <r>
          <rPr>
            <b/>
            <sz val="9"/>
            <rFont val="Tahoma"/>
          </rPr>
          <t>Jana Holíková:</t>
        </r>
        <r>
          <rPr>
            <sz val="9"/>
            <rFont val="Tahoma"/>
          </rPr>
          <t xml:space="preserve">
23030/02 +70.804,80 +217.373,47
23040/03 +33.700
23055/04 úz 693
+50.000 NIV
+150.000 IV
23056/04 +80.000 úz673 NIV
23191/12 -217.373,47
</t>
        </r>
      </text>
    </comment>
    <comment ref="D521" authorId="237" shapeId="0">
      <text>
        <r>
          <rPr>
            <b/>
            <sz val="9"/>
            <rFont val="Tahoma"/>
          </rPr>
          <t>Jana Holíková:</t>
        </r>
        <r>
          <rPr>
            <sz val="9"/>
            <rFont val="Tahoma"/>
          </rPr>
          <t xml:space="preserve">
23179/11 -145.413,26
</t>
        </r>
      </text>
    </comment>
    <comment ref="D525" authorId="238" shapeId="0">
      <text>
        <r>
          <rPr>
            <b/>
            <sz val="9"/>
            <rFont val="Tahoma"/>
          </rPr>
          <t>Jana Holíková:</t>
        </r>
        <r>
          <rPr>
            <sz val="9"/>
            <rFont val="Tahoma"/>
          </rPr>
          <t xml:space="preserve">
23196/10 +200
</t>
        </r>
      </text>
    </comment>
    <comment ref="D528" authorId="239" shapeId="0">
      <text>
        <r>
          <rPr>
            <b/>
            <sz val="9"/>
            <rFont val="Tahoma"/>
          </rPr>
          <t>Jana Holíková:</t>
        </r>
        <r>
          <rPr>
            <sz val="9"/>
            <rFont val="Tahoma"/>
          </rPr>
          <t xml:space="preserve">
23065/05 +231.000 dorov.2022
dorov -30.000
</t>
        </r>
      </text>
    </comment>
    <comment ref="D529" authorId="240" shapeId="0">
      <text>
        <r>
          <rPr>
            <b/>
            <sz val="9"/>
            <rFont val="Tahoma"/>
          </rPr>
          <t>Jana Holíková:</t>
        </r>
        <r>
          <rPr>
            <sz val="9"/>
            <rFont val="Tahoma"/>
          </rPr>
          <t xml:space="preserve">
dorov +30.000
</t>
        </r>
      </text>
    </comment>
    <comment ref="D531" authorId="241" shapeId="0">
      <text>
        <r>
          <rPr>
            <b/>
            <sz val="9"/>
            <rFont val="Tahoma"/>
          </rPr>
          <t>Jana Holíková:</t>
        </r>
        <r>
          <rPr>
            <sz val="9"/>
            <rFont val="Tahoma"/>
          </rPr>
          <t xml:space="preserve">
23196/12 -200
</t>
        </r>
      </text>
    </comment>
    <comment ref="D538" authorId="242" shapeId="0">
      <text>
        <r>
          <rPr>
            <b/>
            <sz val="9"/>
            <rFont val="Tahoma"/>
          </rPr>
          <t>Jana Holíková:</t>
        </r>
        <r>
          <rPr>
            <sz val="9"/>
            <rFont val="Tahoma"/>
          </rPr>
          <t xml:space="preserve">
23014/02 +864.200
</t>
        </r>
      </text>
    </comment>
    <comment ref="D548" authorId="243" shapeId="0">
      <text>
        <r>
          <rPr>
            <b/>
            <sz val="9"/>
            <rFont val="Tahoma"/>
          </rPr>
          <t>Jana Holíková:</t>
        </r>
        <r>
          <rPr>
            <sz val="9"/>
            <rFont val="Tahoma"/>
          </rPr>
          <t xml:space="preserve">
23163/11 +60.000
</t>
        </r>
      </text>
    </comment>
    <comment ref="D549" authorId="244" shapeId="0">
      <text>
        <r>
          <rPr>
            <b/>
            <sz val="9"/>
            <rFont val="Tahoma"/>
          </rPr>
          <t>Jana Holíková:</t>
        </r>
        <r>
          <rPr>
            <sz val="9"/>
            <rFont val="Tahoma"/>
          </rPr>
          <t xml:space="preserve">
23162/11 +58.074
</t>
        </r>
      </text>
    </comment>
    <comment ref="D553" authorId="245" shapeId="0">
      <text>
        <r>
          <rPr>
            <b/>
            <sz val="9"/>
            <rFont val="Tahoma"/>
          </rPr>
          <t>Jana Holíková:</t>
        </r>
        <r>
          <rPr>
            <sz val="9"/>
            <rFont val="Tahoma"/>
          </rPr>
          <t xml:space="preserve">
23130/09 -3.074,21
23164/11 +60.000
</t>
        </r>
      </text>
    </comment>
    <comment ref="D555" authorId="246" shapeId="0">
      <text>
        <r>
          <rPr>
            <b/>
            <sz val="9"/>
            <rFont val="Tahoma"/>
          </rPr>
          <t>Jana Holíková:</t>
        </r>
        <r>
          <rPr>
            <sz val="9"/>
            <rFont val="Tahoma"/>
          </rPr>
          <t xml:space="preserve">
23165/11 -62,46
</t>
        </r>
      </text>
    </comment>
    <comment ref="D558" authorId="247" shapeId="0">
      <text>
        <r>
          <rPr>
            <b/>
            <sz val="9"/>
            <rFont val="Tahoma"/>
          </rPr>
          <t>Jana Holíková:</t>
        </r>
        <r>
          <rPr>
            <sz val="9"/>
            <rFont val="Tahoma"/>
          </rPr>
          <t xml:space="preserve">
23167/11 +38.800
</t>
        </r>
      </text>
    </comment>
    <comment ref="D560" authorId="248" shapeId="0">
      <text>
        <r>
          <rPr>
            <b/>
            <sz val="9"/>
            <rFont val="Tahoma"/>
          </rPr>
          <t>Jana Holíková:</t>
        </r>
        <r>
          <rPr>
            <sz val="9"/>
            <rFont val="Tahoma"/>
          </rPr>
          <t xml:space="preserve">
23166/11 -70.122
</t>
        </r>
      </text>
    </comment>
    <comment ref="D563" authorId="249" shapeId="0">
      <text>
        <r>
          <rPr>
            <b/>
            <sz val="9"/>
            <rFont val="Tahoma"/>
          </rPr>
          <t>Jana Holíková:</t>
        </r>
        <r>
          <rPr>
            <sz val="9"/>
            <rFont val="Tahoma"/>
          </rPr>
          <t xml:space="preserve">
23095/06 +6.348
23145/10 -2.107
23160/11 -96.284
23161/11 -30.000
23162/11 -58.074
23163/11 -60.000
23164/11 -60.000
23167/11 -38.800
23172/11 -29.100-900
</t>
        </r>
      </text>
    </comment>
    <comment ref="D569" authorId="250" shapeId="0">
      <text>
        <r>
          <rPr>
            <b/>
            <sz val="9"/>
            <rFont val="Tahoma"/>
          </rPr>
          <t>Jana Holíková:</t>
        </r>
        <r>
          <rPr>
            <sz val="9"/>
            <rFont val="Tahoma"/>
          </rPr>
          <t xml:space="preserve">
23086/06 úz 913 
+ 4.752,88  120,1
+26.932,97 120,5
23107/07 úz 913
-1.607,13 1201
-9.107,07 1205
23117/08 úz 33092
 +  949.089,62 1431
+3.130.384,38 1435
23142/10 -3.504
23143/10 +262.743
23157/11
+ 4.900 úz 253 SR
+44.100 úz911 EU
</t>
        </r>
      </text>
    </comment>
    <comment ref="D570" authorId="251" shapeId="0">
      <text>
        <r>
          <rPr>
            <b/>
            <sz val="9"/>
            <rFont val="Tahoma"/>
          </rPr>
          <t>Jana Holíková:</t>
        </r>
        <r>
          <rPr>
            <sz val="9"/>
            <rFont val="Tahoma"/>
          </rPr>
          <t xml:space="preserve">
23075/05 
+89.825 +296.450
</t>
        </r>
      </text>
    </comment>
    <comment ref="D571" authorId="252" shapeId="0">
      <text>
        <r>
          <rPr>
            <b/>
            <sz val="9"/>
            <rFont val="Tahoma"/>
          </rPr>
          <t>Jana Holíková:</t>
        </r>
        <r>
          <rPr>
            <sz val="9"/>
            <rFont val="Tahoma"/>
          </rPr>
          <t xml:space="preserve">
23022/02 +603.790
23075/05 +213.204
</t>
        </r>
      </text>
    </comment>
    <comment ref="D574" authorId="253" shapeId="0">
      <text>
        <r>
          <rPr>
            <b/>
            <sz val="9"/>
            <rFont val="Tahoma"/>
          </rPr>
          <t>Jana Holíková:</t>
        </r>
        <r>
          <rPr>
            <sz val="9"/>
            <rFont val="Tahoma"/>
          </rPr>
          <t xml:space="preserve">
23015/02 úz 33092
+1.005.316,48  143 1
+3.315.837,52  143 5
23086/06 úz 9143
+ 1.806,05  120,1
+10.234,30 120,5
23095/06 +5.595
23107/07 úz 913
- 1.051,79 1201
- 5.960,11 1205
23158/11 
+ 7.519 ÚZ 253
+67.671 úz 911
</t>
        </r>
      </text>
    </comment>
    <comment ref="D575" authorId="254" shapeId="0">
      <text>
        <r>
          <rPr>
            <b/>
            <sz val="9"/>
            <rFont val="Tahoma"/>
          </rPr>
          <t>Jana Holíková:</t>
        </r>
        <r>
          <rPr>
            <sz val="9"/>
            <rFont val="Tahoma"/>
          </rPr>
          <t xml:space="preserve">
23073/05 +96.800
23160/11 +96.284
23161/11 +30.000
</t>
        </r>
      </text>
    </comment>
    <comment ref="D576" authorId="255" shapeId="0">
      <text>
        <r>
          <rPr>
            <b/>
            <sz val="9"/>
            <rFont val="Tahoma"/>
          </rPr>
          <t>Jana Holíková:</t>
        </r>
        <r>
          <rPr>
            <sz val="9"/>
            <rFont val="Tahoma"/>
          </rPr>
          <t xml:space="preserve">
23073/05 -1.200.000
</t>
        </r>
      </text>
    </comment>
    <comment ref="D579" authorId="256" shapeId="0">
      <text>
        <r>
          <rPr>
            <b/>
            <sz val="9"/>
            <rFont val="Tahoma"/>
          </rPr>
          <t>Jana Holíková:</t>
        </r>
        <r>
          <rPr>
            <sz val="9"/>
            <rFont val="Tahoma"/>
          </rPr>
          <t xml:space="preserve">
23086/06 úz 913 
+ 5.713,08  120,1
+32.374,09 120,5
23107/07 úz 913
-  177,66  1201
-1.006,74 1205
23159/11 
+ 6.798 úz253 SR
+61.182 úz911 EU
</t>
        </r>
      </text>
    </comment>
    <comment ref="D581" authorId="257" shapeId="0">
      <text>
        <r>
          <rPr>
            <b/>
            <sz val="9"/>
            <rFont val="Tahoma"/>
          </rPr>
          <t>Jana Holíková:</t>
        </r>
        <r>
          <rPr>
            <sz val="9"/>
            <rFont val="Tahoma"/>
          </rPr>
          <t xml:space="preserve">
23168/11 -155.095,79
</t>
        </r>
      </text>
    </comment>
    <comment ref="D584" authorId="258" shapeId="0">
      <text>
        <r>
          <rPr>
            <b/>
            <sz val="9"/>
            <rFont val="Tahoma"/>
          </rPr>
          <t>Jana Holíková:</t>
        </r>
        <r>
          <rPr>
            <sz val="9"/>
            <rFont val="Tahoma"/>
          </rPr>
          <t xml:space="preserve">
23019/02 +5.208  poj
23058/04 úz 33092 JAK
+519.876,20 1431
+1.714.708,80 1435
</t>
        </r>
      </text>
    </comment>
    <comment ref="D585" authorId="259" shapeId="0">
      <text>
        <r>
          <rPr>
            <b/>
            <sz val="9"/>
            <rFont val="Tahoma"/>
          </rPr>
          <t>Jana Holíková:</t>
        </r>
        <r>
          <rPr>
            <sz val="9"/>
            <rFont val="Tahoma"/>
          </rPr>
          <t xml:space="preserve">
23105/07 +300.000
</t>
        </r>
      </text>
    </comment>
    <comment ref="D586" authorId="260" shapeId="0">
      <text>
        <r>
          <rPr>
            <b/>
            <sz val="9"/>
            <rFont val="Tahoma"/>
          </rPr>
          <t>Jana Holíková:</t>
        </r>
        <r>
          <rPr>
            <sz val="9"/>
            <rFont val="Tahoma"/>
          </rPr>
          <t xml:space="preserve">
23070/05 +1.700.000
23074/05 
-1.100.000 -30.000 +48.400 +160.000
23129/08 -700.000
23169/11 -82.921,96
</t>
        </r>
      </text>
    </comment>
    <comment ref="D590" authorId="261" shapeId="0">
      <text>
        <r>
          <rPr>
            <b/>
            <sz val="9"/>
            <rFont val="Tahoma"/>
          </rPr>
          <t>Jana Holíková:</t>
        </r>
        <r>
          <rPr>
            <sz val="9"/>
            <rFont val="Tahoma"/>
          </rPr>
          <t xml:space="preserve">
23059/04 +210.200 úz 833
23093/06 úz 33092
+ 551.883,82 1431
+1.820.279,28 1435
23102/07 +170.400 úz 910
23172/11 +30.000
23177/11 -28.290 úz 910
</t>
        </r>
      </text>
    </comment>
    <comment ref="D593" authorId="262" shapeId="0">
      <text>
        <r>
          <rPr>
            <b/>
            <sz val="9"/>
            <rFont val="Tahoma"/>
          </rPr>
          <t>Jana Holíková:</t>
        </r>
        <r>
          <rPr>
            <sz val="9"/>
            <rFont val="Tahoma"/>
          </rPr>
          <t xml:space="preserve">
23145/10 +2.107
</t>
        </r>
      </text>
    </comment>
    <comment ref="D596" authorId="263" shapeId="0">
      <text>
        <r>
          <rPr>
            <b/>
            <sz val="9"/>
            <rFont val="Tahoma"/>
          </rPr>
          <t>Jana Holíková:</t>
        </r>
        <r>
          <rPr>
            <sz val="9"/>
            <rFont val="Tahoma"/>
          </rPr>
          <t xml:space="preserve">
23003/01 -45.455
23144/10 -98.187
23170/11 -200.000
23188/12 -300.000
</t>
        </r>
      </text>
    </comment>
    <comment ref="D600" authorId="264" shapeId="0">
      <text>
        <r>
          <rPr>
            <b/>
            <sz val="9"/>
            <rFont val="Tahoma"/>
          </rPr>
          <t>Jana Holíková:</t>
        </r>
        <r>
          <rPr>
            <sz val="9"/>
            <rFont val="Tahoma"/>
          </rPr>
          <t xml:space="preserve">
23032/02 +5.000
</t>
        </r>
      </text>
    </comment>
    <comment ref="D602" authorId="265" shapeId="0">
      <text>
        <r>
          <rPr>
            <b/>
            <sz val="9"/>
            <rFont val="Tahoma"/>
          </rPr>
          <t>Jana Holíková:</t>
        </r>
        <r>
          <rPr>
            <sz val="9"/>
            <rFont val="Tahoma"/>
          </rPr>
          <t xml:space="preserve">
23183/11 -20.000
</t>
        </r>
      </text>
    </comment>
    <comment ref="D605" authorId="266" shapeId="0">
      <text>
        <r>
          <rPr>
            <b/>
            <sz val="9"/>
            <rFont val="Tahoma"/>
          </rPr>
          <t>Jana Holíková:</t>
        </r>
        <r>
          <rPr>
            <sz val="9"/>
            <rFont val="Tahoma"/>
          </rPr>
          <t xml:space="preserve">
23095/06 +19.570
23096/06 +100.000 úz 34002
23183/11 -380.000
</t>
        </r>
      </text>
    </comment>
    <comment ref="D607" authorId="267" shapeId="0">
      <text>
        <r>
          <rPr>
            <b/>
            <sz val="9"/>
            <rFont val="Tahoma"/>
          </rPr>
          <t>Jana Holíková:</t>
        </r>
        <r>
          <rPr>
            <sz val="9"/>
            <rFont val="Tahoma"/>
          </rPr>
          <t xml:space="preserve">
23183/11 -1.150.000
</t>
        </r>
      </text>
    </comment>
    <comment ref="D612" authorId="268" shapeId="0">
      <text>
        <r>
          <rPr>
            <b/>
            <sz val="9"/>
            <rFont val="Tahoma"/>
          </rPr>
          <t>Jana Holíková:</t>
        </r>
        <r>
          <rPr>
            <sz val="9"/>
            <rFont val="Tahoma"/>
          </rPr>
          <t xml:space="preserve">
23001/01 +4.551.000
23019/02 +4.562 poj
23072/05 -2.989,27
23136/09 +300.000
23176/11 -700.000
23194.12 +50.000
</t>
        </r>
      </text>
    </comment>
    <comment ref="D614" authorId="269" shapeId="0">
      <text>
        <r>
          <rPr>
            <b/>
            <sz val="9"/>
            <rFont val="Tahoma"/>
          </rPr>
          <t>Jana Holíková:</t>
        </r>
        <r>
          <rPr>
            <sz val="9"/>
            <rFont val="Tahoma"/>
          </rPr>
          <t xml:space="preserve">
23139/10 -1.000.000
23175/11 -484.000
</t>
        </r>
      </text>
    </comment>
    <comment ref="D621" authorId="270" shapeId="0">
      <text>
        <r>
          <rPr>
            <b/>
            <sz val="9"/>
            <rFont val="Tahoma"/>
          </rPr>
          <t>Jana Holíková:</t>
        </r>
        <r>
          <rPr>
            <sz val="9"/>
            <rFont val="Tahoma"/>
          </rPr>
          <t xml:space="preserve">
23033/02 -30.000 r
23128/09 -40.000 r
</t>
        </r>
      </text>
    </comment>
    <comment ref="D623" authorId="271" shapeId="0">
      <text>
        <r>
          <rPr>
            <b/>
            <sz val="9"/>
            <rFont val="Tahoma"/>
          </rPr>
          <t>Jana Holíková:</t>
        </r>
        <r>
          <rPr>
            <sz val="9"/>
            <rFont val="Tahoma"/>
          </rPr>
          <t xml:space="preserve">
23512/02 -200.000
</t>
        </r>
      </text>
    </comment>
    <comment ref="D626" authorId="272" shapeId="0">
      <text>
        <r>
          <rPr>
            <b/>
            <sz val="9"/>
            <rFont val="Tahoma"/>
          </rPr>
          <t>Jana Holíková:</t>
        </r>
        <r>
          <rPr>
            <sz val="9"/>
            <rFont val="Tahoma"/>
          </rPr>
          <t xml:space="preserve">
23034/02 -25.000 r
23066/05 -10.000 r
23113/07 -10.000 r
</t>
        </r>
      </text>
    </comment>
    <comment ref="D629" authorId="273" shapeId="0">
      <text>
        <r>
          <rPr>
            <b/>
            <sz val="9"/>
            <rFont val="Tahoma"/>
          </rPr>
          <t>Jana Holíková:</t>
        </r>
        <r>
          <rPr>
            <sz val="9"/>
            <rFont val="Tahoma"/>
          </rPr>
          <t xml:space="preserve">
23033/02 +30.000
23034/02 +25.000
23512/02 +200.000
23066/05 +10.000
23084/06 -90.000 r
+90.000       
23085/06 +147.136
23112/07 +49.000
23113/07 +10.000
23127/09 +500.000
23128/09 +40.000
23186/12 -25.000 r +25.000 
</t>
        </r>
      </text>
    </comment>
    <comment ref="D633" authorId="274" shapeId="0">
      <text>
        <r>
          <rPr>
            <b/>
            <sz val="9"/>
            <rFont val="Tahoma"/>
          </rPr>
          <t>Jana Holíková:</t>
        </r>
        <r>
          <rPr>
            <sz val="9"/>
            <rFont val="Tahoma"/>
          </rPr>
          <t xml:space="preserve">
23126/08 +- 209.862
</t>
        </r>
      </text>
    </comment>
    <comment ref="D636" authorId="275" shapeId="0">
      <text>
        <r>
          <rPr>
            <b/>
            <sz val="9"/>
            <rFont val="Tahoma"/>
          </rPr>
          <t>Jana Holíková:</t>
        </r>
        <r>
          <rPr>
            <sz val="9"/>
            <rFont val="Tahoma"/>
          </rPr>
          <t xml:space="preserve">
23068/05 
+70.000 +80.000 +50.000
</t>
        </r>
      </text>
    </comment>
    <comment ref="D643" authorId="276" shapeId="0">
      <text>
        <r>
          <rPr>
            <b/>
            <sz val="9"/>
            <rFont val="Tahoma"/>
          </rPr>
          <t>Jana Holíková:</t>
        </r>
        <r>
          <rPr>
            <sz val="9"/>
            <rFont val="Tahoma"/>
          </rPr>
          <t xml:space="preserve">
23068/05 -70.000
23095/06 +16.216
23116/08 +113.800,50
23121/08 +121.111
23638/11 +300.000
23661/11 -126.706
23678/12 -0,36
</t>
        </r>
      </text>
    </comment>
    <comment ref="D644" authorId="277" shapeId="0">
      <text>
        <r>
          <rPr>
            <b/>
            <sz val="9"/>
            <rFont val="Tahoma"/>
          </rPr>
          <t>Jana Holíková:</t>
        </r>
        <r>
          <rPr>
            <sz val="9"/>
            <rFont val="Tahoma"/>
          </rPr>
          <t xml:space="preserve">
23661/11 +126.706
23678/12 +0,36
</t>
        </r>
      </text>
    </comment>
    <comment ref="D645" authorId="278" shapeId="0">
      <text>
        <r>
          <rPr>
            <b/>
            <sz val="9"/>
            <rFont val="Tahoma"/>
          </rPr>
          <t>Jana Holíková:</t>
        </r>
        <r>
          <rPr>
            <sz val="9"/>
            <rFont val="Tahoma"/>
          </rPr>
          <t xml:space="preserve">
23007/01 úz 13013
+8.051,90  1041
+68.441,11  1045
23511/02 úz 13013  3388
+9.438 1041
+4.719 1041 bez úz
+80.223 1045
23516/02 úz 13013  3388
+27.733,20 1041
+13.866,60 1041 bez úz
+235.732,20 1045
23566/06 úz 13013 
- 8.051,90 1041
+68.441,11 1045
23116/08 úz 13013 3388
+ 37.171,20 1041
+315.955,20 1045
</t>
        </r>
      </text>
    </comment>
    <comment ref="D646" authorId="279" shapeId="0">
      <text>
        <r>
          <rPr>
            <b/>
            <sz val="9"/>
            <rFont val="Tahoma"/>
          </rPr>
          <t>Jana Holíková:</t>
        </r>
        <r>
          <rPr>
            <sz val="9"/>
            <rFont val="Tahoma"/>
          </rPr>
          <t xml:space="preserve">
23511/02 -94.380 (5168)
23516/02 -277.332 (5168)
23566/06 +76.493,01
23598/08 -427.454,54
23638/11 -300.000
23654/11 -285.501
23678/12 -48.795
</t>
        </r>
      </text>
    </comment>
    <comment ref="D647" authorId="280" shapeId="0">
      <text>
        <r>
          <rPr>
            <b/>
            <sz val="9"/>
            <rFont val="Tahoma"/>
          </rPr>
          <t>Jana Holíková:</t>
        </r>
        <r>
          <rPr>
            <sz val="9"/>
            <rFont val="Tahoma"/>
          </rPr>
          <t xml:space="preserve">
23598/08 +427.454,54
23654/11 +285.501
23678/12 +48.795
</t>
        </r>
      </text>
    </comment>
    <comment ref="D651" authorId="281" shapeId="0">
      <text>
        <r>
          <rPr>
            <b/>
            <sz val="9"/>
            <rFont val="Tahoma"/>
          </rPr>
          <t>Jana Holíková:</t>
        </r>
        <r>
          <rPr>
            <sz val="9"/>
            <rFont val="Tahoma"/>
          </rPr>
          <t xml:space="preserve">
23013/02 
+-1.927.500  5811
+    227.100  5169
23028/02
+-2.077.400  5811
+    232.500  5169
23042/03 
+-1.894.600  5811
+   210.000  5169
23064/04 
+-1.831.700 5811
+   231.000 5169
23076/05 
+- 1.703.700 5811
+    234.000
23092/06 
+-1.588.650 5811
+   241.800
23106/07 
+- 1.504.450  5811
+     231.000
23122/08 
+- 765.250  5811
23194.12 +45.000
</t>
        </r>
      </text>
    </comment>
    <comment ref="D655" authorId="282" shapeId="0">
      <text>
        <r>
          <rPr>
            <b/>
            <sz val="9"/>
            <rFont val="Tahoma"/>
          </rPr>
          <t>Jana Holíková:</t>
        </r>
        <r>
          <rPr>
            <sz val="9"/>
            <rFont val="Tahoma"/>
          </rPr>
          <t xml:space="preserve">
23002/01  +508.200
</t>
        </r>
      </text>
    </comment>
    <comment ref="D656" authorId="283" shapeId="0">
      <text>
        <r>
          <rPr>
            <b/>
            <sz val="9"/>
            <rFont val="Tahoma"/>
          </rPr>
          <t>Jana Holíková:</t>
        </r>
        <r>
          <rPr>
            <sz val="9"/>
            <rFont val="Tahoma"/>
          </rPr>
          <t xml:space="preserve">
23035/03 +400.000 +36.000
23094/06 +67.000
</t>
        </r>
      </text>
    </comment>
    <comment ref="D658" authorId="284" shapeId="0">
      <text>
        <r>
          <rPr>
            <b/>
            <sz val="9"/>
            <rFont val="Tahoma"/>
          </rPr>
          <t>Jana Holíková:</t>
        </r>
        <r>
          <rPr>
            <sz val="9"/>
            <rFont val="Tahoma"/>
          </rPr>
          <t xml:space="preserve">
23062/04  úz13015
+-791.900 5011
+-196.427 5031
+-71.271 5032
23534/04 -15.000
23068/05 -103.000 -27.000
23082/06 +94.000 -94.000
23094/06 -67.000
k 30.6. + 130.000
23108/07 +150.000
23116/08 +96.967,21 (5011org3389)
</t>
        </r>
      </text>
    </comment>
    <comment ref="D659" authorId="285" shapeId="0">
      <text>
        <r>
          <rPr>
            <b/>
            <sz val="9"/>
            <rFont val="Tahoma"/>
          </rPr>
          <t>Jana Holíková:</t>
        </r>
        <r>
          <rPr>
            <sz val="9"/>
            <rFont val="Tahoma"/>
          </rPr>
          <t xml:space="preserve">
23534/04 +15.000
23082/06 -94.000
23087/06 +804.000
</t>
        </r>
      </text>
    </comment>
    <comment ref="D660" authorId="286" shapeId="0">
      <text>
        <r>
          <rPr>
            <b/>
            <sz val="9"/>
            <rFont val="Tahoma"/>
          </rPr>
          <t>Jana Holíková:</t>
        </r>
        <r>
          <rPr>
            <sz val="9"/>
            <rFont val="Tahoma"/>
          </rPr>
          <t xml:space="preserve">
23082/06 -94.000
k 30.6. -224.000
</t>
        </r>
      </text>
    </comment>
    <comment ref="D661" authorId="287" shapeId="0">
      <text>
        <r>
          <rPr>
            <b/>
            <sz val="9"/>
            <rFont val="Tahoma"/>
          </rPr>
          <t>Jana Holíková:</t>
        </r>
        <r>
          <rPr>
            <sz val="9"/>
            <rFont val="Tahoma"/>
          </rPr>
          <t xml:space="preserve">
23082/06 -94.000
</t>
        </r>
      </text>
    </comment>
    <comment ref="D665" authorId="288" shapeId="0">
      <text>
        <r>
          <rPr>
            <b/>
            <sz val="9"/>
            <rFont val="Tahoma"/>
          </rPr>
          <t>Jana Holíková:</t>
        </r>
        <r>
          <rPr>
            <sz val="9"/>
            <rFont val="Tahoma"/>
          </rPr>
          <t xml:space="preserve">
23149/0 +1.0001
</t>
        </r>
      </text>
    </comment>
    <comment ref="D666" authorId="289" shapeId="0">
      <text>
        <r>
          <rPr>
            <b/>
            <sz val="9"/>
            <rFont val="Tahoma"/>
          </rPr>
          <t>Jana Holíková:</t>
        </r>
        <r>
          <rPr>
            <sz val="9"/>
            <rFont val="Tahoma"/>
          </rPr>
          <t xml:space="preserve">
23135/09 +50.000
</t>
        </r>
      </text>
    </comment>
    <comment ref="D668" authorId="290" shapeId="0">
      <text>
        <r>
          <rPr>
            <b/>
            <sz val="9"/>
            <rFont val="Tahoma"/>
          </rPr>
          <t>Jana Holíková:</t>
        </r>
        <r>
          <rPr>
            <sz val="9"/>
            <rFont val="Tahoma"/>
          </rPr>
          <t xml:space="preserve">
23662/11 +5.000
23685.12 +200
</t>
        </r>
      </text>
    </comment>
    <comment ref="D669" authorId="291" shapeId="0">
      <text>
        <r>
          <rPr>
            <b/>
            <sz val="9"/>
            <rFont val="Tahoma"/>
          </rPr>
          <t>Jana Holíková:</t>
        </r>
        <r>
          <rPr>
            <sz val="9"/>
            <rFont val="Tahoma"/>
          </rPr>
          <t xml:space="preserve">
23662/11 -5.000
23685.12 -200
</t>
        </r>
      </text>
    </comment>
    <comment ref="D673" authorId="292" shapeId="0">
      <text>
        <r>
          <rPr>
            <b/>
            <sz val="9"/>
            <rFont val="Tahoma"/>
          </rPr>
          <t>Jana Holíková:</t>
        </r>
        <r>
          <rPr>
            <sz val="9"/>
            <rFont val="Tahoma"/>
          </rPr>
          <t xml:space="preserve">
23618/09 +30.000
</t>
        </r>
      </text>
    </comment>
    <comment ref="D677" authorId="293" shapeId="0">
      <text>
        <r>
          <rPr>
            <b/>
            <sz val="9"/>
            <rFont val="Tahoma"/>
          </rPr>
          <t>Jana Holíková:</t>
        </r>
        <r>
          <rPr>
            <sz val="9"/>
            <rFont val="Tahoma"/>
          </rPr>
          <t xml:space="preserve">
23053/04 +50.000
23618/09 -30.000
23149/10 -1.000
</t>
        </r>
      </text>
    </comment>
    <comment ref="D679" authorId="294" shapeId="0">
      <text>
        <r>
          <rPr>
            <b/>
            <sz val="9"/>
            <rFont val="Tahoma"/>
          </rPr>
          <t>Jana Holíková:</t>
        </r>
        <r>
          <rPr>
            <sz val="9"/>
            <rFont val="Tahoma"/>
          </rPr>
          <t xml:space="preserve">
23053/04 -50.000
23135/09 -50.000
</t>
        </r>
      </text>
    </comment>
    <comment ref="D682" authorId="295" shapeId="0">
      <text>
        <r>
          <rPr>
            <b/>
            <sz val="9"/>
            <rFont val="Tahoma"/>
          </rPr>
          <t>Jana Holíková:</t>
        </r>
        <r>
          <rPr>
            <sz val="9"/>
            <rFont val="Tahoma"/>
          </rPr>
          <t xml:space="preserve">
23081/06 +157.000 r
</t>
        </r>
      </text>
    </comment>
    <comment ref="D686" authorId="296" shapeId="0">
      <text>
        <r>
          <rPr>
            <b/>
            <sz val="9"/>
            <rFont val="Tahoma"/>
          </rPr>
          <t>Jana Holíková:</t>
        </r>
        <r>
          <rPr>
            <sz val="9"/>
            <rFont val="Tahoma"/>
          </rPr>
          <t xml:space="preserve">
23010/02 -5.000 r
23036/03 -15.000 r
23099/07 -15.000 r
23100/07 -3.906 r
23101/07 -10.000 r
</t>
        </r>
      </text>
    </comment>
    <comment ref="D688" authorId="297" shapeId="0">
      <text>
        <r>
          <rPr>
            <b/>
            <sz val="9"/>
            <rFont val="Tahoma"/>
          </rPr>
          <t>Jana Holíková:</t>
        </r>
        <r>
          <rPr>
            <sz val="9"/>
            <rFont val="Tahoma"/>
          </rPr>
          <t xml:space="preserve">
23181/11 -2.000.000
</t>
        </r>
      </text>
    </comment>
    <comment ref="D689" authorId="298" shapeId="0">
      <text>
        <r>
          <rPr>
            <b/>
            <sz val="9"/>
            <rFont val="Tahoma"/>
          </rPr>
          <t>Jana Holíková:</t>
        </r>
        <r>
          <rPr>
            <sz val="9"/>
            <rFont val="Tahoma"/>
          </rPr>
          <t xml:space="preserve">
23533/03 -150.000 
+140.000 + 10.000
na 231.0800
</t>
        </r>
      </text>
    </comment>
    <comment ref="D690" authorId="299" shapeId="0">
      <text>
        <r>
          <rPr>
            <b/>
            <sz val="9"/>
            <rFont val="Tahoma"/>
          </rPr>
          <t>Jana Holíková:</t>
        </r>
        <r>
          <rPr>
            <sz val="9"/>
            <rFont val="Tahoma"/>
          </rPr>
          <t xml:space="preserve">
232052/04 +-6.000
</t>
        </r>
      </text>
    </comment>
    <comment ref="D691" authorId="300" shapeId="0">
      <text>
        <r>
          <rPr>
            <b/>
            <sz val="9"/>
            <rFont val="Tahoma"/>
          </rPr>
          <t>Jana Holíková:</t>
        </r>
        <r>
          <rPr>
            <sz val="9"/>
            <rFont val="Tahoma"/>
          </rPr>
          <t xml:space="preserve">
23010/02 +5,000
23036/03 +15.000
23048/03 -+5.000
23081/06 +157.000
23099/07 +15.000
23100/07 +3.906
23101/07 +10.000
</t>
        </r>
      </text>
    </comment>
    <comment ref="D697" authorId="301" shapeId="0">
      <text>
        <r>
          <rPr>
            <b/>
            <sz val="9"/>
            <rFont val="Tahoma"/>
          </rPr>
          <t>Jana Holíková:</t>
        </r>
        <r>
          <rPr>
            <sz val="9"/>
            <rFont val="Tahoma"/>
          </rPr>
          <t xml:space="preserve">
23054/04 +3.134.000 úz 13305
23095/06 +51.728
k 30.6. -1.898.394
23138/10 +1.898.394 úz914 2390 
23151/11 -2.010.000  2390
23155/11 +7.011 0390
23650/11 -40.000 0390
23693/12 -2.953,19  0390
23700.12 -148.656,70
</t>
        </r>
      </text>
    </comment>
    <comment ref="D698" authorId="302" shapeId="0">
      <text>
        <r>
          <rPr>
            <b/>
            <sz val="9"/>
            <rFont val="Tahoma"/>
          </rPr>
          <t>Jana Holíková:</t>
        </r>
        <r>
          <rPr>
            <sz val="9"/>
            <rFont val="Tahoma"/>
          </rPr>
          <t xml:space="preserve">
23174/11 
-1.900.000 17968 1071
+     2.117,50 17015 1071
+    35.997,50 17016 1075
+    93.385,85 17968 1071
+1.587.559,45 17969 1075
23650/11 +40.000
23693/12 +2.953,19
23700.12 +148.656,70
</t>
        </r>
      </text>
    </comment>
    <comment ref="D699" authorId="303" shapeId="0">
      <text>
        <r>
          <rPr>
            <b/>
            <sz val="9"/>
            <rFont val="Tahoma"/>
          </rPr>
          <t>Jana Holíková:</t>
        </r>
        <r>
          <rPr>
            <sz val="9"/>
            <rFont val="Tahoma"/>
          </rPr>
          <t xml:space="preserve">
23054/04 +740.000 úz 13305
23151/10 -400.000 1391,2391
</t>
        </r>
      </text>
    </comment>
    <comment ref="D700" authorId="304" shapeId="0">
      <text>
        <r>
          <rPr>
            <b/>
            <sz val="9"/>
            <rFont val="Tahoma"/>
          </rPr>
          <t>Jana Holíková:</t>
        </r>
        <r>
          <rPr>
            <sz val="9"/>
            <rFont val="Tahoma"/>
          </rPr>
          <t xml:space="preserve">
23054/04 +2.086.000 úz 13305
k 30.6. +1.898.394
23138/10 -1.898.394 ( úz914 2393)
23151/11 -1.920.000 1393,2393
</t>
        </r>
      </text>
    </comment>
    <comment ref="D705" authorId="305" shapeId="0">
      <text>
        <r>
          <rPr>
            <b/>
            <sz val="9"/>
            <rFont val="Tahoma"/>
          </rPr>
          <t>Jana Holíková:</t>
        </r>
        <r>
          <rPr>
            <sz val="9"/>
            <rFont val="Tahoma"/>
          </rPr>
          <t xml:space="preserve">
23194.12 +901.049
</t>
        </r>
      </text>
    </comment>
    <comment ref="D707" authorId="306" shapeId="0">
      <text>
        <r>
          <rPr>
            <b/>
            <sz val="9"/>
            <rFont val="Tahoma"/>
          </rPr>
          <t>Jana Holíková:</t>
        </r>
        <r>
          <rPr>
            <sz val="9"/>
            <rFont val="Tahoma"/>
          </rPr>
          <t xml:space="preserve">
23125/08 -260.000
</t>
        </r>
      </text>
    </comment>
    <comment ref="D711" authorId="307" shapeId="0">
      <text>
        <r>
          <rPr>
            <b/>
            <sz val="9"/>
            <rFont val="Tahoma"/>
          </rPr>
          <t>Jana Holíková:</t>
        </r>
        <r>
          <rPr>
            <sz val="9"/>
            <rFont val="Tahoma"/>
          </rPr>
          <t xml:space="preserve">
23029/02 +400.000
23050/04 -400.000
23195/12 -900.000
</t>
        </r>
      </text>
    </comment>
    <comment ref="D713" authorId="308" shapeId="0">
      <text>
        <r>
          <rPr>
            <b/>
            <sz val="9"/>
            <rFont val="Tahoma"/>
          </rPr>
          <t>Jana Holíková:</t>
        </r>
        <r>
          <rPr>
            <sz val="9"/>
            <rFont val="Tahoma"/>
          </rPr>
          <t xml:space="preserve">
23009/02 +3.663.880
23173/11 -162.566
23193/12 -3.337.434
</t>
        </r>
      </text>
    </comment>
    <comment ref="D715" authorId="309" shapeId="0">
      <text>
        <r>
          <rPr>
            <b/>
            <sz val="9"/>
            <rFont val="Tahoma"/>
          </rPr>
          <t>Jana Holíková:</t>
        </r>
        <r>
          <rPr>
            <sz val="9"/>
            <rFont val="Tahoma"/>
          </rPr>
          <t xml:space="preserve">
23125/08 -100.000
</t>
        </r>
      </text>
    </comment>
    <comment ref="D718" authorId="310" shapeId="0">
      <text>
        <r>
          <rPr>
            <b/>
            <sz val="9"/>
            <rFont val="Tahoma"/>
          </rPr>
          <t>Jana Holíková:</t>
        </r>
        <r>
          <rPr>
            <sz val="9"/>
            <rFont val="Tahoma"/>
          </rPr>
          <t xml:space="preserve">
23171/11 -300.000
</t>
        </r>
      </text>
    </comment>
    <comment ref="D719" authorId="311" shapeId="0">
      <text>
        <r>
          <rPr>
            <b/>
            <sz val="9"/>
            <rFont val="Tahoma"/>
          </rPr>
          <t>Jana Holíková:</t>
        </r>
        <r>
          <rPr>
            <sz val="9"/>
            <rFont val="Tahoma"/>
          </rPr>
          <t xml:space="preserve">
23111/07 +81.550,55
</t>
        </r>
      </text>
    </comment>
    <comment ref="D720" authorId="312" shapeId="0">
      <text>
        <r>
          <rPr>
            <b/>
            <sz val="9"/>
            <rFont val="Tahoma"/>
          </rPr>
          <t>Jana Holíková:</t>
        </r>
        <r>
          <rPr>
            <sz val="9"/>
            <rFont val="Tahoma"/>
          </rPr>
          <t xml:space="preserve">
23173/11 -686.470,59 -115.000
23187/12 +52.695,50
</t>
        </r>
      </text>
    </comment>
    <comment ref="D721" authorId="313" shapeId="0">
      <text>
        <r>
          <rPr>
            <b/>
            <sz val="9"/>
            <rFont val="Tahoma"/>
          </rPr>
          <t>Jana Holíková:</t>
        </r>
        <r>
          <rPr>
            <sz val="9"/>
            <rFont val="Tahoma"/>
          </rPr>
          <t xml:space="preserve">
23057/04 
+14.200 úz 29015
+35.205 úz 29031
231125/08 +360.000
</t>
        </r>
      </text>
    </comment>
    <comment ref="D727" authorId="314" shapeId="0">
      <text>
        <r>
          <rPr>
            <b/>
            <sz val="9"/>
            <rFont val="Tahoma"/>
          </rPr>
          <t>Jana Holíková:</t>
        </r>
        <r>
          <rPr>
            <sz val="9"/>
            <rFont val="Tahoma"/>
          </rPr>
          <t xml:space="preserve">
23146/10 +9.000
</t>
        </r>
      </text>
    </comment>
    <comment ref="D731" authorId="315" shapeId="0">
      <text>
        <r>
          <rPr>
            <b/>
            <sz val="9"/>
            <rFont val="Tahoma"/>
          </rPr>
          <t>Jana Holíková:</t>
        </r>
        <r>
          <rPr>
            <sz val="9"/>
            <rFont val="Tahoma"/>
          </rPr>
          <t xml:space="preserve">
23532/03 -431.000
23546/04 -152.880
23563/05 -400.000
</t>
        </r>
      </text>
    </comment>
    <comment ref="D732" authorId="316" shapeId="0">
      <text>
        <r>
          <rPr>
            <b/>
            <sz val="9"/>
            <rFont val="Tahoma"/>
          </rPr>
          <t>Jana Holíková:</t>
        </r>
        <r>
          <rPr>
            <sz val="9"/>
            <rFont val="Tahoma"/>
          </rPr>
          <t xml:space="preserve">
23513/02 +45.254
</t>
        </r>
      </text>
    </comment>
    <comment ref="D734" authorId="317" shapeId="0">
      <text>
        <r>
          <rPr>
            <b/>
            <sz val="9"/>
            <rFont val="Tahoma"/>
          </rPr>
          <t>Jana Holíková:</t>
        </r>
        <r>
          <rPr>
            <sz val="9"/>
            <rFont val="Tahoma"/>
          </rPr>
          <t xml:space="preserve">
23563/05 -150.000
</t>
        </r>
      </text>
    </comment>
    <comment ref="D735" authorId="318" shapeId="0">
      <text>
        <r>
          <rPr>
            <b/>
            <sz val="9"/>
            <rFont val="Tahoma"/>
          </rPr>
          <t>Jana Holíková:</t>
        </r>
        <r>
          <rPr>
            <sz val="9"/>
            <rFont val="Tahoma"/>
          </rPr>
          <t xml:space="preserve">
23563/05 -100.000
</t>
        </r>
      </text>
    </comment>
    <comment ref="D736" authorId="319" shapeId="0">
      <text>
        <r>
          <rPr>
            <b/>
            <sz val="9"/>
            <rFont val="Tahoma"/>
          </rPr>
          <t>Jana Holíková:</t>
        </r>
        <r>
          <rPr>
            <sz val="9"/>
            <rFont val="Tahoma"/>
          </rPr>
          <t xml:space="preserve">
23563/05 -250.000
</t>
        </r>
      </text>
    </comment>
    <comment ref="D737" authorId="320" shapeId="0">
      <text>
        <r>
          <rPr>
            <b/>
            <sz val="9"/>
            <rFont val="Tahoma"/>
          </rPr>
          <t>Jana Holíková:</t>
        </r>
        <r>
          <rPr>
            <sz val="9"/>
            <rFont val="Tahoma"/>
          </rPr>
          <t xml:space="preserve">
23563/05 -100.000
</t>
        </r>
      </text>
    </comment>
    <comment ref="D739" authorId="321" shapeId="0">
      <text>
        <r>
          <rPr>
            <b/>
            <sz val="9"/>
            <rFont val="Tahoma"/>
          </rPr>
          <t>Jana Holíková:</t>
        </r>
        <r>
          <rPr>
            <sz val="9"/>
            <rFont val="Tahoma"/>
          </rPr>
          <t xml:space="preserve">
23563/05 -800.000
</t>
        </r>
      </text>
    </comment>
    <comment ref="D740" authorId="322" shapeId="0">
      <text>
        <r>
          <rPr>
            <b/>
            <sz val="9"/>
            <rFont val="Tahoma"/>
          </rPr>
          <t>Jana Holíková:</t>
        </r>
        <r>
          <rPr>
            <sz val="9"/>
            <rFont val="Tahoma"/>
          </rPr>
          <t xml:space="preserve">
23563/05 -300.000
</t>
        </r>
      </text>
    </comment>
    <comment ref="D742" authorId="323" shapeId="0">
      <text>
        <r>
          <rPr>
            <b/>
            <sz val="9"/>
            <rFont val="Tahoma"/>
          </rPr>
          <t>Jana Holíková:</t>
        </r>
        <r>
          <rPr>
            <sz val="9"/>
            <rFont val="Tahoma"/>
          </rPr>
          <t xml:space="preserve">
23006/01 +1.812.000
23513/02 -45.254
23558/05 -20.971
23561/05 -13.463,31
23563/05 +2.100.000
23574/06 -63.727
23114/08 +1.163.197,81
23630/10 -31.878
23642/11 -1.911
23673/12 -1.036
23695.12 -18.280,01
</t>
        </r>
      </text>
    </comment>
    <comment ref="D743" authorId="324" shapeId="0">
      <text>
        <r>
          <rPr>
            <b/>
            <sz val="9"/>
            <rFont val="Tahoma"/>
          </rPr>
          <t>Jana Holíková:</t>
        </r>
        <r>
          <rPr>
            <sz val="9"/>
            <rFont val="Tahoma"/>
          </rPr>
          <t xml:space="preserve">
23546/04 
+152.880
23558/05 +20.971
23561/05 +13.463,31
23574/06 +63.727
23630/10 +31.878
23642/11 +1.911
23673/12 +1.036
23695.12 +18.280,01
</t>
        </r>
      </text>
    </comment>
    <comment ref="D747" authorId="325" shapeId="0">
      <text>
        <r>
          <rPr>
            <b/>
            <sz val="9"/>
            <rFont val="Tahoma"/>
          </rPr>
          <t>Jana Holíková:</t>
        </r>
        <r>
          <rPr>
            <sz val="9"/>
            <rFont val="Tahoma"/>
          </rPr>
          <t xml:space="preserve">
23532/03 +431.000
</t>
        </r>
      </text>
    </comment>
    <comment ref="D750" authorId="326" shapeId="0">
      <text>
        <r>
          <rPr>
            <b/>
            <sz val="9"/>
            <rFont val="Tahoma"/>
          </rPr>
          <t>Jana Holíková:</t>
        </r>
        <r>
          <rPr>
            <sz val="9"/>
            <rFont val="Tahoma"/>
          </rPr>
          <t xml:space="preserve">
23022/02 -617.845,43
23617/09 -41.009
23673/12 -12.687,46
23194.12 -323,86
23695.12 -0,03
</t>
        </r>
      </text>
    </comment>
    <comment ref="D751" authorId="327" shapeId="0">
      <text>
        <r>
          <rPr>
            <b/>
            <sz val="9"/>
            <rFont val="Tahoma"/>
          </rPr>
          <t>Jana Holíková:</t>
        </r>
        <r>
          <rPr>
            <sz val="9"/>
            <rFont val="Tahoma"/>
          </rPr>
          <t xml:space="preserve">
23617/09 +41.009
23673/12 +12.687,46
23695.12 +0,03
</t>
        </r>
      </text>
    </comment>
    <comment ref="D756" authorId="328" shapeId="0">
      <text>
        <r>
          <rPr>
            <b/>
            <sz val="9"/>
            <rFont val="Tahoma"/>
          </rPr>
          <t>Jana Holíková:</t>
        </r>
        <r>
          <rPr>
            <sz val="9"/>
            <rFont val="Tahoma"/>
          </rPr>
          <t xml:space="preserve">
23024/02 -1.500.000
</t>
        </r>
      </text>
    </comment>
    <comment ref="D762" authorId="329" shapeId="0">
      <text>
        <r>
          <rPr>
            <b/>
            <sz val="9"/>
            <rFont val="Tahoma"/>
          </rPr>
          <t>Jana Holíková:</t>
        </r>
        <r>
          <rPr>
            <sz val="9"/>
            <rFont val="Tahoma"/>
          </rPr>
          <t xml:space="preserve">
23024/02  - 500.000 jung b2 (část z 1.200.00)
</t>
        </r>
      </text>
    </comment>
    <comment ref="D763" authorId="330" shapeId="0">
      <text>
        <r>
          <rPr>
            <b/>
            <sz val="9"/>
            <rFont val="Tahoma"/>
          </rPr>
          <t>Jana Holíková:</t>
        </r>
        <r>
          <rPr>
            <sz val="9"/>
            <rFont val="Tahoma"/>
          </rPr>
          <t xml:space="preserve">
23137/09 -1.000.000
</t>
        </r>
      </text>
    </comment>
    <comment ref="D764" authorId="331" shapeId="0">
      <text>
        <r>
          <rPr>
            <b/>
            <sz val="9"/>
            <rFont val="Tahoma"/>
          </rPr>
          <t>Jana Holíková:</t>
        </r>
        <r>
          <rPr>
            <sz val="9"/>
            <rFont val="Tahoma"/>
          </rPr>
          <t xml:space="preserve">
GV -500.000
</t>
        </r>
      </text>
    </comment>
    <comment ref="D765" authorId="332" shapeId="0">
      <text>
        <r>
          <rPr>
            <b/>
            <sz val="9"/>
            <rFont val="Tahoma"/>
          </rPr>
          <t>Jana Holíková:</t>
        </r>
        <r>
          <rPr>
            <sz val="9"/>
            <rFont val="Tahoma"/>
          </rPr>
          <t xml:space="preserve">
23024/02  
-1.500.000 jung b1
- 500.000 jung b2 (část z 1.200.00)
</t>
        </r>
      </text>
    </comment>
    <comment ref="D769" authorId="333" shapeId="0">
      <text>
        <r>
          <rPr>
            <b/>
            <sz val="9"/>
            <rFont val="Tahoma"/>
          </rPr>
          <t>Jana Holíková:</t>
        </r>
        <r>
          <rPr>
            <sz val="9"/>
            <rFont val="Tahoma"/>
          </rPr>
          <t xml:space="preserve">
23194.12 -200.000
</t>
        </r>
      </text>
    </comment>
    <comment ref="D771" authorId="334" shapeId="0">
      <text>
        <r>
          <rPr>
            <b/>
            <sz val="9"/>
            <rFont val="Tahoma"/>
          </rPr>
          <t>Jana Holíková:</t>
        </r>
        <r>
          <rPr>
            <sz val="9"/>
            <rFont val="Tahoma"/>
          </rPr>
          <t xml:space="preserve">
23178/11 -500.000
23194.12 -1.500.000
GV +500.000
</t>
        </r>
      </text>
    </comment>
    <comment ref="D774" authorId="335" shapeId="0">
      <text>
        <r>
          <rPr>
            <b/>
            <sz val="9"/>
            <rFont val="Tahoma"/>
          </rPr>
          <t>Jana Holíková:</t>
        </r>
        <r>
          <rPr>
            <sz val="9"/>
            <rFont val="Tahoma"/>
          </rPr>
          <t xml:space="preserve">
23095/06 +13.073
23194.12 -250.000
</t>
        </r>
      </text>
    </comment>
    <comment ref="D775" authorId="336" shapeId="0">
      <text>
        <r>
          <rPr>
            <b/>
            <sz val="9"/>
            <rFont val="Tahoma"/>
          </rPr>
          <t>Jana Holíková:</t>
        </r>
        <r>
          <rPr>
            <sz val="9"/>
            <rFont val="Tahoma"/>
          </rPr>
          <t xml:space="preserve">
23194.12 -300.000
</t>
        </r>
      </text>
    </comment>
    <comment ref="D776" authorId="337" shapeId="0">
      <text>
        <r>
          <rPr>
            <b/>
            <sz val="9"/>
            <rFont val="Tahoma"/>
          </rPr>
          <t>Jana Holíková:</t>
        </r>
        <r>
          <rPr>
            <sz val="9"/>
            <rFont val="Tahoma"/>
          </rPr>
          <t xml:space="preserve">
23178/11 -500.000
23194.12 -200.000
</t>
        </r>
      </text>
    </comment>
    <comment ref="D780" authorId="338" shapeId="0">
      <text>
        <r>
          <rPr>
            <b/>
            <sz val="9"/>
            <rFont val="Tahoma"/>
          </rPr>
          <t>Jana Holíková:</t>
        </r>
        <r>
          <rPr>
            <sz val="9"/>
            <rFont val="Tahoma"/>
          </rPr>
          <t xml:space="preserve">
23137/09 -250.000
</t>
        </r>
      </text>
    </comment>
    <comment ref="D786" authorId="339" shapeId="0">
      <text>
        <r>
          <rPr>
            <b/>
            <sz val="9"/>
            <rFont val="Tahoma"/>
          </rPr>
          <t>Jana Holíková:</t>
        </r>
        <r>
          <rPr>
            <sz val="9"/>
            <rFont val="Tahoma"/>
          </rPr>
          <t xml:space="preserve">
23194.12 +2.450.000
</t>
        </r>
      </text>
    </comment>
    <comment ref="D790" authorId="340" shapeId="0">
      <text>
        <r>
          <rPr>
            <b/>
            <sz val="9"/>
            <rFont val="Tahoma"/>
          </rPr>
          <t>Jana Holíková:</t>
        </r>
        <r>
          <rPr>
            <sz val="9"/>
            <rFont val="Tahoma"/>
          </rPr>
          <t xml:space="preserve">
23103/07 -80.000
23171/11 -20.000
</t>
        </r>
      </text>
    </comment>
    <comment ref="D793" authorId="341" shapeId="0">
      <text>
        <r>
          <rPr>
            <b/>
            <sz val="9"/>
            <rFont val="Tahoma"/>
          </rPr>
          <t>Jana Holíková:</t>
        </r>
        <r>
          <rPr>
            <sz val="9"/>
            <rFont val="Tahoma"/>
          </rPr>
          <t xml:space="preserve">
23137/09 -400.000
</t>
        </r>
      </text>
    </comment>
    <comment ref="D795" authorId="342" shapeId="0">
      <text>
        <r>
          <rPr>
            <b/>
            <sz val="9"/>
            <rFont val="Tahoma"/>
          </rPr>
          <t>Jana Holíková:</t>
        </r>
        <r>
          <rPr>
            <sz val="9"/>
            <rFont val="Tahoma"/>
          </rPr>
          <t xml:space="preserve">
23020/02 +150.000
23173/11 
-32.530 -110.347,82
</t>
        </r>
      </text>
    </comment>
    <comment ref="D796" authorId="343" shapeId="0">
      <text>
        <r>
          <rPr>
            <b/>
            <sz val="9"/>
            <rFont val="Tahoma"/>
          </rPr>
          <t>Jana Holíková:</t>
        </r>
        <r>
          <rPr>
            <sz val="9"/>
            <rFont val="Tahoma"/>
          </rPr>
          <t xml:space="preserve">
23137/09 -600.000
</t>
        </r>
      </text>
    </comment>
    <comment ref="D797" authorId="344" shapeId="0">
      <text>
        <r>
          <rPr>
            <b/>
            <sz val="9"/>
            <rFont val="Tahoma"/>
          </rPr>
          <t>Jana Holíková:</t>
        </r>
        <r>
          <rPr>
            <sz val="9"/>
            <rFont val="Tahoma"/>
          </rPr>
          <t xml:space="preserve">
23024/02 -4.000.000
</t>
        </r>
      </text>
    </comment>
    <comment ref="D799" authorId="345" shapeId="0">
      <text>
        <r>
          <rPr>
            <b/>
            <sz val="9"/>
            <rFont val="Tahoma"/>
          </rPr>
          <t>Jana Holíková:</t>
        </r>
        <r>
          <rPr>
            <sz val="9"/>
            <rFont val="Tahoma"/>
          </rPr>
          <t xml:space="preserve">
23137/09 -900.000
</t>
        </r>
      </text>
    </comment>
    <comment ref="D801" authorId="346" shapeId="0">
      <text>
        <r>
          <rPr>
            <b/>
            <sz val="9"/>
            <rFont val="Tahoma"/>
          </rPr>
          <t>Jana Holíková:</t>
        </r>
        <r>
          <rPr>
            <sz val="9"/>
            <rFont val="Tahoma"/>
          </rPr>
          <t xml:space="preserve">
23546/04 +4.000
23620/09 +100.000
</t>
        </r>
      </text>
    </comment>
    <comment ref="D810" authorId="347" shapeId="0">
      <text>
        <r>
          <rPr>
            <b/>
            <sz val="9"/>
            <rFont val="Tahoma"/>
          </rPr>
          <t>Jana Holíková:</t>
        </r>
        <r>
          <rPr>
            <sz val="9"/>
            <rFont val="Tahoma"/>
          </rPr>
          <t xml:space="preserve">
23620/09 -100.000
</t>
        </r>
      </text>
    </comment>
    <comment ref="D811" authorId="348" shapeId="0">
      <text>
        <r>
          <rPr>
            <b/>
            <sz val="9"/>
            <rFont val="Tahoma"/>
          </rPr>
          <t>Jana Holíková:</t>
        </r>
        <r>
          <rPr>
            <sz val="9"/>
            <rFont val="Tahoma"/>
          </rPr>
          <t xml:space="preserve">
GV -10.000
</t>
        </r>
      </text>
    </comment>
    <comment ref="D813" authorId="349" shapeId="0">
      <text>
        <r>
          <rPr>
            <b/>
            <sz val="9"/>
            <rFont val="Tahoma"/>
          </rPr>
          <t>Jana Holíková:</t>
        </r>
        <r>
          <rPr>
            <sz val="9"/>
            <rFont val="Tahoma"/>
          </rPr>
          <t xml:space="preserve">
23528/03 +146.700
23546/04 -4.000
</t>
        </r>
      </text>
    </comment>
    <comment ref="D815" authorId="350" shapeId="0">
      <text>
        <r>
          <rPr>
            <b/>
            <sz val="9"/>
            <rFont val="Tahoma"/>
          </rPr>
          <t>Jana Holíková:</t>
        </r>
        <r>
          <rPr>
            <sz val="9"/>
            <rFont val="Tahoma"/>
          </rPr>
          <t xml:space="preserve">
23528/03 -146.700
</t>
        </r>
      </text>
    </comment>
    <comment ref="D816" authorId="351" shapeId="0">
      <text>
        <r>
          <rPr>
            <b/>
            <sz val="9"/>
            <rFont val="Tahoma"/>
          </rPr>
          <t>Jana Holíková:</t>
        </r>
        <r>
          <rPr>
            <sz val="9"/>
            <rFont val="Tahoma"/>
          </rPr>
          <t xml:space="preserve">
23171/11 -280.000
</t>
        </r>
      </text>
    </comment>
    <comment ref="D817" authorId="352" shapeId="0">
      <text>
        <r>
          <rPr>
            <b/>
            <sz val="9"/>
            <rFont val="Tahoma"/>
          </rPr>
          <t>Jana Holíková:</t>
        </r>
        <r>
          <rPr>
            <sz val="9"/>
            <rFont val="Tahoma"/>
          </rPr>
          <t xml:space="preserve">
23103/07 -80.000
23171/11 -20.000
</t>
        </r>
      </text>
    </comment>
    <comment ref="D818" authorId="353" shapeId="0">
      <text>
        <r>
          <rPr>
            <b/>
            <sz val="9"/>
            <rFont val="Tahoma"/>
          </rPr>
          <t>Jana Holíková:</t>
        </r>
        <r>
          <rPr>
            <sz val="9"/>
            <rFont val="Tahoma"/>
          </rPr>
          <t xml:space="preserve">
GV -2.500
</t>
        </r>
      </text>
    </comment>
    <comment ref="D819" authorId="354" shapeId="0">
      <text>
        <r>
          <rPr>
            <b/>
            <sz val="9"/>
            <rFont val="Tahoma"/>
          </rPr>
          <t>Jana Holíková:</t>
        </r>
        <r>
          <rPr>
            <sz val="9"/>
            <rFont val="Tahoma"/>
          </rPr>
          <t xml:space="preserve">
23137/09 -2.500.000
</t>
        </r>
      </text>
    </comment>
    <comment ref="D821" authorId="355" shapeId="0">
      <text>
        <r>
          <rPr>
            <b/>
            <sz val="9"/>
            <rFont val="Tahoma"/>
          </rPr>
          <t>Jana Holíková:</t>
        </r>
        <r>
          <rPr>
            <sz val="9"/>
            <rFont val="Tahoma"/>
          </rPr>
          <t xml:space="preserve">
23020/02 
-330.000 +180.000
23104/07 +280.000
23171/11 -15.613,03 -1,16
</t>
        </r>
      </text>
    </comment>
    <comment ref="D823" authorId="356" shapeId="0">
      <text>
        <r>
          <rPr>
            <b/>
            <sz val="9"/>
            <rFont val="Tahoma"/>
          </rPr>
          <t>Jana Holíková:</t>
        </r>
        <r>
          <rPr>
            <sz val="9"/>
            <rFont val="Tahoma"/>
          </rPr>
          <t xml:space="preserve">
23620/09 -100.000
</t>
        </r>
      </text>
    </comment>
    <comment ref="D825" authorId="357" shapeId="0">
      <text>
        <r>
          <rPr>
            <b/>
            <sz val="9"/>
            <rFont val="Tahoma"/>
          </rPr>
          <t>Jana Holíková:</t>
        </r>
        <r>
          <rPr>
            <sz val="9"/>
            <rFont val="Tahoma"/>
          </rPr>
          <t xml:space="preserve">
23181/11 +2.000.000
</t>
        </r>
      </text>
    </comment>
    <comment ref="D834" authorId="358" shapeId="0">
      <text>
        <r>
          <rPr>
            <b/>
            <sz val="9"/>
            <rFont val="Tahoma"/>
          </rPr>
          <t>Jana Holíková:</t>
        </r>
        <r>
          <rPr>
            <sz val="9"/>
            <rFont val="Tahoma"/>
          </rPr>
          <t xml:space="preserve">
23620/09 +100.000
GV +10.000
</t>
        </r>
      </text>
    </comment>
    <comment ref="D837" authorId="359" shapeId="0">
      <text>
        <r>
          <rPr>
            <b/>
            <sz val="9"/>
            <rFont val="Tahoma"/>
          </rPr>
          <t>Jana Holíková:</t>
        </r>
        <r>
          <rPr>
            <sz val="9"/>
            <rFont val="Tahoma"/>
          </rPr>
          <t xml:space="preserve">
23137/09 -700.000
</t>
        </r>
      </text>
    </comment>
    <comment ref="D843" authorId="360" shapeId="0">
      <text>
        <r>
          <rPr>
            <b/>
            <sz val="9"/>
            <rFont val="Tahoma"/>
          </rPr>
          <t>Jana Holíková:</t>
        </r>
        <r>
          <rPr>
            <sz val="9"/>
            <rFont val="Tahoma"/>
          </rPr>
          <t xml:space="preserve">
23177/11 +1.000.000
GV +1.100.000
</t>
        </r>
      </text>
    </comment>
    <comment ref="D847" authorId="361" shapeId="0">
      <text>
        <r>
          <rPr>
            <b/>
            <sz val="9"/>
            <rFont val="Tahoma"/>
          </rPr>
          <t>Jana Holíková:</t>
        </r>
        <r>
          <rPr>
            <sz val="9"/>
            <rFont val="Tahoma"/>
          </rPr>
          <t xml:space="preserve">
GV -600.000
</t>
        </r>
      </text>
    </comment>
    <comment ref="D848" authorId="362" shapeId="0">
      <text>
        <r>
          <rPr>
            <b/>
            <sz val="9"/>
            <rFont val="Tahoma"/>
          </rPr>
          <t>Jana Holíková:</t>
        </r>
        <r>
          <rPr>
            <sz val="9"/>
            <rFont val="Tahoma"/>
          </rPr>
          <t xml:space="preserve">
23545/04 +-1.500.000 org
GV -500.000
</t>
        </r>
      </text>
    </comment>
    <comment ref="D849" authorId="363" shapeId="0">
      <text>
        <r>
          <rPr>
            <b/>
            <sz val="9"/>
            <rFont val="Tahoma"/>
          </rPr>
          <t>Jana Holíková:</t>
        </r>
        <r>
          <rPr>
            <sz val="9"/>
            <rFont val="Tahoma"/>
          </rPr>
          <t xml:space="preserve">
GV +2.500
</t>
        </r>
      </text>
    </comment>
    <comment ref="D856" authorId="364" shapeId="0">
      <text>
        <r>
          <rPr>
            <b/>
            <sz val="9"/>
            <rFont val="Tahoma"/>
          </rPr>
          <t>Jana Holíková:</t>
        </r>
        <r>
          <rPr>
            <sz val="9"/>
            <rFont val="Tahoma"/>
          </rPr>
          <t xml:space="preserve">
23137/09 -500.000
</t>
        </r>
      </text>
    </comment>
    <comment ref="D858" authorId="365" shapeId="0">
      <text>
        <r>
          <rPr>
            <b/>
            <sz val="9"/>
            <rFont val="Tahoma"/>
          </rPr>
          <t>Jana Holíková:</t>
        </r>
        <r>
          <rPr>
            <sz val="9"/>
            <rFont val="Tahoma"/>
          </rPr>
          <t xml:space="preserve">
23137/09 -200.000
</t>
        </r>
      </text>
    </comment>
    <comment ref="D873" authorId="366" shapeId="0">
      <text>
        <r>
          <rPr>
            <b/>
            <sz val="9"/>
            <rFont val="Tahoma"/>
          </rPr>
          <t>Jana Holíková:</t>
        </r>
        <r>
          <rPr>
            <sz val="9"/>
            <rFont val="Tahoma"/>
          </rPr>
          <t xml:space="preserve">
23089/06 -242.500
</t>
        </r>
      </text>
    </comment>
    <comment ref="D875" authorId="367" shapeId="0">
      <text>
        <r>
          <rPr>
            <b/>
            <sz val="9"/>
            <rFont val="Tahoma"/>
          </rPr>
          <t>Jana Holíková:</t>
        </r>
        <r>
          <rPr>
            <sz val="9"/>
            <rFont val="Tahoma"/>
          </rPr>
          <t xml:space="preserve">
23017/02
+15.614,79   0309
+57.246,53   0321
+130.295,27 0322
+210.485,42 0323
+444.697,21 0325
</t>
        </r>
      </text>
    </comment>
    <comment ref="D876" authorId="368" shapeId="0">
      <text>
        <r>
          <rPr>
            <b/>
            <sz val="9"/>
            <rFont val="Tahoma"/>
          </rPr>
          <t>Jana Holíková:</t>
        </r>
        <r>
          <rPr>
            <sz val="9"/>
            <rFont val="Tahoma"/>
          </rPr>
          <t xml:space="preserve">
23041/03 -285.281
</t>
        </r>
      </text>
    </comment>
    <comment ref="D877" authorId="369" shapeId="0">
      <text>
        <r>
          <rPr>
            <b/>
            <sz val="9"/>
            <rFont val="Tahoma"/>
          </rPr>
          <t>Jana Holíková:</t>
        </r>
        <r>
          <rPr>
            <sz val="9"/>
            <rFont val="Tahoma"/>
          </rPr>
          <t xml:space="preserve">
23041/03 -285.281
</t>
        </r>
      </text>
    </comment>
    <comment ref="D878" authorId="370" shapeId="0">
      <text>
        <r>
          <rPr>
            <b/>
            <sz val="9"/>
            <rFont val="Tahoma"/>
          </rPr>
          <t>Jana Holíková:</t>
        </r>
        <r>
          <rPr>
            <sz val="9"/>
            <rFont val="Tahoma"/>
          </rPr>
          <t xml:space="preserve">
23156/11 +300.000
</t>
        </r>
      </text>
    </comment>
    <comment ref="D880" authorId="371" shapeId="0">
      <text>
        <r>
          <rPr>
            <b/>
            <sz val="9"/>
            <rFont val="Tahoma"/>
          </rPr>
          <t>Jana Holíková:</t>
        </r>
        <r>
          <rPr>
            <sz val="9"/>
            <rFont val="Tahoma"/>
          </rPr>
          <t xml:space="preserve">
23083/06 +50.000
23126/08 
+50.000 +50.000
23182/12 +100.000
23194.12+10.000
</t>
        </r>
      </text>
    </comment>
    <comment ref="D882" authorId="372" shapeId="0">
      <text>
        <r>
          <rPr>
            <b/>
            <sz val="9"/>
            <rFont val="Tahoma"/>
          </rPr>
          <t>Jana Holíková:</t>
        </r>
        <r>
          <rPr>
            <sz val="9"/>
            <rFont val="Tahoma"/>
          </rPr>
          <t xml:space="preserve">
23060/04 -10.050.300
</t>
        </r>
      </text>
    </comment>
    <comment ref="D883" authorId="373" shapeId="0">
      <text>
        <r>
          <rPr>
            <b/>
            <sz val="9"/>
            <rFont val="Tahoma"/>
          </rPr>
          <t>Jana Holíková:</t>
        </r>
        <r>
          <rPr>
            <sz val="9"/>
            <rFont val="Tahoma"/>
          </rPr>
          <t xml:space="preserve">
23083/06 -3.000.000
23118/08 +5.000.000
</t>
        </r>
      </text>
    </comment>
    <comment ref="D886" authorId="374" shapeId="0">
      <text>
        <r>
          <rPr>
            <b/>
            <sz val="9"/>
            <rFont val="Tahoma"/>
          </rPr>
          <t>Jana Holíková:</t>
        </r>
        <r>
          <rPr>
            <sz val="9"/>
            <rFont val="Tahoma"/>
          </rPr>
          <t xml:space="preserve">
23107/07 úz 13014
+ 1.784,32 1201
+10.111,13 1205
</t>
        </r>
      </text>
    </comment>
    <comment ref="D887" authorId="375" shapeId="0">
      <text>
        <r>
          <rPr>
            <b/>
            <sz val="9"/>
            <rFont val="Tahoma"/>
          </rPr>
          <t>Jana Holíková:</t>
        </r>
        <r>
          <rPr>
            <sz val="9"/>
            <rFont val="Tahoma"/>
          </rPr>
          <t xml:space="preserve">
23107/07 úz 13014
+ 1.784,32 1201
+10.111,13 1205
</t>
        </r>
      </text>
    </comment>
    <comment ref="D888" authorId="376" shapeId="0">
      <text>
        <r>
          <rPr>
            <b/>
            <sz val="9"/>
            <rFont val="Tahoma"/>
          </rPr>
          <t>Jana Holíková:</t>
        </r>
        <r>
          <rPr>
            <sz val="9"/>
            <rFont val="Tahoma"/>
          </rPr>
          <t xml:space="preserve">
23016/02 +8.015
</t>
        </r>
      </text>
    </comment>
    <comment ref="D889" authorId="377" shapeId="0">
      <text>
        <r>
          <rPr>
            <b/>
            <sz val="9"/>
            <rFont val="Tahoma"/>
          </rPr>
          <t>Jana Holíková:</t>
        </r>
        <r>
          <rPr>
            <sz val="9"/>
            <rFont val="Tahoma"/>
          </rPr>
          <t xml:space="preserve">
23016/02 +33.210
</t>
        </r>
      </text>
    </comment>
    <comment ref="D890" authorId="378" shapeId="0">
      <text>
        <r>
          <rPr>
            <b/>
            <sz val="9"/>
            <rFont val="Tahoma"/>
          </rPr>
          <t>Jana Holíková:</t>
        </r>
        <r>
          <rPr>
            <sz val="9"/>
            <rFont val="Tahoma"/>
          </rPr>
          <t xml:space="preserve">
23090/06 +1.449.005,28
</t>
        </r>
      </text>
    </comment>
    <comment ref="D891" authorId="379" shapeId="0">
      <text>
        <r>
          <rPr>
            <b/>
            <sz val="9"/>
            <rFont val="Tahoma"/>
          </rPr>
          <t>Jana Holíková:</t>
        </r>
        <r>
          <rPr>
            <sz val="9"/>
            <rFont val="Tahoma"/>
          </rPr>
          <t xml:space="preserve">
23018/02 +221.800
</t>
        </r>
      </text>
    </comment>
    <comment ref="D892" authorId="380" shapeId="0">
      <text>
        <r>
          <rPr>
            <b/>
            <sz val="9"/>
            <rFont val="Tahoma"/>
          </rPr>
          <t>Jana Holíková:</t>
        </r>
        <r>
          <rPr>
            <sz val="9"/>
            <rFont val="Tahoma"/>
          </rPr>
          <t xml:space="preserve">
23050/04 +400.000
</t>
        </r>
      </text>
    </comment>
    <comment ref="D894" authorId="381" shapeId="0">
      <text>
        <r>
          <rPr>
            <b/>
            <sz val="9"/>
            <rFont val="Tahoma"/>
          </rPr>
          <t>Jana Holíková:</t>
        </r>
        <r>
          <rPr>
            <sz val="9"/>
            <rFont val="Tahoma"/>
          </rPr>
          <t xml:space="preserve">
23002/01 -508.200
23003/01 +45.455
23004/01 -2.500.000
23005/01 +2.499.800
23006/01 -1.812.000
23007/01 -76.493,01
23008/01 -33.698
23009/02 -3.663.880
23017/02 -120.860,71
23018/02 -221.800
23019/02 +50.161  poj
23021/02 +14.000.000
23022/02 +14.055,43
23026/02 -1.700.000
23029/02 -300.000
23030/02 -1.938.178,27
23035/03 -436.000
23037/03 -175.000
23038/03 +5.706.845,54
23041/03 +285.281
23043/03 -7.381.538
23044/03 +384
23046/03 +80.676,71
23047/03 +248.308,32
23049/03 -1.750.000
23061/04 +43.797
23062/04 -84.940
23063/04 +3.705,41
23065/05 -231.000
23069/05 -50.000
23071/05 +270
23072/05 +2.989,27
23073/05 +1.200.000 -96.800
23074/05 +921.600
23075/05 
-89.825 -296.450 -213.204
23077/05 -1.000.000
23080/06 -5.500.000
23083/06
+20.000 +76.497 +20200 +36.600 +156.589,68 +5.360 +147.136 +87.410 +265 673,13 +2.870.000
23085/06 -147.136
23089/06 -176
23090/06 -1.449.005,28
23098/07 +23.330.000
23103/07 +160.000
23104/07 -280.000
23105/07 -300.000
23108/07 -150.000
23112/07 -49.000
23114/08 -1.163.197,81
23116/08 -500.000
23118/08 -5.000.000
23119/08 -300.000
23126/08 +9.703.265,68
23605/08 -86.815,98
23127/09 -500.000
23129/09 +700.000
23130/09 +3.074,21
23131/09 +275.000
23136/09 -300.000
23137/09 čistící
+2.277.799,35 +412.445 +7.050.000 
23138/10
+300.000 +1.060.000 +1.000.000 +6.690.000 +7.500.000 +500.000 +1.800.000 +3.930.000 +800.000
23139/10 +1.000.000
23144/10 +98.187
23147/10 +500.000
23151/11 +4.330.000 +700.000
23152/11 +114.563,55
23153/11 -76.493,02
23154/11 +1.650.000
23155/11 +28.572
23156/11 -300.000
23165/11 +62,46
23166/11 +70.122
23168/11 +155.095,79
23169/11 +82.921,96
23170/11 +200.000
23171/11
+48.744 +15.613,03 +1,16 +100.000 +350.000 +280.000 +300.000 +600.000 +10.163 -300.000 +20.000 +20.000
23173/11
+370.000 +175.000 +10.637.000 +26.810 +686.470,59 +30.000 +115.000 +162.566 +32.630 +110.347,82 +594,97
23174/11 +500.000
23175/11 +484.000
23176/11 +700.000
23182/11 +500.000
23183/11 +1.550.000
23184/11 +2.200.000
23185/11 +4.011
23187/12 -52.695,50
23188/12 +300.000
23189/12 +2.180.699,34
23191/12 +217.373,47
23192/12 -100.000
23193/12 +3.337.434
23194.12 -117.496 -2.869.843,80 -287.980 -101.945,85 -5.103.000 -8.281.000 +323,86
23195/12 +1.600.000 +900.000
23196/12 -100.000
</t>
        </r>
      </text>
    </comment>
    <comment ref="D895" authorId="382" shapeId="0">
      <text>
        <r>
          <rPr>
            <b/>
            <sz val="9"/>
            <rFont val="Tahoma"/>
          </rPr>
          <t>Jana Holíková:</t>
        </r>
        <r>
          <rPr>
            <sz val="9"/>
            <rFont val="Tahoma"/>
          </rPr>
          <t xml:space="preserve">
23069/05 +40.000 +10.000
23083/06 +80.000
</t>
        </r>
      </text>
    </comment>
    <comment ref="D896" authorId="383" shapeId="0">
      <text>
        <r>
          <rPr>
            <b/>
            <sz val="9"/>
            <rFont val="Tahoma"/>
          </rPr>
          <t>Jana Holíková:</t>
        </r>
        <r>
          <rPr>
            <sz val="9"/>
            <rFont val="Tahoma"/>
          </rPr>
          <t xml:space="preserve">
23605/08 +86.815,98
</t>
        </r>
      </text>
    </comment>
  </commentList>
</comments>
</file>

<file path=xl/comments5.xml><?xml version="1.0" encoding="utf-8"?>
<comments xmlns="http://schemas.openxmlformats.org/spreadsheetml/2006/main">
  <authors>
    <author>tc={00A900E3-0058-4C7C-AAA7-004B0060001C}</author>
    <author>tc={006F0001-00CD-43D7-A093-00B70091007D}</author>
    <author>tc={005F0077-009F-4109-B965-001F00470029}</author>
    <author>tc={005E00D3-00B3-4E05-8E01-00DB00EF0008}</author>
    <author>tc={00260076-0069-41DC-B78D-00C700CB0088}</author>
    <author>tc={00E700F3-00CF-4FE1-B218-009D00FB0026}</author>
    <author>tc={00FF00C7-00D9-421C-8BBA-00DB000800EC}</author>
    <author>tc={00670096-0026-4261-B440-00DB007C0056}</author>
    <author>tc={00270005-0049-4F11-A3E7-00F30095007E}</author>
    <author>tc={0017008C-0078-4167-9AF9-008B009D00AB}</author>
    <author>tc={005400BA-0095-47A8-A0E5-007A00E70031}</author>
    <author>tc={004000FC-0001-424A-94E7-00500025009E}</author>
    <author>tc={0032007D-0006-45DD-922B-002D008A0028}</author>
    <author>tc={00550003-00C0-49C3-BA5F-00F600BC0093}</author>
    <author>tc={0091002C-007D-4B08-AA75-00FC00A20049}</author>
    <author>tc={008700E4-0085-48AA-95CA-00F200250043}</author>
    <author>tc={00BB00EE-0012-4F9E-887D-00CD00160015}</author>
    <author>tc={006F0097-00B0-4723-92E1-0087007900D2}</author>
    <author>tc={008500F3-002A-4221-AED5-009200700060}</author>
    <author>tc={0028005D-0062-45BD-A257-00FE00E7005B}</author>
    <author>tc={00EF0039-008B-44A6-9697-00BF004A0058}</author>
    <author>tc={00E30010-00BC-408B-9DC9-00A900770032}</author>
    <author>tc={00CE00B7-003E-4845-B523-00170045002B}</author>
    <author>tc={00FF00F3-0070-4507-829A-001400BD00C3}</author>
    <author>tc={00F500D5-00F1-4119-9CEE-0049005A009E}</author>
    <author>tc={005C00DD-00C3-45F1-8171-00F900FB00CB}</author>
    <author>tc={006500E9-0004-47CC-9690-00C700DF005A}</author>
    <author>tc={008E006B-00F6-4D21-BFD4-002800AE003E}</author>
    <author>tc={008B0016-0046-45F8-BBCE-006000FB00D2}</author>
    <author>tc={00D1007F-00C1-4A7D-AFF0-0046005C0098}</author>
    <author>tc={00A500CC-00AB-4889-A237-005A001B0056}</author>
    <author>tc={00420031-0082-4570-B288-009F0017000B}</author>
    <author>tc={008800E9-00C2-487C-87BC-00F600D100BA}</author>
    <author>tc={0087008C-0041-460A-8E20-0010008800D9}</author>
    <author>tc={00390019-00FF-4810-9824-00FD004300D2}</author>
    <author>tc={009100AF-0056-41D7-9D0F-00DF00380046}</author>
    <author>tc={0040002B-00BE-4967-8EBB-00D500A50027}</author>
    <author>tc={004E00D7-0016-4E7C-8BA6-008A003B0046}</author>
    <author>tc={001A00A2-0011-49D4-9CC3-00F800D50059}</author>
    <author>tc={00FE00B2-0019-49D7-A825-006A00810049}</author>
    <author>tc={008B0065-00CD-4D45-B70E-00A1008700BE}</author>
    <author>tc={00B700BF-00F9-4FF9-B29B-004700E000EA}</author>
    <author>tc={00360052-0042-452E-9217-00DC00610081}</author>
    <author>tc={00680095-008F-43E0-A3FC-00BB002D0031}</author>
    <author>tc={00B1005D-003B-4DC6-84FF-00C4005D005A}</author>
    <author>tc={001E00CC-0032-4B9D-9608-007200A4001B}</author>
    <author>tc={001C00F7-0037-43EB-8743-00E500A90093}</author>
    <author>tc={009C00AD-00E9-4E42-AD26-005300B30064}</author>
    <author>tc={00C800BD-0030-42AD-9E6F-00D300720046}</author>
    <author>tc={00F50090-00AA-4662-A356-00DD003000D4}</author>
    <author>tc={0011005A-00AD-40AC-915B-00B600750053}</author>
    <author>tc={00DD003F-0003-4097-805B-005600AE0060}</author>
    <author>tc={001700EB-00A7-4543-91FD-00E900120075}</author>
    <author>tc={00C5002E-001A-4272-BBBA-008900C800D7}</author>
    <author>tc={00F2004D-005E-4B91-9441-000300E4008F}</author>
    <author>tc={001C0080-00D3-48A6-B240-009400A3000C}</author>
    <author>tc={00E70040-0029-4410-AC87-003E006900E6}</author>
    <author>tc={0073002A-004E-45E4-9AC2-002000CA00F2}</author>
    <author>tc={009700B6-00FC-408B-B76C-00AF002D0032}</author>
    <author>tc={00040062-00BA-421E-88C7-003A004A009F}</author>
    <author>tc={00BC001C-006D-4ECA-B8EE-002D00A00024}</author>
    <author>tc={00BD008F-004A-458B-B9B0-0020003C0037}</author>
    <author>tc={00DA009B-0037-483B-97A0-0081003E0078}</author>
    <author>tc={00B400A4-0082-4590-9399-002000D50082}</author>
    <author>tc={007600A9-0004-423E-8C5C-00E800D10023}</author>
    <author>tc={008C0089-0020-4914-AE82-009100C90041}</author>
    <author>tc={00C40074-002A-4E42-A7FE-008F000B005F}</author>
    <author>tc={003A0044-0008-4017-A512-006400950000}</author>
    <author>tc={0072008E-00D0-4A31-A7C5-0027002C00D9}</author>
    <author>tc={009F003A-00C7-4540-8883-003E001F009A}</author>
    <author>tc={00F400D9-00AD-4EF4-8810-003900C900D2}</author>
    <author>tc={00200094-00C8-4546-8399-0084003E0042}</author>
    <author>tc={00260097-00C6-448C-8020-003800BC00F4}</author>
    <author>tc={006F00C4-000E-4A9D-953E-00D400D500E5}</author>
    <author>tc={00ED00C0-005E-4CAB-9231-008400FD00D8}</author>
    <author>tc={00000002-00DC-430C-B32E-00470044009C}</author>
    <author>tc={00E6004B-00BD-4100-B769-0026003A0098}</author>
    <author>tc={0006009F-00D0-4C2E-A0A4-000B001F0093}</author>
    <author>tc={001E0066-0092-4282-B3ED-00D2002400CD}</author>
    <author>tc={002100E2-0003-4389-B28E-000000AD00D6}</author>
    <author>tc={00590024-0091-41C6-BEBA-00460008003D}</author>
    <author>tc={00CD00E4-0028-45FF-94F6-0089002F00B0}</author>
    <author>tc={001E00EC-00AB-4F48-B111-004500B6004C}</author>
    <author>tc={002D0004-00E3-47F0-8473-000000ED0059}</author>
    <author>tc={008B000A-008F-4BDB-97E8-006B004A00EB}</author>
    <author>tc={0008008B-004E-48BC-A010-006A009300BF}</author>
    <author>tc={00D5006C-00C3-407C-A68A-00D700D10005}</author>
    <author>tc={003B00CE-00BC-454F-85AE-00B8006C00B0}</author>
    <author>tc={0088006C-00F7-42C9-ADDF-00EC00390006}</author>
    <author>tc={002A004F-00D2-4A25-9EEF-004600D6008A}</author>
    <author>tc={009A00F5-00E3-40E9-92A2-0077002600A3}</author>
    <author>tc={006F00DA-0008-4569-B47F-003A00AD0050}</author>
    <author>tc={00480093-00BC-44BE-8B9A-005000C70042}</author>
    <author>tc={004E00E2-00DE-40AB-9933-008F00D90093}</author>
    <author>tc={008D0087-0063-443D-8C22-006E00590004}</author>
    <author>tc={000C00E8-0007-44CA-B95E-002C00C20010}</author>
    <author>tc={008700D4-00AA-44F4-BF91-0017003800CE}</author>
    <author>tc={0045007E-0021-4941-9DDE-003F00630084}</author>
    <author>tc={005F0045-00BA-444F-998A-003300EC007B}</author>
    <author>tc={00460053-00C0-4278-938A-00D80071007C}</author>
    <author>tc={00990074-00A7-4315-927F-00D2006B00F8}</author>
    <author>tc={00500091-0047-4CD5-9074-00C900B3000A}</author>
    <author>tc={00FB00E1-004D-407F-9D4D-000800C40033}</author>
    <author>tc={0071007D-0096-4779-BB17-004200B900BE}</author>
    <author>tc={000100B0-00D1-48F7-954F-005D00500001}</author>
    <author>tc={00F300AA-00DF-40C0-A67F-004D00790085}</author>
    <author>tc={00BD001E-0056-4EFF-89D5-007500B200A3}</author>
    <author>tc={00F700F9-0072-44F6-A88B-00F40060000F}</author>
    <author>tc={00AD00BA-00BE-4028-9198-000E005600C2}</author>
    <author>tc={008A00EA-00B1-42E7-8E0A-000700080037}</author>
    <author>tc={00C4001F-00CB-46B5-8E4B-00AD005F0063}</author>
    <author>tc={00480019-0045-4E86-AB6F-004C0014002B}</author>
    <author>tc={001C0070-00BB-48E5-A6B8-00010027009B}</author>
    <author>tc={008B0035-00FD-4528-A4AD-0013007700C3}</author>
    <author>tc={00D800D5-000D-41AD-9D77-00ED00E2005C}</author>
    <author>tc={000200EF-0014-4766-B6C1-00FA00210021}</author>
    <author>tc={006F003D-0036-49AB-AA31-00C500F0003B}</author>
    <author>tc={00AB0061-004E-4B4E-95A3-0019005100AD}</author>
    <author>tc={007D00B6-0092-495C-9C53-00BC004F0030}</author>
    <author>tc={0000001C-0013-45C4-99EA-002400B000B3}</author>
    <author>tc={00C5001D-005E-4017-A22E-002100E10003}</author>
    <author>tc={00B600A9-00FC-4585-8B32-009B003700AF}</author>
    <author>tc={00AB0024-0049-4AF7-937E-00930065004B}</author>
    <author>tc={005E00BE-00E1-4F5B-85F6-00C5004800FA}</author>
    <author>tc={00ED009F-002A-463E-9CB0-000D00DF00C2}</author>
    <author>tc={0082009D-0094-4936-A30B-00EB003A0061}</author>
    <author>tc={0074009C-004E-467A-BA8E-0029003000FA}</author>
    <author>tc={00050050-00F1-4B42-80CE-003200610096}</author>
    <author>tc={00E900FC-007E-4888-BFE2-00DF005D00D0}</author>
    <author>tc={00760070-006D-427C-8D16-00D000E700B8}</author>
    <author>tc={007E008C-0004-44E8-BB35-0067009A009E}</author>
    <author>tc={008000AD-00C1-4DAF-97CA-007000BE0065}</author>
    <author>tc={00C20090-008A-4A0A-A939-008E008C001E}</author>
    <author>tc={006C0064-0021-46CE-9E17-00B000600072}</author>
    <author>tc={00350021-0010-40CF-AD43-008400CB00BB}</author>
    <author>tc={007100FE-008A-4E53-B7C8-00DD009200CE}</author>
    <author>tc={008900E2-00A8-4C17-BE89-0018008C0016}</author>
    <author>tc={006E0042-00DB-48B3-9068-007700920008}</author>
    <author>tc={00A500AB-0033-45D6-B2FA-001100C600A6}</author>
    <author>tc={00280089-0021-4712-A63E-0023008800C5}</author>
    <author>tc={0052004D-002A-4449-A9BE-004800A100AD}</author>
    <author>tc={004600DE-006B-429F-948F-002800C400BC}</author>
    <author>tc={00E800AD-0067-4C23-AA80-00BC00F00031}</author>
    <author>tc={009E0029-0089-4DF1-A5BE-000000D000EF}</author>
    <author>tc={005700C6-00B0-409B-BBC3-00630071002B}</author>
    <author>tc={008B005A-00A6-4A5A-B9D5-00C700EF0075}</author>
    <author>tc={006C00A1-0040-437D-B115-009300160096}</author>
    <author>tc={005500A0-0096-4B2A-8200-006D00A10010}</author>
    <author>tc={002800FA-0090-47B3-81AF-00CA00030007}</author>
    <author>tc={00FD0065-0097-4267-80CF-003D00C1007F}</author>
    <author>tc={00490098-0057-4039-A54E-00B600F800AE}</author>
    <author>tc={00A30078-00EB-499C-9872-004B000500F8}</author>
    <author>tc={005200CA-0040-46D3-8EC3-0046004200EE}</author>
    <author>tc={004C0066-0091-449E-9693-002C00070001}</author>
    <author>tc={006D000C-0010-4B74-BF44-0078001D0089}</author>
    <author>tc={00300055-0008-4142-AF16-009000570015}</author>
    <author>tc={00DC0070-009B-43DB-96F5-00D1009B004B}</author>
    <author>tc={00B7008D-00AC-4D2D-B8A0-0045009C00A2}</author>
    <author>tc={002B00AA-0085-4B15-AC74-0079000500C9}</author>
    <author>tc={008E004E-0031-4743-BD6A-00DC003A00DC}</author>
    <author>tc={005E0084-001C-49BB-9EA8-00AC002000CC}</author>
    <author>tc={003E009D-002C-4C75-A8D7-009F00C900B9}</author>
    <author>tc={00790072-0026-4B9C-9891-007C00170032}</author>
    <author>tc={004D0032-00E6-4F80-A20A-0097004F0061}</author>
    <author>tc={00B3001F-0078-47FA-9029-00F400DE0006}</author>
    <author>tc={001D00F6-0037-4DEB-AAEA-009A00BE0042}</author>
    <author>tc={00F90064-00D7-4B98-9975-00640072004E}</author>
    <author>tc={00A2005B-00C8-4C60-B4DA-00A900E800AD}</author>
    <author>tc={007B008F-0050-4D2D-8E54-005A00F50087}</author>
    <author>tc={00F00054-00CA-45CA-9B6B-006600F300C2}</author>
    <author>tc={006E008F-008A-4DC1-A5A6-009700F100C6}</author>
    <author>tc={00870075-0072-4700-9A1B-001600380072}</author>
    <author>tc={00E10010-0088-481F-B1BB-00F900CF0067}</author>
    <author>tc={00070037-0090-4041-8008-003C0076007C}</author>
    <author>tc={00CB00B1-003D-4658-BE63-00AE00CE0081}</author>
    <author>tc={00A100FD-0013-4239-A999-009E00C70075}</author>
    <author>tc={00FB00E4-0045-437F-AE8D-003500F700E3}</author>
    <author>tc={00310004-0079-4AB0-BE59-0042002000BC}</author>
    <author>tc={0065006A-0025-46F0-99EC-007400B20047}</author>
    <author>tc={00FE004B-00E5-4A42-8A8A-000100FC00D0}</author>
    <author>tc={004D00E7-00FF-4606-A928-00FB008D0005}</author>
    <author>tc={006C0007-0057-4480-9667-00EC005B00B1}</author>
    <author>tc={008B007A-0059-45BB-B2F9-009200E2005F}</author>
    <author>tc={00410006-0003-4190-A72B-001C009100B3}</author>
    <author>tc={00A9004B-00EA-4349-A808-00E300F2005E}</author>
    <author>tc={008D0013-009F-4D37-9471-002400DD00CC}</author>
    <author>tc={00C700E3-00BB-4D14-A8F8-002500EE001B}</author>
    <author>tc={0062001D-0086-4D03-8FD6-00800000004C}</author>
    <author>tc={00B7006B-008B-43EA-8971-004000000079}</author>
    <author>tc={004A002D-0052-412F-AE1E-003F00900069}</author>
    <author>tc={0059001D-00AA-4B0D-8679-00C600520041}</author>
    <author>tc={009D000F-0052-4324-9A2A-0035009D00AA}</author>
    <author>tc={004400F4-00CB-44DB-BEAC-005F00500053}</author>
    <author>tc={00C700D4-0011-4D86-AAAD-00E40033005B}</author>
    <author>tc={00EE00C9-0039-4A44-A593-001C009A0063}</author>
    <author>tc={00A40098-00AB-4151-8B19-009C00FE00D7}</author>
    <author>tc={001D001B-00D6-43C2-8A69-00E100F700FB}</author>
    <author>tc={00750056-007B-4611-AD5D-00A700000009}</author>
    <author>tc={00830049-00AF-40AC-9579-00E500730016}</author>
    <author>tc={008C00A2-0016-4A90-A2A4-007E00E500AD}</author>
    <author>tc={006300EE-007E-485A-94DB-00630084000E}</author>
    <author>tc={004700EC-00CA-4699-96F3-008100EA00BC}</author>
    <author>tc={008F00CC-00E8-4D81-B6B1-0045006B00AF}</author>
    <author>tc={002C0029-004E-4FAD-86A3-0060002F006C}</author>
    <author>tc={0022001B-00C1-4466-8229-00BC001C00E3}</author>
    <author>tc={002500F4-0023-49B9-856E-005700D100E3}</author>
    <author>tc={0085002B-0015-43A2-BD80-00EB00540052}</author>
    <author>tc={00A000B1-0025-43BD-B3E8-009900450032}</author>
    <author>tc={007D00D5-00F9-452B-933E-0005000800F6}</author>
    <author>tc={00070074-00A8-4BD6-A706-007C00C1004D}</author>
    <author>tc={00B6008C-0059-4784-9E56-009F00EE008F}</author>
    <author>tc={004700B1-00C6-4EFA-B325-00F000010009}</author>
    <author>tc={00650064-00AB-41D6-AA9D-0036002E0087}</author>
    <author>tc={00FB00D4-0029-465C-83B7-009D00030099}</author>
    <author>tc={002F00D9-0053-4626-9882-00570024004E}</author>
    <author>tc={00160097-0015-498F-A03D-006400C90055}</author>
    <author>tc={0012007F-00D8-4F78-859F-007300CD0043}</author>
    <author>tc={00940033-0003-4E46-A05A-002F001C00DB}</author>
    <author>tc={003A0075-0019-4EF7-8019-008200E100CF}</author>
    <author>tc={009C0071-00D3-46C1-BE5F-005400E900E6}</author>
    <author>tc={00CC00CA-0007-45A4-ABE0-00D400A000EF}</author>
    <author>tc={00CC00A1-0097-40FD-B408-001A00F70091}</author>
    <author>tc={002300AA-00A1-483C-8115-002B00230079}</author>
    <author>tc={00C100E7-00F3-49D1-A59A-008200FE008A}</author>
    <author>tc={002E0081-0065-4AB5-BA64-00C4001D00B7}</author>
    <author>tc={00D700E8-0048-444D-8274-009E00AC0089}</author>
    <author>tc={00F100D9-000A-4A5D-87CF-0022006A0047}</author>
    <author>tc={004800DE-002C-4290-BC86-002800D000C6}</author>
    <author>tc={005A004F-003F-4113-B8C8-005600CA002A}</author>
    <author>tc={004100F8-004C-457B-9A3B-0072007100A9}</author>
    <author>tc={009600F4-00A9-4A4C-86ED-00CB0020001C}</author>
    <author>tc={009800E5-00C1-4C6E-9A91-009400F1004C}</author>
    <author>tc={002400F8-005F-437A-AAF6-0010003B008B}</author>
    <author>tc={00D3008D-0023-40B7-870D-002B006B00D0}</author>
    <author>tc={004E0026-0074-4802-9088-007F00580043}</author>
    <author>tc={0007006C-0087-407B-8EC2-00A200BA0065}</author>
    <author>tc={00AB0061-009E-47DB-9B0A-00A5007C00C2}</author>
    <author>tc={00F20093-0085-45AF-8B1C-00F7008C0009}</author>
    <author>tc={00EB002D-00A8-4A86-BD1D-0082001200DD}</author>
    <author>tc={001900E5-002B-4C56-929B-00BF00CF0063}</author>
    <author>tc={0032002D-00B7-4F29-B418-0056008B00A7}</author>
    <author>tc={00720009-0094-4C0F-8E99-006700670097}</author>
    <author>tc={009A00D3-0036-48F3-905A-005100C80064}</author>
    <author>tc={0023001C-004A-47E0-8039-001C002900C1}</author>
    <author>tc={002B00A0-00FA-4693-8B5E-0015000E006F}</author>
    <author>tc={000000E3-0052-4E9C-9CB3-004900070061}</author>
    <author>tc={002C00A9-008E-476A-BE74-00BA0034001B}</author>
    <author>tc={007E00BB-0033-430F-858C-001600C500B7}</author>
    <author>tc={002C0000-0038-4ACB-BB1F-009700D10041}</author>
    <author>tc={00B600DB-007F-4E9B-9DE8-009C0049003F}</author>
    <author>tc={00DB004A-006E-4424-A326-00C5009600B3}</author>
    <author>tc={00D500C1-002F-4793-AFFA-007300600033}</author>
    <author>tc={00D000F7-00AA-4B91-AA62-00AA00590000}</author>
    <author>tc={00C60045-0087-4F13-90E9-00AC009300F3}</author>
    <author>tc={00AB001D-002E-4B78-BB44-00E4000A001D}</author>
    <author>tc={00BF00F7-00B0-47BF-9DE4-00EE0090008F}</author>
    <author>tc={003E006A-0081-4D4B-8A73-008A00A10009}</author>
    <author>tc={0090003F-001A-4801-8145-00FD00D3001C}</author>
    <author>tc={00E70029-00AA-42DE-A945-00B3002E00AA}</author>
    <author>tc={004A00D6-00EB-4635-9F8F-008100B4004C}</author>
    <author>tc={00D1005B-0061-42B5-AE57-007200A30002}</author>
    <author>tc={001D00C6-00A4-4C72-A97F-006500580034}</author>
    <author>tc={000600E4-00DD-4004-B8CB-000700180064}</author>
    <author>tc={00EC0006-0001-48B8-AC67-00A600570080}</author>
    <author>tc={00E200E9-00E7-4F0F-82F3-0021006B005A}</author>
    <author>tc={0057004C-0004-49D7-8129-001F00FA0042}</author>
    <author>tc={004E00FF-0092-47F4-85D9-008C00F2005B}</author>
    <author>tc={006800EF-0004-4B08-BD78-001A002000FD}</author>
    <author>tc={00EE001B-00E0-4FAB-8CAE-00EC00810074}</author>
    <author>tc={00990009-0081-483E-A84D-0034003A00DA}</author>
    <author>tc={002600B5-00AB-4128-8515-00AC00960073}</author>
    <author>tc={0048003C-0022-47D4-8ABF-003300D000CC}</author>
    <author>tc={00E3003D-00F9-4F09-8C4E-00DE002900A3}</author>
    <author>tc={0066000B-009F-43F2-8FB7-009500710033}</author>
    <author>tc={002F0083-0083-4763-AD00-00CD00B80035}</author>
    <author>tc={007C006F-0040-4ED8-B5ED-000300B60053}</author>
    <author>tc={007A0055-0008-4A46-8137-00CB004D0069}</author>
    <author>tc={00BF00D2-00F7-468A-87F2-00EC00EB0079}</author>
    <author>tc={00750042-00A0-4522-8577-001C009F00AF}</author>
    <author>tc={00EF00AB-000C-4886-A8DE-009C00460056}</author>
    <author>tc={00F7001A-00B6-407E-9F49-006100760059}</author>
    <author>tc={00AD00EA-0035-4CFD-923B-0063000600A1}</author>
    <author>tc={00FD006D-0002-45A7-A892-00C0000700D5}</author>
    <author>tc={006F00BD-00D7-4E15-BCB0-002C00090048}</author>
    <author>tc={007600C3-0029-4ED5-B716-000F001E004D}</author>
    <author>tc={003100D9-008C-4B5C-BA36-00A20026002F}</author>
    <author>tc={00E40038-0095-4E9C-B2E4-002800990093}</author>
    <author>tc={00890023-0070-463C-871F-00B30064009F}</author>
    <author>tc={008A00DA-0018-465B-B7FA-00550032008F}</author>
    <author>tc={009C00CB-0090-4D09-BABC-00B7007C003E}</author>
    <author>tc={002800AA-000F-4C89-B774-00D700F4002A}</author>
    <author>tc={005D0039-0000-42CE-B7FF-00DD005D0073}</author>
    <author>tc={00E40019-009B-46A6-953D-00C1008E0033}</author>
    <author>tc={008A00BD-004A-4460-A8B7-007F00D00018}</author>
    <author>tc={001700F0-00FB-4EA3-9441-00500094003E}</author>
    <author>tc={00010083-00FF-4FCE-B1F5-00C600CD0058}</author>
    <author>tc={00F80018-00A8-47E0-9AF0-008F0044008D}</author>
    <author>tc={00200063-00D6-40E1-B5C9-001900970078}</author>
    <author>tc={00070025-00D8-49AF-A57C-00E800B4006B}</author>
    <author>tc={00790075-00B1-40EB-B31C-002E00EC00A6}</author>
    <author>tc={002500CE-00C4-43AD-B6C9-00AC000400F6}</author>
    <author>tc={00C300CC-005C-491D-9A02-003700450016}</author>
    <author>tc={00A200AD-00AC-4AAC-99AA-003700FA0048}</author>
    <author>tc={00790083-0046-4F1E-912E-0078005900B1}</author>
    <author>tc={00FA0013-0013-43E4-8210-00B60082002D}</author>
    <author>tc={00CE00D4-00D0-401D-B49A-002300710086}</author>
    <author>tc={00BF00C1-00B0-4D92-8C45-002C004C0029}</author>
    <author>tc={00E0009C-0093-465A-A787-005900CF0006}</author>
    <author>tc={00B800F0-00E6-428F-8C6B-001200BF0004}</author>
    <author>tc={00FE0083-00C1-4CCC-AECA-0000001C0032}</author>
    <author>tc={00F000A7-0024-46E9-94D2-0014002D0038}</author>
    <author>tc={0097002E-0039-4493-A782-009D000000F3}</author>
    <author>tc={005A003F-00A9-4327-A7DD-00B9004100F8}</author>
    <author>tc={00390090-00A2-4800-BED9-001E003F00C5}</author>
    <author>tc={00BD00A8-00A3-4CC9-B436-00FC00A500CF}</author>
    <author>tc={007600CF-0039-477E-961F-000B004500A4}</author>
    <author>tc={00F600FC-003D-4931-B497-00FD0088007A}</author>
    <author>tc={008B00B6-0019-46BC-A003-0088001A007C}</author>
    <author>tc={00FA0044-00EC-4556-90DF-004400B200BE}</author>
    <author>tc={00030027-0000-4289-8599-0031004F0032}</author>
    <author>tc={00DE00B0-00A1-4A61-B10A-00A500240088}</author>
    <author>tc={000F0004-0011-4951-96F6-005B003800BC}</author>
    <author>tc={00660013-00DB-4C34-A12A-0097004800C3}</author>
    <author>tc={00BA00A2-0037-46FE-92D8-0087005D0062}</author>
    <author>tc={00D100D1-0037-450E-834C-003300FD0070}</author>
    <author>tc={006E001A-00FE-4B43-B1EB-00EB0068007F}</author>
    <author>tc={00D10057-00DA-416F-A279-002200310043}</author>
    <author>tc={008600F0-0037-4A16-9EE8-009500DE0037}</author>
    <author>tc={00D90014-0018-415A-927E-004700230034}</author>
    <author>tc={00410032-00A6-41FD-9B6F-008C00FF0080}</author>
    <author>tc={00660018-0021-412F-B40B-00CA005500D7}</author>
    <author>tc={0019009B-008B-40E5-8DCF-009B00AD00FF}</author>
    <author>tc={007C00E1-0070-43FB-B7F8-005C00E300AE}</author>
    <author>tc={00EC00AD-0072-4314-8912-0040006E006F}</author>
    <author>tc={0098005C-004A-4C98-80C6-0032007700C7}</author>
    <author>tc={003200F6-0049-4883-B59D-00AD00F800F8}</author>
    <author>tc={003100A3-001C-4BC2-909B-003A0052002C}</author>
    <author>tc={001D008A-004B-4956-B492-009E00E3008A}</author>
    <author>tc={0016001E-00D3-42EA-BB5C-00DC00A10068}</author>
    <author>tc={00FE0019-00E1-4974-AAD5-003D00580025}</author>
    <author>tc={00C60038-0027-4D03-A353-009D00B700C4}</author>
    <author>tc={002500EB-0015-43BC-9D7D-0021004C00E4}</author>
    <author>tc={00C000B6-002F-439B-9303-001100C800B6}</author>
    <author>tc={009900FA-00C2-45D4-8C76-00A800F30087}</author>
    <author>tc={00A30042-00EB-44BF-A67C-00B300970079}</author>
    <author>tc={002F0019-007B-4579-B5CD-008F00640037}</author>
    <author>tc={00E0009E-0085-4459-9F8F-00CF002A0043}</author>
    <author>tc={008200E6-00D7-4209-8F77-00DC00470078}</author>
    <author>tc={00BC00D1-0041-4085-9DFE-00FF0099006E}</author>
    <author>tc={001E004D-00C9-43DB-9A72-00B0006000A5}</author>
    <author>tc={001A002D-009B-4DA1-AB5E-00FC001C00F3}</author>
    <author>tc={004F006D-004D-49E0-93D5-0067000900E2}</author>
    <author>tc={00530028-004D-44AE-8F84-007C006C00E6}</author>
    <author>tc={009500A8-00BF-42A2-9324-007200D800AE}</author>
    <author>tc={00210097-000F-423F-80D7-00E200A400DC}</author>
    <author>tc={00320048-007A-474B-AD1C-000C00FE0018}</author>
    <author>tc={00C000E8-00C5-4412-A652-009D00C400E6}</author>
    <author>tc={00DF00F7-000A-42C6-B782-007300B70096}</author>
    <author>tc={00640086-0020-4F7D-89F1-00D800030009}</author>
    <author>tc={008700B6-00E0-47E9-B462-00F8002400E4}</author>
    <author>tc={00870049-009D-43F1-988A-00C70000003A}</author>
    <author>tc={00D000FA-0054-4BC7-9B5C-005D00BC0054}</author>
    <author>tc={00D60039-00AB-49F2-9D6E-002400D20057}</author>
    <author>tc={004C0040-0083-4112-B0C8-00CD003100CF}</author>
    <author>tc={00F900FC-00EA-4FA4-9694-00A000070083}</author>
    <author>tc={0005003D-000E-4FAD-B218-0014005900A6}</author>
    <author>tc={00DC00A8-0013-490D-8776-00DA006200E0}</author>
    <author>tc={007C00A3-00D4-41F9-B5E8-009400750044}</author>
    <author>tc={00D40079-00EE-4C2D-B921-00F1004300DC}</author>
    <author>tc={007B00FA-007F-449B-85C3-0041008D0047}</author>
    <author>tc={002B00CA-00F6-4DE7-9E8B-004D00D400E1}</author>
    <author>tc={000F00E1-0025-4233-9E59-0082005E006B}</author>
    <author>tc={0008006A-0009-48C0-9289-008F00D20068}</author>
    <author>tc={000B00AD-00F7-4F2A-8BB5-00FD00AB0096}</author>
    <author>tc={00ED0064-00A2-4184-B7BE-00C1005F0022}</author>
    <author>tc={0093003D-00ED-42FC-A277-008300F30074}</author>
    <author>tc={00FC00CE-0072-4231-ADE7-00C5003A0098}</author>
    <author>tc={00AD00BB-008B-4C8B-BA1D-00AE00C8006D}</author>
    <author>tc={0092005C-0066-4F1E-B78A-0002007C00EB}</author>
  </authors>
  <commentList>
    <comment ref="K11" authorId="0" shapeId="0">
      <text>
        <r>
          <rPr>
            <b/>
            <sz val="9"/>
            <rFont val="Tahoma"/>
          </rPr>
          <t>Jana Holíková:</t>
        </r>
        <r>
          <rPr>
            <sz val="9"/>
            <rFont val="Tahoma"/>
          </rPr>
          <t xml:space="preserve">
ř.4240-4220
</t>
        </r>
      </text>
    </comment>
    <comment ref="K12" authorId="1" shapeId="0">
      <text>
        <r>
          <rPr>
            <b/>
            <sz val="9"/>
            <rFont val="Tahoma"/>
          </rPr>
          <t>Ing. Jana Holíková:</t>
        </r>
        <r>
          <rPr>
            <sz val="9"/>
            <rFont val="Tahoma"/>
          </rPr>
          <t xml:space="preserve">
040 ř.4220
nebo celk výdaje - tř6
nebo
min Závěrečný propočet dle výkazu
</t>
        </r>
      </text>
    </comment>
    <comment ref="L12" authorId="2" shapeId="0">
      <text>
        <r>
          <rPr>
            <b/>
            <sz val="9"/>
            <rFont val="Tahoma"/>
          </rPr>
          <t>Jana Holíková:</t>
        </r>
        <r>
          <rPr>
            <sz val="9"/>
            <rFont val="Tahoma"/>
          </rPr>
          <t xml:space="preserve">
ř.4220
</t>
        </r>
      </text>
    </comment>
    <comment ref="K13" authorId="3" shapeId="0">
      <text>
        <r>
          <rPr>
            <b/>
            <sz val="9"/>
            <rFont val="Tahoma"/>
          </rPr>
          <t>Ing. Jana Holíková:</t>
        </r>
        <r>
          <rPr>
            <sz val="9"/>
            <rFont val="Tahoma"/>
          </rPr>
          <t xml:space="preserve">
040 ř.4240
nebo
min Závěrečný propočet
dle výkazu
</t>
        </r>
      </text>
    </comment>
    <comment ref="L13" authorId="4" shapeId="0">
      <text>
        <r>
          <rPr>
            <b/>
            <sz val="9"/>
            <rFont val="Tahoma"/>
          </rPr>
          <t>Jana Holíková:</t>
        </r>
        <r>
          <rPr>
            <sz val="9"/>
            <rFont val="Tahoma"/>
          </rPr>
          <t xml:space="preserve">
ř.4240-ř.4300-ř.4310
</t>
        </r>
      </text>
    </comment>
    <comment ref="D38" authorId="5" shapeId="0">
      <text>
        <r>
          <rPr>
            <b/>
            <sz val="9"/>
            <rFont val="Tahoma"/>
          </rPr>
          <t>Jana Holíková:</t>
        </r>
        <r>
          <rPr>
            <sz val="9"/>
            <rFont val="Tahoma"/>
          </rPr>
          <t xml:space="preserve">
23060/04 -10.050.300
</t>
        </r>
      </text>
    </comment>
    <comment ref="D40" authorId="6" shapeId="0">
      <text>
        <r>
          <rPr>
            <b/>
            <sz val="9"/>
            <rFont val="Tahoma"/>
          </rPr>
          <t>Jana Holíková:</t>
        </r>
        <r>
          <rPr>
            <sz val="9"/>
            <rFont val="Tahoma"/>
          </rPr>
          <t xml:space="preserve">
23126/08 +20.000
</t>
        </r>
      </text>
    </comment>
    <comment ref="D41" authorId="7" shapeId="0">
      <text>
        <r>
          <rPr>
            <b/>
            <sz val="9"/>
            <rFont val="Tahoma"/>
          </rPr>
          <t>Jana Holíková:</t>
        </r>
        <r>
          <rPr>
            <sz val="9"/>
            <rFont val="Tahoma"/>
          </rPr>
          <t xml:space="preserve">
23194.12 -3.221,96
</t>
        </r>
      </text>
    </comment>
    <comment ref="D45" authorId="8" shapeId="0">
      <text>
        <r>
          <rPr>
            <b/>
            <sz val="9"/>
            <rFont val="Tahoma"/>
          </rPr>
          <t>Jana Holíková:</t>
        </r>
        <r>
          <rPr>
            <sz val="9"/>
            <rFont val="Tahoma"/>
          </rPr>
          <t xml:space="preserve">
23083/06 +76.497
23126/08 +92.417
23137/09 +24.118
</t>
        </r>
      </text>
    </comment>
    <comment ref="D46" authorId="9" shapeId="0">
      <text>
        <r>
          <rPr>
            <b/>
            <sz val="9"/>
            <rFont val="Tahoma"/>
          </rPr>
          <t>Jana Holíková:</t>
        </r>
        <r>
          <rPr>
            <sz val="9"/>
            <rFont val="Tahoma"/>
          </rPr>
          <t xml:space="preserve">
23137/09 +36.700  110
</t>
        </r>
      </text>
    </comment>
    <comment ref="D47" authorId="10" shapeId="0">
      <text>
        <r>
          <rPr>
            <b/>
            <sz val="9"/>
            <rFont val="Tahoma"/>
          </rPr>
          <t>Jana Holíková:</t>
        </r>
        <r>
          <rPr>
            <sz val="9"/>
            <rFont val="Tahoma"/>
          </rPr>
          <t xml:space="preserve">
23126/08 +32.540
</t>
        </r>
      </text>
    </comment>
    <comment ref="D48" authorId="11" shapeId="0">
      <text>
        <r>
          <rPr>
            <b/>
            <sz val="9"/>
            <rFont val="Tahoma"/>
          </rPr>
          <t>Jana Holíková:</t>
        </r>
        <r>
          <rPr>
            <sz val="9"/>
            <rFont val="Tahoma"/>
          </rPr>
          <t xml:space="preserve">
23194.12 +10.674,12
</t>
        </r>
      </text>
    </comment>
    <comment ref="D49" authorId="12" shapeId="0">
      <text>
        <r>
          <rPr>
            <b/>
            <sz val="9"/>
            <rFont val="Tahoma"/>
          </rPr>
          <t>Jana Holíková:</t>
        </r>
        <r>
          <rPr>
            <sz val="9"/>
            <rFont val="Tahoma"/>
          </rPr>
          <t xml:space="preserve">
23040/03 +33.700
23083/06 +20.200
23137/09 + 8.100
</t>
        </r>
      </text>
    </comment>
    <comment ref="D50" authorId="13" shapeId="0">
      <text>
        <r>
          <rPr>
            <b/>
            <sz val="9"/>
            <rFont val="Tahoma"/>
          </rPr>
          <t>Jana Holíková:</t>
        </r>
        <r>
          <rPr>
            <sz val="9"/>
            <rFont val="Tahoma"/>
          </rPr>
          <t xml:space="preserve">
23137/09 + 78.700
</t>
        </r>
      </text>
    </comment>
    <comment ref="D51" authorId="14" shapeId="0">
      <text>
        <r>
          <rPr>
            <b/>
            <sz val="9"/>
            <rFont val="Tahoma"/>
          </rPr>
          <t>Jana Holíková:</t>
        </r>
        <r>
          <rPr>
            <sz val="9"/>
            <rFont val="Tahoma"/>
          </rPr>
          <t xml:space="preserve">
23194.12 -7.452,16
</t>
        </r>
      </text>
    </comment>
    <comment ref="D54" authorId="15" shapeId="0">
      <text>
        <r>
          <rPr>
            <b/>
            <sz val="9"/>
            <rFont val="Tahoma"/>
          </rPr>
          <t>Jana Holíková:</t>
        </r>
        <r>
          <rPr>
            <sz val="9"/>
            <rFont val="Tahoma"/>
          </rPr>
          <t xml:space="preserve">
23137/09 +396.670
</t>
        </r>
      </text>
    </comment>
    <comment ref="D59" authorId="16" shapeId="0">
      <text>
        <r>
          <rPr>
            <b/>
            <sz val="9"/>
            <rFont val="Tahoma"/>
          </rPr>
          <t>Jana Holíková:</t>
        </r>
        <r>
          <rPr>
            <sz val="9"/>
            <rFont val="Tahoma"/>
          </rPr>
          <t xml:space="preserve">
23126/08 +559.345,14
</t>
        </r>
      </text>
    </comment>
    <comment ref="D60" authorId="17" shapeId="0">
      <text>
        <r>
          <rPr>
            <b/>
            <sz val="9"/>
            <rFont val="Tahoma"/>
          </rPr>
          <t>Jana Holíková:</t>
        </r>
        <r>
          <rPr>
            <sz val="9"/>
            <rFont val="Tahoma"/>
          </rPr>
          <t xml:space="preserve">
23126/08 +559.345,14
</t>
        </r>
      </text>
    </comment>
    <comment ref="D61" authorId="18" shapeId="0">
      <text>
        <r>
          <rPr>
            <b/>
            <sz val="9"/>
            <rFont val="Tahoma"/>
          </rPr>
          <t>Jana Holíková:</t>
        </r>
        <r>
          <rPr>
            <sz val="9"/>
            <rFont val="Tahoma"/>
          </rPr>
          <t xml:space="preserve">
23126/08 +3.968.238,12
</t>
        </r>
      </text>
    </comment>
    <comment ref="D70" authorId="19" shapeId="0">
      <text>
        <r>
          <rPr>
            <b/>
            <sz val="9"/>
            <rFont val="Tahoma"/>
          </rPr>
          <t>Jana Holíková:</t>
        </r>
        <r>
          <rPr>
            <sz val="9"/>
            <rFont val="Tahoma"/>
          </rPr>
          <t xml:space="preserve">
23083/06 +20.000
</t>
        </r>
      </text>
    </comment>
    <comment ref="D71" authorId="20" shapeId="0">
      <text>
        <r>
          <rPr>
            <b/>
            <sz val="9"/>
            <rFont val="Tahoma"/>
          </rPr>
          <t>Jana Holíková:</t>
        </r>
        <r>
          <rPr>
            <sz val="9"/>
            <rFont val="Tahoma"/>
          </rPr>
          <t xml:space="preserve">
23083/06 +87.410
</t>
        </r>
      </text>
    </comment>
    <comment ref="D72" authorId="21" shapeId="0">
      <text>
        <r>
          <rPr>
            <b/>
            <sz val="9"/>
            <rFont val="Tahoma"/>
          </rPr>
          <t>Jana Holíková:</t>
        </r>
        <r>
          <rPr>
            <sz val="9"/>
            <rFont val="Tahoma"/>
          </rPr>
          <t xml:space="preserve">
23137/09 +1.404.681,67
</t>
        </r>
      </text>
    </comment>
    <comment ref="D75" authorId="22" shapeId="0">
      <text>
        <r>
          <rPr>
            <b/>
            <sz val="9"/>
            <rFont val="Tahoma"/>
          </rPr>
          <t>Jana Holíková:</t>
        </r>
        <r>
          <rPr>
            <sz val="9"/>
            <rFont val="Tahoma"/>
          </rPr>
          <t xml:space="preserve">
23126/08 +300.000
</t>
        </r>
      </text>
    </comment>
    <comment ref="D79" authorId="23" shapeId="0">
      <text>
        <r>
          <rPr>
            <b/>
            <sz val="9"/>
            <rFont val="Tahoma"/>
          </rPr>
          <t>Jana Holíková:</t>
        </r>
        <r>
          <rPr>
            <sz val="9"/>
            <rFont val="Tahoma"/>
          </rPr>
          <t xml:space="preserve">
23044/03 +384 (321)
23061/04 +43.797 (350)
23071/05 +270 (322)
23142/10 -3.504 (321)
23143/10 +262.743 (321)
</t>
        </r>
      </text>
    </comment>
    <comment ref="D85" authorId="24" shapeId="0">
      <text>
        <r>
          <rPr>
            <b/>
            <sz val="9"/>
            <rFont val="Tahoma"/>
          </rPr>
          <t>Jana Holíková:</t>
        </r>
        <r>
          <rPr>
            <sz val="9"/>
            <rFont val="Tahoma"/>
          </rPr>
          <t xml:space="preserve">
23146/10 +9.000
</t>
        </r>
      </text>
    </comment>
    <comment ref="D90" authorId="25" shapeId="0">
      <text>
        <r>
          <rPr>
            <b/>
            <sz val="9"/>
            <rFont val="Tahoma"/>
          </rPr>
          <t>Jana Holíková:</t>
        </r>
        <r>
          <rPr>
            <sz val="9"/>
            <rFont val="Tahoma"/>
          </rPr>
          <t xml:space="preserve">
23043/03 -7.381.538
</t>
        </r>
      </text>
    </comment>
    <comment ref="D96" authorId="26" shapeId="0">
      <text>
        <r>
          <rPr>
            <b/>
            <sz val="9"/>
            <rFont val="Tahoma"/>
          </rPr>
          <t>Jana Holíková:</t>
        </r>
        <r>
          <rPr>
            <sz val="9"/>
            <rFont val="Tahoma"/>
          </rPr>
          <t xml:space="preserve">
23083/06 +36.600
</t>
        </r>
      </text>
    </comment>
    <comment ref="D97" authorId="27" shapeId="0">
      <text>
        <r>
          <rPr>
            <b/>
            <sz val="9"/>
            <rFont val="Tahoma"/>
          </rPr>
          <t>Jana Holíková:</t>
        </r>
        <r>
          <rPr>
            <sz val="9"/>
            <rFont val="Tahoma"/>
          </rPr>
          <t xml:space="preserve">
23083/06 
+144.589,67 osm
+12.000 od
</t>
        </r>
      </text>
    </comment>
    <comment ref="D102" authorId="28" shapeId="0">
      <text>
        <r>
          <rPr>
            <b/>
            <sz val="9"/>
            <rFont val="Tahoma"/>
          </rPr>
          <t>Jana Holíková:</t>
        </r>
        <r>
          <rPr>
            <sz val="9"/>
            <rFont val="Tahoma"/>
          </rPr>
          <t xml:space="preserve">
23137/09 +65.755,68
</t>
        </r>
      </text>
    </comment>
    <comment ref="D103" authorId="29" shapeId="0">
      <text>
        <r>
          <rPr>
            <b/>
            <sz val="9"/>
            <rFont val="Tahoma"/>
          </rPr>
          <t>Jana Holíková:</t>
        </r>
        <r>
          <rPr>
            <sz val="9"/>
            <rFont val="Tahoma"/>
          </rPr>
          <t xml:space="preserve">
23126/08 +28.500
</t>
        </r>
      </text>
    </comment>
    <comment ref="D108" authorId="30" shapeId="0">
      <text>
        <r>
          <rPr>
            <b/>
            <sz val="9"/>
            <rFont val="Tahoma"/>
          </rPr>
          <t>Jana Holíková:</t>
        </r>
        <r>
          <rPr>
            <sz val="9"/>
            <rFont val="Tahoma"/>
          </rPr>
          <t xml:space="preserve">
23137/09 +65.069
</t>
        </r>
      </text>
    </comment>
    <comment ref="D110" authorId="31" shapeId="0">
      <text>
        <r>
          <rPr>
            <b/>
            <sz val="9"/>
            <rFont val="Tahoma"/>
          </rPr>
          <t>Jana Holíková:</t>
        </r>
        <r>
          <rPr>
            <sz val="9"/>
            <rFont val="Tahoma"/>
          </rPr>
          <t xml:space="preserve">
23017/02 
+ 91.051,59   0307
+159.661,95 0305
</t>
        </r>
      </text>
    </comment>
    <comment ref="D111" authorId="32" shapeId="0">
      <text>
        <r>
          <rPr>
            <b/>
            <sz val="9"/>
            <rFont val="Tahoma"/>
          </rPr>
          <t>Jana Holíková:</t>
        </r>
        <r>
          <rPr>
            <sz val="9"/>
            <rFont val="Tahoma"/>
          </rPr>
          <t xml:space="preserve">
23017/02 +29.886,84
</t>
        </r>
      </text>
    </comment>
    <comment ref="D112" authorId="33" shapeId="0">
      <text>
        <r>
          <rPr>
            <b/>
            <sz val="9"/>
            <rFont val="Tahoma"/>
          </rPr>
          <t>Jana Holíková:</t>
        </r>
        <r>
          <rPr>
            <sz val="9"/>
            <rFont val="Tahoma"/>
          </rPr>
          <t xml:space="preserve">
23017/02 +305.600,85
</t>
        </r>
      </text>
    </comment>
    <comment ref="D113" authorId="34" shapeId="0">
      <text>
        <r>
          <rPr>
            <b/>
            <sz val="9"/>
            <rFont val="Tahoma"/>
          </rPr>
          <t>Jana Holíková:</t>
        </r>
        <r>
          <rPr>
            <sz val="9"/>
            <rFont val="Tahoma"/>
          </rPr>
          <t xml:space="preserve">
23017/02 +151.277,28
</t>
        </r>
      </text>
    </comment>
    <comment ref="D114" authorId="35" shapeId="0">
      <text>
        <r>
          <rPr>
            <b/>
            <sz val="9"/>
            <rFont val="Tahoma"/>
          </rPr>
          <t>Jana Holíková:</t>
        </r>
        <r>
          <rPr>
            <sz val="9"/>
            <rFont val="Tahoma"/>
          </rPr>
          <t xml:space="preserve">
23038/03 +5.706.845,54
23126/08 -1.000.000
</t>
        </r>
      </text>
    </comment>
    <comment ref="D115" authorId="36" shapeId="0">
      <text>
        <r>
          <rPr>
            <b/>
            <sz val="9"/>
            <rFont val="Tahoma"/>
          </rPr>
          <t>Jana Holíková:</t>
        </r>
        <r>
          <rPr>
            <sz val="9"/>
            <rFont val="Tahoma"/>
          </rPr>
          <t xml:space="preserve">
23126/08 +1.457.025,42
</t>
        </r>
      </text>
    </comment>
    <comment ref="D116" authorId="37" shapeId="0">
      <text>
        <r>
          <rPr>
            <b/>
            <sz val="9"/>
            <rFont val="Tahoma"/>
          </rPr>
          <t>Jana Holíková:</t>
        </r>
        <r>
          <rPr>
            <sz val="9"/>
            <rFont val="Tahoma"/>
          </rPr>
          <t xml:space="preserve">
23083/06 +265.673,13
</t>
        </r>
      </text>
    </comment>
    <comment ref="D118" authorId="38" shapeId="0">
      <text>
        <r>
          <rPr>
            <b/>
            <sz val="9"/>
            <rFont val="Tahoma"/>
          </rPr>
          <t>Jana Holíková:</t>
        </r>
        <r>
          <rPr>
            <sz val="9"/>
            <rFont val="Tahoma"/>
          </rPr>
          <t xml:space="preserve">
23083/06 
+5.360 +147.136
</t>
        </r>
      </text>
    </comment>
    <comment ref="D119" authorId="39" shapeId="0">
      <text>
        <r>
          <rPr>
            <b/>
            <sz val="9"/>
            <rFont val="Tahoma"/>
          </rPr>
          <t>Jana Holíková:</t>
        </r>
        <r>
          <rPr>
            <sz val="9"/>
            <rFont val="Tahoma"/>
          </rPr>
          <t xml:space="preserve">
23107/07 úz13014
+ 1.784,32 1201
+10.111,13 1205
</t>
        </r>
      </text>
    </comment>
    <comment ref="D120" authorId="40" shapeId="0">
      <text>
        <r>
          <rPr>
            <b/>
            <sz val="9"/>
            <rFont val="Tahoma"/>
          </rPr>
          <t>Jana Holíková:</t>
        </r>
        <r>
          <rPr>
            <sz val="9"/>
            <rFont val="Tahoma"/>
          </rPr>
          <t xml:space="preserve">
23016/02 +8.015
</t>
        </r>
      </text>
    </comment>
    <comment ref="D121" authorId="41" shapeId="0">
      <text>
        <r>
          <rPr>
            <b/>
            <sz val="9"/>
            <rFont val="Tahoma"/>
          </rPr>
          <t>Jana Holíková:</t>
        </r>
        <r>
          <rPr>
            <sz val="9"/>
            <rFont val="Tahoma"/>
          </rPr>
          <t xml:space="preserve">
23016/02 +33.210
</t>
        </r>
      </text>
    </comment>
    <comment ref="D122" authorId="42" shapeId="0">
      <text>
        <r>
          <rPr>
            <b/>
            <sz val="9"/>
            <rFont val="Tahoma"/>
          </rPr>
          <t>Jana Holíková:</t>
        </r>
        <r>
          <rPr>
            <sz val="9"/>
            <rFont val="Tahoma"/>
          </rPr>
          <t xml:space="preserve">
23050/04 +100.000
</t>
        </r>
      </text>
    </comment>
    <comment ref="D123" authorId="43" shapeId="0">
      <text>
        <r>
          <rPr>
            <b/>
            <sz val="9"/>
            <rFont val="Tahoma"/>
          </rPr>
          <t>Jana Holíková:</t>
        </r>
        <r>
          <rPr>
            <sz val="9"/>
            <rFont val="Tahoma"/>
          </rPr>
          <t xml:space="preserve">
23011/02 -+50.000
23031/02 -+50.000
23032/02 +5.000
</t>
        </r>
      </text>
    </comment>
    <comment ref="D124" authorId="44" shapeId="0">
      <text>
        <r>
          <rPr>
            <b/>
            <sz val="9"/>
            <rFont val="Tahoma"/>
          </rPr>
          <t>Jana Holíková:</t>
        </r>
        <r>
          <rPr>
            <sz val="9"/>
            <rFont val="Tahoma"/>
          </rPr>
          <t xml:space="preserve">
23019/02 +59.931
23095/06 +206.193
23155/11 +35.583
23185/11 +4.011
</t>
        </r>
      </text>
    </comment>
    <comment ref="D126" authorId="45" shapeId="0">
      <text>
        <r>
          <rPr>
            <b/>
            <sz val="9"/>
            <rFont val="Tahoma"/>
          </rPr>
          <t>Jana Holíková:</t>
        </r>
        <r>
          <rPr>
            <sz val="9"/>
            <rFont val="Tahoma"/>
          </rPr>
          <t xml:space="preserve">
23194.12 +901.049
</t>
        </r>
      </text>
    </comment>
    <comment ref="D130" authorId="46" shapeId="0">
      <text>
        <r>
          <rPr>
            <b/>
            <sz val="9"/>
            <rFont val="Tahoma"/>
          </rPr>
          <t>Jana Holíková:</t>
        </r>
        <r>
          <rPr>
            <sz val="9"/>
            <rFont val="Tahoma"/>
          </rPr>
          <t xml:space="preserve">
23194.12 -101.945,85
</t>
        </r>
      </text>
    </comment>
    <comment ref="D131" authorId="47" shapeId="0">
      <text>
        <r>
          <rPr>
            <b/>
            <sz val="9"/>
            <rFont val="Tahoma"/>
          </rPr>
          <t>Jana Holíková:</t>
        </r>
        <r>
          <rPr>
            <sz val="9"/>
            <rFont val="Tahoma"/>
          </rPr>
          <t xml:space="preserve">
23194.12 -101.945,85
</t>
        </r>
      </text>
    </comment>
    <comment ref="D135" authorId="48" shapeId="0">
      <text>
        <r>
          <rPr>
            <b/>
            <sz val="9"/>
            <rFont val="Tahoma"/>
          </rPr>
          <t>Jana Holíková:</t>
        </r>
        <r>
          <rPr>
            <sz val="9"/>
            <rFont val="Tahoma"/>
          </rPr>
          <t xml:space="preserve">
23126/08 +145.200
</t>
        </r>
      </text>
    </comment>
    <comment ref="D142" authorId="49" shapeId="0">
      <text>
        <r>
          <rPr>
            <b/>
            <sz val="9"/>
            <rFont val="Tahoma"/>
          </rPr>
          <t>Jana Holíková:</t>
        </r>
        <r>
          <rPr>
            <sz val="9"/>
            <rFont val="Tahoma"/>
          </rPr>
          <t xml:space="preserve">
23013/02 +227.100
23028/02 +232.500
23042/03 +210.000
23064/04 +231.000
23076/05 +234.000
23092/06 +241.800
23106/07 +231.000
</t>
        </r>
      </text>
    </comment>
    <comment ref="D146" authorId="50" shapeId="0">
      <text>
        <r>
          <rPr>
            <b/>
            <sz val="9"/>
            <rFont val="Tahoma"/>
          </rPr>
          <t>Jana Holíková:</t>
        </r>
        <r>
          <rPr>
            <sz val="9"/>
            <rFont val="Tahoma"/>
          </rPr>
          <t xml:space="preserve">
23194.12 +50.000
</t>
        </r>
      </text>
    </comment>
    <comment ref="D152" authorId="51" shapeId="0">
      <text>
        <r>
          <rPr>
            <b/>
            <sz val="9"/>
            <rFont val="Tahoma"/>
          </rPr>
          <t>Jana Holíková:</t>
        </r>
        <r>
          <rPr>
            <sz val="9"/>
            <rFont val="Tahoma"/>
          </rPr>
          <t xml:space="preserve">
23080/06 -5.500.000
</t>
        </r>
      </text>
    </comment>
    <comment ref="D153" authorId="52" shapeId="0">
      <text>
        <r>
          <rPr>
            <b/>
            <sz val="9"/>
            <rFont val="Tahoma"/>
          </rPr>
          <t>Jana Holíková:</t>
        </r>
        <r>
          <rPr>
            <sz val="9"/>
            <rFont val="Tahoma"/>
          </rPr>
          <t xml:space="preserve">
23087/06 -7.500.000
</t>
        </r>
      </text>
    </comment>
    <comment ref="D154" authorId="53" shapeId="0">
      <text>
        <r>
          <rPr>
            <b/>
            <sz val="9"/>
            <rFont val="Tahoma"/>
          </rPr>
          <t>Jana Holíková:</t>
        </r>
        <r>
          <rPr>
            <sz val="9"/>
            <rFont val="Tahoma"/>
          </rPr>
          <t xml:space="preserve">
23062/04 -1.144.538
</t>
        </r>
      </text>
    </comment>
    <comment ref="D164" authorId="54" shapeId="0">
      <text>
        <r>
          <rPr>
            <b/>
            <sz val="9"/>
            <rFont val="Tahoma"/>
          </rPr>
          <t>Jana Holíková:</t>
        </r>
        <r>
          <rPr>
            <sz val="9"/>
            <rFont val="Tahoma"/>
          </rPr>
          <t xml:space="preserve">
23194.12 -4.081.000
</t>
        </r>
      </text>
    </comment>
    <comment ref="D165" authorId="55" shapeId="0">
      <text>
        <r>
          <rPr>
            <b/>
            <sz val="9"/>
            <rFont val="Tahoma"/>
          </rPr>
          <t>Jana Holíková:</t>
        </r>
        <r>
          <rPr>
            <sz val="9"/>
            <rFont val="Tahoma"/>
          </rPr>
          <t xml:space="preserve">
23194.12 -5.103.000
</t>
        </r>
      </text>
    </comment>
    <comment ref="D166" authorId="56" shapeId="0">
      <text>
        <r>
          <rPr>
            <b/>
            <sz val="9"/>
            <rFont val="Tahoma"/>
          </rPr>
          <t>Jana Holíková:</t>
        </r>
        <r>
          <rPr>
            <sz val="9"/>
            <rFont val="Tahoma"/>
          </rPr>
          <t xml:space="preserve">
23194.12 -4.200.000
</t>
        </r>
      </text>
    </comment>
    <comment ref="D167" authorId="57" shapeId="0">
      <text>
        <r>
          <rPr>
            <b/>
            <sz val="9"/>
            <rFont val="Tahoma"/>
          </rPr>
          <t>Jana Holíková:</t>
        </r>
        <r>
          <rPr>
            <sz val="9"/>
            <rFont val="Tahoma"/>
          </rPr>
          <t xml:space="preserve">
23121/08 +121.111
</t>
        </r>
      </text>
    </comment>
    <comment ref="D170" authorId="58" shapeId="0">
      <text>
        <r>
          <rPr>
            <b/>
            <sz val="9"/>
            <rFont val="Tahoma"/>
          </rPr>
          <t>Jana Holíková:</t>
        </r>
        <r>
          <rPr>
            <sz val="9"/>
            <rFont val="Tahoma"/>
          </rPr>
          <t xml:space="preserve">
23147/10 +500.000
23196/12 -100.000
</t>
        </r>
      </text>
    </comment>
    <comment ref="D172" authorId="59" shapeId="0">
      <text>
        <r>
          <rPr>
            <b/>
            <sz val="9"/>
            <rFont val="Tahoma"/>
          </rPr>
          <t>Jana Holíková:</t>
        </r>
        <r>
          <rPr>
            <sz val="9"/>
            <rFont val="Tahoma"/>
          </rPr>
          <t xml:space="preserve">
23126/08 -2.200.000
</t>
        </r>
      </text>
    </comment>
    <comment ref="D173" authorId="60" shapeId="0">
      <text>
        <r>
          <rPr>
            <b/>
            <sz val="9"/>
            <rFont val="Tahoma"/>
          </rPr>
          <t>Jana Holíková:</t>
        </r>
        <r>
          <rPr>
            <sz val="9"/>
            <rFont val="Tahoma"/>
          </rPr>
          <t xml:space="preserve">
23133/09 -1.200.000
</t>
        </r>
      </text>
    </comment>
    <comment ref="D177" authorId="61" shapeId="0">
      <text>
        <r>
          <rPr>
            <b/>
            <sz val="9"/>
            <rFont val="Tahoma"/>
          </rPr>
          <t>Jana Holíková:</t>
        </r>
        <r>
          <rPr>
            <sz val="9"/>
            <rFont val="Tahoma"/>
          </rPr>
          <t xml:space="preserve">
23014/02 +864.200
</t>
        </r>
      </text>
    </comment>
    <comment ref="D178" authorId="62" shapeId="0">
      <text>
        <r>
          <rPr>
            <b/>
            <sz val="9"/>
            <rFont val="Tahoma"/>
          </rPr>
          <t>Jana Holíková:</t>
        </r>
        <r>
          <rPr>
            <sz val="9"/>
            <rFont val="Tahoma"/>
          </rPr>
          <t xml:space="preserve">
23063/04 +3.705,41
</t>
        </r>
      </text>
    </comment>
    <comment ref="D179" authorId="63" shapeId="0">
      <text>
        <r>
          <rPr>
            <b/>
            <sz val="9"/>
            <rFont val="Tahoma"/>
          </rPr>
          <t>Jana Holíková:</t>
        </r>
        <r>
          <rPr>
            <sz val="9"/>
            <rFont val="Tahoma"/>
          </rPr>
          <t xml:space="preserve">
23005/01 +2.499.800
</t>
        </r>
      </text>
    </comment>
    <comment ref="D181" authorId="64" shapeId="0">
      <text>
        <r>
          <rPr>
            <b/>
            <sz val="9"/>
            <rFont val="Tahoma"/>
          </rPr>
          <t>Jana Holíková:</t>
        </r>
        <r>
          <rPr>
            <sz val="9"/>
            <rFont val="Tahoma"/>
          </rPr>
          <t xml:space="preserve">
23116/08 + úz 13013
+ 59.357,27 (1041)
+504.536,84 (1045)
</t>
        </r>
      </text>
    </comment>
    <comment ref="D182" authorId="65" shapeId="0">
      <text>
        <r>
          <rPr>
            <b/>
            <sz val="9"/>
            <rFont val="Tahoma"/>
          </rPr>
          <t>Jana Holíková:</t>
        </r>
        <r>
          <rPr>
            <sz val="9"/>
            <rFont val="Tahoma"/>
          </rPr>
          <t xml:space="preserve">
23062/04 +1.059.598
</t>
        </r>
      </text>
    </comment>
    <comment ref="D183" authorId="66" shapeId="0">
      <text>
        <r>
          <rPr>
            <b/>
            <sz val="9"/>
            <rFont val="Tahoma"/>
          </rPr>
          <t>Jana Holíková:</t>
        </r>
        <r>
          <rPr>
            <sz val="9"/>
            <rFont val="Tahoma"/>
          </rPr>
          <t xml:space="preserve">
23087/06 +8.304.000
</t>
        </r>
      </text>
    </comment>
    <comment ref="D184" authorId="67" shapeId="0">
      <text>
        <r>
          <rPr>
            <b/>
            <sz val="9"/>
            <rFont val="Tahoma"/>
          </rPr>
          <t>Jana Holíková:</t>
        </r>
        <r>
          <rPr>
            <sz val="9"/>
            <rFont val="Tahoma"/>
          </rPr>
          <t xml:space="preserve">
23152/11 +114.563,55
</t>
        </r>
      </text>
    </comment>
    <comment ref="D185" authorId="68" shapeId="0">
      <text>
        <r>
          <rPr>
            <b/>
            <sz val="9"/>
            <rFont val="Tahoma"/>
          </rPr>
          <t>Jana Holíková:</t>
        </r>
        <r>
          <rPr>
            <sz val="9"/>
            <rFont val="Tahoma"/>
          </rPr>
          <t xml:space="preserve">
23046/03
+    635,25 17015 1071
+12.705     17015 1075 
</t>
        </r>
      </text>
    </comment>
    <comment ref="D186" authorId="69" shapeId="0">
      <text>
        <r>
          <rPr>
            <b/>
            <sz val="9"/>
            <rFont val="Tahoma"/>
          </rPr>
          <t>Jana Holíková:</t>
        </r>
        <r>
          <rPr>
            <sz val="9"/>
            <rFont val="Tahoma"/>
          </rPr>
          <t xml:space="preserve">
23047/03
+ 635,25  17015 107 1
+12.705  17016 107 5
</t>
        </r>
      </text>
    </comment>
    <comment ref="D187" authorId="70" shapeId="0">
      <text>
        <r>
          <rPr>
            <b/>
            <sz val="9"/>
            <rFont val="Tahoma"/>
          </rPr>
          <t>Jana Holíková:</t>
        </r>
        <r>
          <rPr>
            <sz val="9"/>
            <rFont val="Tahoma"/>
          </rPr>
          <t xml:space="preserve">
23174/11
+ 2.117,50  17015 107 1
+35.997,50  17016 107 5
</t>
        </r>
      </text>
    </comment>
    <comment ref="D188" authorId="71" shapeId="0">
      <text>
        <r>
          <rPr>
            <b/>
            <sz val="9"/>
            <rFont val="Tahoma"/>
          </rPr>
          <t>Jana Holíková:</t>
        </r>
        <r>
          <rPr>
            <sz val="9"/>
            <rFont val="Tahoma"/>
          </rPr>
          <t xml:space="preserve">
23057/04 +14.200
</t>
        </r>
      </text>
    </comment>
    <comment ref="D189" authorId="72" shapeId="0">
      <text>
        <r>
          <rPr>
            <b/>
            <sz val="9"/>
            <rFont val="Tahoma"/>
          </rPr>
          <t>Jana Holíková:</t>
        </r>
        <r>
          <rPr>
            <sz val="9"/>
            <rFont val="Tahoma"/>
          </rPr>
          <t xml:space="preserve">
23057/04 +35.205
23194.12 -108.238 úz29031 1705
</t>
        </r>
      </text>
    </comment>
    <comment ref="D190" authorId="73" shapeId="0">
      <text>
        <r>
          <rPr>
            <b/>
            <sz val="9"/>
            <rFont val="Tahoma"/>
          </rPr>
          <t>Jana:</t>
        </r>
        <r>
          <rPr>
            <sz val="9"/>
            <rFont val="Tahoma"/>
          </rPr>
          <t xml:space="preserve">
23015/02 úz33092 
+ +949.089,62 1431
+3.130.384,38 1435
</t>
        </r>
      </text>
    </comment>
    <comment ref="D191" authorId="74" shapeId="0">
      <text>
        <r>
          <rPr>
            <b/>
            <sz val="9"/>
            <rFont val="Tahoma"/>
          </rPr>
          <t>Jana:</t>
        </r>
        <r>
          <rPr>
            <sz val="9"/>
            <rFont val="Tahoma"/>
          </rPr>
          <t xml:space="preserve">
23015/02 úz33092 
+1.005.316,48 1431
+3.315.837,52 1435
</t>
        </r>
      </text>
    </comment>
    <comment ref="D192" authorId="75" shapeId="0">
      <text>
        <r>
          <rPr>
            <b/>
            <sz val="9"/>
            <rFont val="Tahoma"/>
          </rPr>
          <t>Jana:</t>
        </r>
        <r>
          <rPr>
            <sz val="9"/>
            <rFont val="Tahoma"/>
          </rPr>
          <t xml:space="preserve">
23058/04 úz33092 
+ 519.876,20 1431
+1.714.708,80 1435
</t>
        </r>
      </text>
    </comment>
    <comment ref="D193" authorId="76" shapeId="0">
      <text>
        <r>
          <rPr>
            <b/>
            <sz val="9"/>
            <rFont val="Tahoma"/>
          </rPr>
          <t>Jana:</t>
        </r>
        <r>
          <rPr>
            <sz val="9"/>
            <rFont val="Tahoma"/>
          </rPr>
          <t xml:space="preserve">
23093/06 úz33092 
+ 551.883,72 1431
+1.820.279,28 1435
</t>
        </r>
      </text>
    </comment>
    <comment ref="D194" authorId="77" shapeId="0">
      <text>
        <r>
          <rPr>
            <b/>
            <sz val="9"/>
            <rFont val="Tahoma"/>
          </rPr>
          <t>Jana Holíková:</t>
        </r>
        <r>
          <rPr>
            <sz val="9"/>
            <rFont val="Tahoma"/>
          </rPr>
          <t xml:space="preserve">
23096/06 +100.000
</t>
        </r>
      </text>
    </comment>
    <comment ref="D195" authorId="78" shapeId="0">
      <text>
        <r>
          <rPr>
            <b/>
            <sz val="9"/>
            <rFont val="Tahoma"/>
          </rPr>
          <t>Jana Holíková:</t>
        </r>
        <r>
          <rPr>
            <sz val="9"/>
            <rFont val="Tahoma"/>
          </rPr>
          <t xml:space="preserve">
23131/09 
+775.000 -500.000
</t>
        </r>
      </text>
    </comment>
    <comment ref="D197" authorId="79" shapeId="0">
      <text>
        <r>
          <rPr>
            <b/>
            <sz val="9"/>
            <rFont val="Tahoma"/>
          </rPr>
          <t>Jana Holíková:</t>
        </r>
        <r>
          <rPr>
            <sz val="9"/>
            <rFont val="Tahoma"/>
          </rPr>
          <t xml:space="preserve">
23137/09 +67.500
</t>
        </r>
      </text>
    </comment>
    <comment ref="D198" authorId="80" shapeId="0">
      <text>
        <r>
          <rPr>
            <b/>
            <sz val="9"/>
            <rFont val="Tahoma"/>
          </rPr>
          <t>Jana Holíková:</t>
        </r>
        <r>
          <rPr>
            <sz val="9"/>
            <rFont val="Tahoma"/>
          </rPr>
          <t xml:space="preserve">
23194.12 -204
</t>
        </r>
      </text>
    </comment>
    <comment ref="D199" authorId="81" shapeId="0">
      <text>
        <r>
          <rPr>
            <b/>
            <sz val="9"/>
            <rFont val="Tahoma"/>
          </rPr>
          <t>Jana Holíková:</t>
        </r>
        <r>
          <rPr>
            <sz val="9"/>
            <rFont val="Tahoma"/>
          </rPr>
          <t xml:space="preserve">
23194.12 -75.889
</t>
        </r>
      </text>
    </comment>
    <comment ref="D201" authorId="82" shapeId="0">
      <text>
        <r>
          <rPr>
            <b/>
            <sz val="9"/>
            <rFont val="Tahoma"/>
          </rPr>
          <t>Jana Holíková:</t>
        </r>
        <r>
          <rPr>
            <sz val="9"/>
            <rFont val="Tahoma"/>
          </rPr>
          <t xml:space="preserve">
23039/03 org z 541 na 029
</t>
        </r>
      </text>
    </comment>
    <comment ref="D202" authorId="83" shapeId="0">
      <text>
        <r>
          <rPr>
            <b/>
            <sz val="9"/>
            <rFont val="Tahoma"/>
          </rPr>
          <t>Jana Holíková:</t>
        </r>
        <r>
          <rPr>
            <sz val="9"/>
            <rFont val="Tahoma"/>
          </rPr>
          <t xml:space="preserve">
23137/09 
+230.505 -100.000
23194.12 +76.835
</t>
        </r>
      </text>
    </comment>
    <comment ref="D205" authorId="84" shapeId="0">
      <text>
        <r>
          <rPr>
            <b/>
            <sz val="9"/>
            <rFont val="Tahoma"/>
          </rPr>
          <t>Jana Holíková:</t>
        </r>
        <r>
          <rPr>
            <sz val="9"/>
            <rFont val="Tahoma"/>
          </rPr>
          <t xml:space="preserve">
23157/11 
+ 4.900 úz 253 SR
+44.100 úz 911 EU
</t>
        </r>
      </text>
    </comment>
    <comment ref="D206" authorId="85" shapeId="0">
      <text>
        <r>
          <rPr>
            <b/>
            <sz val="9"/>
            <rFont val="Tahoma"/>
          </rPr>
          <t>Jana Holíková:</t>
        </r>
        <r>
          <rPr>
            <sz val="9"/>
            <rFont val="Tahoma"/>
          </rPr>
          <t xml:space="preserve">
23158/11 
+ 7.519 úz 253 SR
+67.671 úz 911 EU
</t>
        </r>
      </text>
    </comment>
    <comment ref="D207" authorId="86" shapeId="0">
      <text>
        <r>
          <rPr>
            <b/>
            <sz val="9"/>
            <rFont val="Tahoma"/>
          </rPr>
          <t>Jana Holíková:</t>
        </r>
        <r>
          <rPr>
            <sz val="9"/>
            <rFont val="Tahoma"/>
          </rPr>
          <t xml:space="preserve">
23159/11 
+ 6.798 úz 253 SR
+61.182 úz 911 EU
</t>
        </r>
      </text>
    </comment>
    <comment ref="D208" authorId="87" shapeId="0">
      <text>
        <r>
          <rPr>
            <b/>
            <sz val="9"/>
            <rFont val="Tahoma"/>
          </rPr>
          <t>Jana Holíková:</t>
        </r>
        <r>
          <rPr>
            <sz val="9"/>
            <rFont val="Tahoma"/>
          </rPr>
          <t xml:space="preserve">
23001/01 +4.551.000
</t>
        </r>
      </text>
    </comment>
    <comment ref="D209" authorId="88" shapeId="0">
      <text>
        <r>
          <rPr>
            <b/>
            <sz val="9"/>
            <rFont val="Tahoma"/>
          </rPr>
          <t>Jana Holíková:</t>
        </r>
        <r>
          <rPr>
            <sz val="9"/>
            <rFont val="Tahoma"/>
          </rPr>
          <t xml:space="preserve">
23056/04 +80.000
</t>
        </r>
      </text>
    </comment>
    <comment ref="D210" authorId="89" shapeId="0">
      <text>
        <r>
          <rPr>
            <b/>
            <sz val="9"/>
            <rFont val="Tahoma"/>
          </rPr>
          <t>Jana Holíková:</t>
        </r>
        <r>
          <rPr>
            <sz val="9"/>
            <rFont val="Tahoma"/>
          </rPr>
          <t xml:space="preserve">
23055/04 +50.000
</t>
        </r>
      </text>
    </comment>
    <comment ref="D211" authorId="90" shapeId="0">
      <text>
        <r>
          <rPr>
            <b/>
            <sz val="9"/>
            <rFont val="Tahoma"/>
          </rPr>
          <t>Jana Holíková:</t>
        </r>
        <r>
          <rPr>
            <sz val="9"/>
            <rFont val="Tahoma"/>
          </rPr>
          <t xml:space="preserve">
23027/02 +9.234 (z 4222)
</t>
        </r>
      </text>
    </comment>
    <comment ref="D212" authorId="91" shapeId="0">
      <text>
        <r>
          <rPr>
            <b/>
            <sz val="9"/>
            <rFont val="Tahoma"/>
          </rPr>
          <t>Jana Holíková:</t>
        </r>
        <r>
          <rPr>
            <sz val="9"/>
            <rFont val="Tahoma"/>
          </rPr>
          <t xml:space="preserve">
23059/04 +210.000
</t>
        </r>
      </text>
    </comment>
    <comment ref="D213" authorId="92" shapeId="0">
      <text>
        <r>
          <rPr>
            <b/>
            <sz val="9"/>
            <rFont val="Tahoma"/>
          </rPr>
          <t>Jana Holíková:</t>
        </r>
        <r>
          <rPr>
            <sz val="9"/>
            <rFont val="Tahoma"/>
          </rPr>
          <t xml:space="preserve">
23194.12 +45.000
</t>
        </r>
      </text>
    </comment>
    <comment ref="D214" authorId="93" shapeId="0">
      <text>
        <r>
          <rPr>
            <b/>
            <sz val="9"/>
            <rFont val="Tahoma"/>
          </rPr>
          <t>Jana Holíková:</t>
        </r>
        <r>
          <rPr>
            <sz val="9"/>
            <rFont val="Tahoma"/>
          </rPr>
          <t xml:space="preserve">
23102/07 +170.400
23177/11 -28.290
</t>
        </r>
      </text>
    </comment>
    <comment ref="D215" authorId="94" shapeId="0">
      <text>
        <r>
          <rPr>
            <b/>
            <sz val="9"/>
            <rFont val="Tahoma"/>
          </rPr>
          <t>Jana Holíková:</t>
        </r>
        <r>
          <rPr>
            <sz val="9"/>
            <rFont val="Tahoma"/>
          </rPr>
          <t xml:space="preserve">
23086/06 úz 913, 120 1,5
+ 4.752,88 (0321, 1201)
+26.932,97 (0321, 1205)
+ 1.806,05 (0322, 1201)
+10.234,30 (0322, 1205)
+ 5.713,08 (0323, 1201)
+32.374,08 (0323, 1205)
23107/07 úz 913
- 1.607,13 (0321 1205)
- 9.107,07 (0321 1205)
- 1.051,79 (0322 1201)
- 5.960,11 (0322 1205)
-   177,66  (0323 1201)
- 1.006,74 (0320 1205)
</t>
        </r>
      </text>
    </comment>
    <comment ref="D216" authorId="95" shapeId="0">
      <text>
        <r>
          <rPr>
            <b/>
            <sz val="9"/>
            <rFont val="Tahoma"/>
          </rPr>
          <t>Jana Holíková:</t>
        </r>
        <r>
          <rPr>
            <sz val="9"/>
            <rFont val="Tahoma"/>
          </rPr>
          <t xml:space="preserve">
23054/04 + 5.960.000
</t>
        </r>
      </text>
    </comment>
    <comment ref="D217" authorId="96" shapeId="0">
      <text>
        <r>
          <rPr>
            <b/>
            <sz val="9"/>
            <rFont val="Tahoma"/>
          </rPr>
          <t>Jana Holíková:</t>
        </r>
        <r>
          <rPr>
            <sz val="9"/>
            <rFont val="Tahoma"/>
          </rPr>
          <t xml:space="preserve">
23082/06-94.000
</t>
        </r>
      </text>
    </comment>
    <comment ref="D219" authorId="97" shapeId="0">
      <text>
        <r>
          <rPr>
            <b/>
            <sz val="9"/>
            <rFont val="Tahoma"/>
          </rPr>
          <t>Jana Holíková:</t>
        </r>
        <r>
          <rPr>
            <sz val="9"/>
            <rFont val="Tahoma"/>
          </rPr>
          <t xml:space="preserve">
23174/11 -1.400.000
23189/11 +2.180.699,34
</t>
        </r>
      </text>
    </comment>
    <comment ref="D221" authorId="98" shapeId="0">
      <text>
        <r>
          <rPr>
            <b/>
            <sz val="9"/>
            <rFont val="Tahoma"/>
          </rPr>
          <t>Jana Holíková:</t>
        </r>
        <r>
          <rPr>
            <sz val="9"/>
            <rFont val="Tahoma"/>
          </rPr>
          <t xml:space="preserve">
23116/08 -500.000
</t>
        </r>
      </text>
    </comment>
    <comment ref="D222" authorId="99" shapeId="0">
      <text>
        <r>
          <rPr>
            <b/>
            <sz val="9"/>
            <rFont val="Tahoma"/>
          </rPr>
          <t>Jana Holíková:</t>
        </r>
        <r>
          <rPr>
            <sz val="9"/>
            <rFont val="Tahoma"/>
          </rPr>
          <t xml:space="preserve">
23133/09 +1.200.000
</t>
        </r>
      </text>
    </comment>
    <comment ref="D223" authorId="100" shapeId="0">
      <text>
        <r>
          <rPr>
            <b/>
            <sz val="9"/>
            <rFont val="Tahoma"/>
          </rPr>
          <t>Jana Holíková:</t>
        </r>
        <r>
          <rPr>
            <sz val="9"/>
            <rFont val="Tahoma"/>
          </rPr>
          <t xml:space="preserve">
23046/03 -4.250.000
+   205.587,45 17968 1071
+4.111.749,01  17969 1075 
</t>
        </r>
      </text>
    </comment>
    <comment ref="D224" authorId="101" shapeId="0">
      <text>
        <r>
          <rPr>
            <b/>
            <sz val="9"/>
            <rFont val="Tahoma"/>
          </rPr>
          <t>Jana Holíková:</t>
        </r>
        <r>
          <rPr>
            <sz val="9"/>
            <rFont val="Tahoma"/>
          </rPr>
          <t xml:space="preserve">
23047/03 
-4.800.000 17969 1075
+ 239.760,30 17968 107 1
+4.795.207,68 17969 107 5
</t>
        </r>
      </text>
    </comment>
    <comment ref="D225" authorId="102" shapeId="0">
      <text>
        <r>
          <rPr>
            <b/>
            <sz val="9"/>
            <rFont val="Tahoma"/>
          </rPr>
          <t>Jana Holíková:</t>
        </r>
        <r>
          <rPr>
            <sz val="9"/>
            <rFont val="Tahoma"/>
          </rPr>
          <t xml:space="preserve">
23174/11
+    93.385,85 17968 107 1
+1.587.559,45 17969 107 5
</t>
        </r>
      </text>
    </comment>
    <comment ref="D226" authorId="103" shapeId="0">
      <text>
        <r>
          <rPr>
            <b/>
            <sz val="9"/>
            <rFont val="Tahoma"/>
          </rPr>
          <t>Jana Holíková:</t>
        </r>
        <r>
          <rPr>
            <sz val="9"/>
            <rFont val="Tahoma"/>
          </rPr>
          <t xml:space="preserve">
23194.12 -2.869.843,80
</t>
        </r>
      </text>
    </comment>
    <comment ref="D228" authorId="104" shapeId="0">
      <text>
        <r>
          <rPr>
            <b/>
            <sz val="9"/>
            <rFont val="Tahoma"/>
          </rPr>
          <t>Jana Holíková:</t>
        </r>
        <r>
          <rPr>
            <sz val="9"/>
            <rFont val="Tahoma"/>
          </rPr>
          <t xml:space="preserve">
23055/04 +150.000
</t>
        </r>
      </text>
    </comment>
    <comment ref="D229" authorId="105" shapeId="0">
      <text>
        <r>
          <rPr>
            <b/>
            <sz val="9"/>
            <rFont val="Tahoma"/>
          </rPr>
          <t>Jana Holíková:</t>
        </r>
        <r>
          <rPr>
            <sz val="9"/>
            <rFont val="Tahoma"/>
          </rPr>
          <t xml:space="preserve">
23088/06 +22.018
</t>
        </r>
      </text>
    </comment>
    <comment ref="D230" authorId="106" shapeId="0">
      <text>
        <r>
          <rPr>
            <b/>
            <sz val="9"/>
            <rFont val="Tahoma"/>
          </rPr>
          <t>Jana Holíková:</t>
        </r>
        <r>
          <rPr>
            <sz val="9"/>
            <rFont val="Tahoma"/>
          </rPr>
          <t xml:space="preserve">
23027/02 
zm úz z 720 na 711,
-9.234 (na 4122)
</t>
        </r>
      </text>
    </comment>
    <comment ref="D231" authorId="107" shapeId="0">
      <text>
        <r>
          <rPr>
            <b/>
            <sz val="9"/>
            <rFont val="Tahoma"/>
          </rPr>
          <t>Jana Holíková:</t>
        </r>
        <r>
          <rPr>
            <sz val="9"/>
            <rFont val="Tahoma"/>
          </rPr>
          <t xml:space="preserve">
23194.12 -287.980
</t>
        </r>
      </text>
    </comment>
    <comment ref="D247" authorId="108" shapeId="0">
      <text>
        <r>
          <rPr>
            <b/>
            <sz val="9"/>
            <rFont val="Tahoma"/>
          </rPr>
          <t>Jana Holíková:</t>
        </r>
        <r>
          <rPr>
            <sz val="9"/>
            <rFont val="Tahoma"/>
          </rPr>
          <t xml:space="preserve">
23571/06 -13.240
</t>
        </r>
      </text>
    </comment>
    <comment ref="D248" authorId="109" shapeId="0">
      <text>
        <r>
          <rPr>
            <b/>
            <sz val="9"/>
            <rFont val="Tahoma"/>
          </rPr>
          <t>Jana Holíková:</t>
        </r>
        <r>
          <rPr>
            <sz val="9"/>
            <rFont val="Tahoma"/>
          </rPr>
          <t xml:space="preserve">
23625/10 +58.821
</t>
        </r>
      </text>
    </comment>
    <comment ref="D249" authorId="110" shapeId="0">
      <text>
        <r>
          <rPr>
            <b/>
            <sz val="9"/>
            <rFont val="Tahoma"/>
          </rPr>
          <t>Jana Holíková:</t>
        </r>
        <r>
          <rPr>
            <sz val="9"/>
            <rFont val="Tahoma"/>
          </rPr>
          <t xml:space="preserve">
23625/10 -58.821
</t>
        </r>
      </text>
    </comment>
    <comment ref="D250" authorId="111" shapeId="0">
      <text>
        <r>
          <rPr>
            <b/>
            <sz val="9"/>
            <rFont val="Tahoma"/>
          </rPr>
          <t>Jana Holíková:</t>
        </r>
        <r>
          <rPr>
            <sz val="9"/>
            <rFont val="Tahoma"/>
          </rPr>
          <t xml:space="preserve">
23571/06 +13.240
</t>
        </r>
      </text>
    </comment>
    <comment ref="D252" authorId="112" shapeId="0">
      <text>
        <r>
          <rPr>
            <b/>
            <sz val="9"/>
            <rFont val="Tahoma"/>
          </rPr>
          <t>Jana Holíková:</t>
        </r>
        <r>
          <rPr>
            <sz val="9"/>
            <rFont val="Tahoma"/>
          </rPr>
          <t xml:space="preserve">
23180/11 +70.000
</t>
        </r>
      </text>
    </comment>
    <comment ref="D253" authorId="113" shapeId="0">
      <text>
        <r>
          <rPr>
            <b/>
            <sz val="9"/>
            <rFont val="Tahoma"/>
          </rPr>
          <t>Jana Holíková:</t>
        </r>
        <r>
          <rPr>
            <sz val="9"/>
            <rFont val="Tahoma"/>
          </rPr>
          <t xml:space="preserve">
23089/06 +242.676
23602/08 +100.000
</t>
        </r>
      </text>
    </comment>
    <comment ref="D254" authorId="114" shapeId="0">
      <text>
        <r>
          <rPr>
            <b/>
            <sz val="9"/>
            <rFont val="Tahoma"/>
          </rPr>
          <t>Jana Holíková:</t>
        </r>
        <r>
          <rPr>
            <sz val="9"/>
            <rFont val="Tahoma"/>
          </rPr>
          <t xml:space="preserve">
23602/08 -100.000
</t>
        </r>
      </text>
    </comment>
    <comment ref="D258" authorId="115" shapeId="0">
      <text>
        <r>
          <rPr>
            <b/>
            <sz val="9"/>
            <rFont val="Tahoma"/>
          </rPr>
          <t>Jana Holíková:</t>
        </r>
        <r>
          <rPr>
            <sz val="9"/>
            <rFont val="Tahoma"/>
          </rPr>
          <t xml:space="preserve">
23180/11 -70.000
</t>
        </r>
      </text>
    </comment>
    <comment ref="D262" authorId="116" shapeId="0">
      <text>
        <r>
          <rPr>
            <b/>
            <sz val="9"/>
            <rFont val="Tahoma"/>
          </rPr>
          <t>Jana Holíková:</t>
        </r>
        <r>
          <rPr>
            <sz val="9"/>
            <rFont val="Tahoma"/>
          </rPr>
          <t xml:space="preserve">
23173/11 -30.000
</t>
        </r>
      </text>
    </comment>
    <comment ref="D263" authorId="117" shapeId="0">
      <text>
        <r>
          <rPr>
            <b/>
            <sz val="9"/>
            <rFont val="Tahoma"/>
          </rPr>
          <t>Jana Holíková:</t>
        </r>
        <r>
          <rPr>
            <sz val="9"/>
            <rFont val="Tahoma"/>
          </rPr>
          <t xml:space="preserve">
23173/11 -10.637.000
</t>
        </r>
      </text>
    </comment>
    <comment ref="D264" authorId="118" shapeId="0">
      <text>
        <r>
          <rPr>
            <b/>
            <sz val="9"/>
            <rFont val="Tahoma"/>
          </rPr>
          <t>Jana Holíková:</t>
        </r>
        <r>
          <rPr>
            <sz val="9"/>
            <rFont val="Tahoma"/>
          </rPr>
          <t xml:space="preserve">
23173/11 -26.810
</t>
        </r>
      </text>
    </comment>
    <comment ref="D265" authorId="119" shapeId="0">
      <text>
        <r>
          <rPr>
            <b/>
            <sz val="9"/>
            <rFont val="Tahoma"/>
          </rPr>
          <t>Jana Holíková:</t>
        </r>
        <r>
          <rPr>
            <sz val="9"/>
            <rFont val="Tahoma"/>
          </rPr>
          <t xml:space="preserve">
23171/11 +300.000
</t>
        </r>
      </text>
    </comment>
    <comment ref="D266" authorId="120" shapeId="0">
      <text>
        <r>
          <rPr>
            <b/>
            <sz val="9"/>
            <rFont val="Tahoma"/>
          </rPr>
          <t>Jana Holíková:</t>
        </r>
        <r>
          <rPr>
            <sz val="9"/>
            <rFont val="Tahoma"/>
          </rPr>
          <t xml:space="preserve">
23171/11 -100.000
23195/12 -1.600.000
</t>
        </r>
      </text>
    </comment>
    <comment ref="D267" authorId="121" shapeId="0">
      <text>
        <r>
          <rPr>
            <b/>
            <sz val="9"/>
            <rFont val="Tahoma"/>
          </rPr>
          <t>Jana Holíková:</t>
        </r>
        <r>
          <rPr>
            <sz val="9"/>
            <rFont val="Tahoma"/>
          </rPr>
          <t xml:space="preserve">
23095/06 +61.673
23148/10 -100.000
23190/12 -125.000
</t>
        </r>
      </text>
    </comment>
    <comment ref="D268" authorId="122" shapeId="0">
      <text>
        <r>
          <rPr>
            <b/>
            <sz val="9"/>
            <rFont val="Tahoma"/>
          </rPr>
          <t>Jana Holíková:</t>
        </r>
        <r>
          <rPr>
            <sz val="9"/>
            <rFont val="Tahoma"/>
          </rPr>
          <t xml:space="preserve">
23590/07 +500.000
23119/08 +300.000
23635/10 +3j00.000
</t>
        </r>
      </text>
    </comment>
    <comment ref="D269" authorId="123" shapeId="0">
      <text>
        <r>
          <rPr>
            <b/>
            <sz val="9"/>
            <rFont val="Tahoma"/>
          </rPr>
          <t>Jana Holíková:</t>
        </r>
        <r>
          <rPr>
            <sz val="9"/>
            <rFont val="Tahoma"/>
          </rPr>
          <t xml:space="preserve">
23590/07 -500.000
23635/10 -300.000
23636/10 -550.000
</t>
        </r>
      </text>
    </comment>
    <comment ref="D270" authorId="124" shapeId="0">
      <text>
        <r>
          <rPr>
            <b/>
            <sz val="9"/>
            <rFont val="Tahoma"/>
          </rPr>
          <t>Jana Holíková:</t>
        </r>
        <r>
          <rPr>
            <sz val="9"/>
            <rFont val="Tahoma"/>
          </rPr>
          <t xml:space="preserve">
23636/10 +550.000
</t>
        </r>
      </text>
    </comment>
    <comment ref="D274" authorId="125" shapeId="0">
      <text>
        <r>
          <rPr>
            <b/>
            <sz val="9"/>
            <rFont val="Tahoma"/>
          </rPr>
          <t>Jana Holíková:</t>
        </r>
        <r>
          <rPr>
            <sz val="9"/>
            <rFont val="Tahoma"/>
          </rPr>
          <t xml:space="preserve">
23049/03 -700.000
23624/10 +3.000
</t>
        </r>
      </text>
    </comment>
    <comment ref="D277" authorId="126" shapeId="0">
      <text>
        <r>
          <rPr>
            <b/>
            <sz val="9"/>
            <rFont val="Tahoma"/>
          </rPr>
          <t>Jana Holíková:</t>
        </r>
        <r>
          <rPr>
            <sz val="9"/>
            <rFont val="Tahoma"/>
          </rPr>
          <t xml:space="preserve">
23624/10 -3.000
</t>
        </r>
      </text>
    </comment>
    <comment ref="D278" authorId="127" shapeId="0">
      <text>
        <r>
          <rPr>
            <b/>
            <sz val="9"/>
            <rFont val="Tahoma"/>
          </rPr>
          <t>Jana Holíková:</t>
        </r>
        <r>
          <rPr>
            <sz val="9"/>
            <rFont val="Tahoma"/>
          </rPr>
          <t xml:space="preserve">
23671/12 +114.240
</t>
        </r>
      </text>
    </comment>
    <comment ref="D279" authorId="128" shapeId="0">
      <text>
        <r>
          <rPr>
            <b/>
            <sz val="9"/>
            <rFont val="Tahoma"/>
          </rPr>
          <t>Jana Holíková:</t>
        </r>
        <r>
          <rPr>
            <sz val="9"/>
            <rFont val="Tahoma"/>
          </rPr>
          <t xml:space="preserve">
23120/08 -76.104,43
23124/08 -103.109,69
23134/09 +76.104,43
23148/10 +100.000
23190/12 +125.000
23671/12 -114.240
</t>
        </r>
      </text>
    </comment>
    <comment ref="D282" authorId="129" shapeId="0">
      <text>
        <r>
          <rPr>
            <b/>
            <sz val="9"/>
            <rFont val="Tahoma"/>
          </rPr>
          <t>Jana Holíková:</t>
        </r>
        <r>
          <rPr>
            <sz val="9"/>
            <rFont val="Tahoma"/>
          </rPr>
          <t xml:space="preserve">
23508/02 +29.498,59
</t>
        </r>
      </text>
    </comment>
    <comment ref="D283" authorId="130" shapeId="0">
      <text>
        <r>
          <rPr>
            <b/>
            <sz val="9"/>
            <rFont val="Tahoma"/>
          </rPr>
          <t>Jana Holíková:</t>
        </r>
        <r>
          <rPr>
            <sz val="9"/>
            <rFont val="Tahoma"/>
          </rPr>
          <t xml:space="preserve">
23508/02 -29.498,59
</t>
        </r>
      </text>
    </comment>
    <comment ref="D284" authorId="131" shapeId="0">
      <text>
        <r>
          <rPr>
            <b/>
            <sz val="9"/>
            <rFont val="Tahoma"/>
          </rPr>
          <t>Jana Holíková:</t>
        </r>
        <r>
          <rPr>
            <sz val="9"/>
            <rFont val="Tahoma"/>
          </rPr>
          <t xml:space="preserve">
23095/06 +1.124
</t>
        </r>
      </text>
    </comment>
    <comment ref="D290" authorId="132" shapeId="0">
      <text>
        <r>
          <rPr>
            <b/>
            <sz val="9"/>
            <rFont val="Tahoma"/>
          </rPr>
          <t>Jana Holíková:</t>
        </r>
        <r>
          <rPr>
            <sz val="9"/>
            <rFont val="Tahoma"/>
          </rPr>
          <t xml:space="preserve">
23633/10 -8.000
23651/11 +15.000
</t>
        </r>
      </text>
    </comment>
    <comment ref="D292" authorId="133" shapeId="0">
      <text>
        <r>
          <rPr>
            <b/>
            <sz val="9"/>
            <rFont val="Tahoma"/>
          </rPr>
          <t>Jana Holíková:</t>
        </r>
        <r>
          <rPr>
            <sz val="9"/>
            <rFont val="Tahoma"/>
          </rPr>
          <t xml:space="preserve">
23651/11 -15.000
</t>
        </r>
      </text>
    </comment>
    <comment ref="D293" authorId="134" shapeId="0">
      <text>
        <r>
          <rPr>
            <b/>
            <sz val="9"/>
            <rFont val="Tahoma"/>
          </rPr>
          <t>Jana Holíková:</t>
        </r>
        <r>
          <rPr>
            <sz val="9"/>
            <rFont val="Tahoma"/>
          </rPr>
          <t xml:space="preserve">
23633/10 +8.000
</t>
        </r>
      </text>
    </comment>
    <comment ref="D301" authorId="135" shapeId="0">
      <text>
        <r>
          <rPr>
            <b/>
            <sz val="9"/>
            <rFont val="Tahoma"/>
          </rPr>
          <t>Jana Holíková:</t>
        </r>
        <r>
          <rPr>
            <sz val="9"/>
            <rFont val="Tahoma"/>
          </rPr>
          <t xml:space="preserve">
23091/06 +274.029,69
23097/06 +220.000 
(a 23115/08)
</t>
        </r>
      </text>
    </comment>
    <comment ref="D302" authorId="136" shapeId="0">
      <text>
        <r>
          <rPr>
            <b/>
            <sz val="9"/>
            <rFont val="Tahoma"/>
          </rPr>
          <t>Jana Holíková:</t>
        </r>
        <r>
          <rPr>
            <sz val="9"/>
            <rFont val="Tahoma"/>
          </rPr>
          <t xml:space="preserve">
23132/09 +200.000
</t>
        </r>
      </text>
    </comment>
    <comment ref="D304" authorId="137" shapeId="0">
      <text>
        <r>
          <rPr>
            <b/>
            <sz val="9"/>
            <rFont val="Tahoma"/>
          </rPr>
          <t>Jana Holíková:</t>
        </r>
        <r>
          <rPr>
            <sz val="9"/>
            <rFont val="Tahoma"/>
          </rPr>
          <t xml:space="preserve">
23123/08 +146.890,31
23124/08 +103.109,69
</t>
        </r>
      </text>
    </comment>
    <comment ref="D305" authorId="138" shapeId="0">
      <text>
        <r>
          <rPr>
            <b/>
            <sz val="9"/>
            <rFont val="Tahoma"/>
          </rPr>
          <t>Jana Holíková:</t>
        </r>
        <r>
          <rPr>
            <sz val="9"/>
            <rFont val="Tahoma"/>
          </rPr>
          <t xml:space="preserve">
23553/05 -179.080
23091/06 -274.029,69
23123/08 -146.890,31
</t>
        </r>
      </text>
    </comment>
    <comment ref="D308" authorId="139" shapeId="0">
      <text>
        <r>
          <rPr>
            <b/>
            <sz val="9"/>
            <rFont val="Tahoma"/>
          </rPr>
          <t>Jana Holíková:</t>
        </r>
        <r>
          <rPr>
            <sz val="9"/>
            <rFont val="Tahoma"/>
          </rPr>
          <t xml:space="preserve">
23553/05 +179.080
</t>
        </r>
      </text>
    </comment>
    <comment ref="D309" authorId="140" shapeId="0">
      <text>
        <r>
          <rPr>
            <b/>
            <sz val="9"/>
            <rFont val="Tahoma"/>
          </rPr>
          <t>Jana Holíková:</t>
        </r>
        <r>
          <rPr>
            <sz val="9"/>
            <rFont val="Tahoma"/>
          </rPr>
          <t xml:space="preserve">
23051/04 +100.000 houpačka Kojetín part.rozp
</t>
        </r>
      </text>
    </comment>
    <comment ref="D311" authorId="141" shapeId="0">
      <text>
        <r>
          <rPr>
            <b/>
            <sz val="9"/>
            <rFont val="Tahoma"/>
          </rPr>
          <t>Jana Holíková:</t>
        </r>
        <r>
          <rPr>
            <sz val="9"/>
            <rFont val="Tahoma"/>
          </rPr>
          <t xml:space="preserve">
23171/11 -48.744
</t>
        </r>
      </text>
    </comment>
    <comment ref="D316" authorId="142" shapeId="0">
      <text>
        <r>
          <rPr>
            <b/>
            <sz val="9"/>
            <rFont val="Tahoma"/>
          </rPr>
          <t>Jana Holíková:</t>
        </r>
        <r>
          <rPr>
            <sz val="9"/>
            <rFont val="Tahoma"/>
          </rPr>
          <t xml:space="preserve">
23025/02 -43.923
</t>
        </r>
      </text>
    </comment>
    <comment ref="D318" authorId="143" shapeId="0">
      <text>
        <r>
          <rPr>
            <b/>
            <sz val="9"/>
            <rFont val="Tahoma"/>
          </rPr>
          <t>Jana Holíková:</t>
        </r>
        <r>
          <rPr>
            <sz val="9"/>
            <rFont val="Tahoma"/>
          </rPr>
          <t xml:space="preserve">
23184/11 -300.000
</t>
        </r>
      </text>
    </comment>
    <comment ref="D320" authorId="144" shapeId="0">
      <text>
        <r>
          <rPr>
            <b/>
            <sz val="9"/>
            <rFont val="Tahoma"/>
          </rPr>
          <t>Jana Holíková:</t>
        </r>
        <r>
          <rPr>
            <sz val="9"/>
            <rFont val="Tahoma"/>
          </rPr>
          <t xml:space="preserve">
23171/11 -350.000
</t>
        </r>
      </text>
    </comment>
    <comment ref="D323" authorId="145" shapeId="0">
      <text>
        <r>
          <rPr>
            <b/>
            <sz val="9"/>
            <rFont val="Tahoma"/>
          </rPr>
          <t>Jana Holíková:</t>
        </r>
        <r>
          <rPr>
            <sz val="9"/>
            <rFont val="Tahoma"/>
          </rPr>
          <t xml:space="preserve">
23095/06 +1.858
</t>
        </r>
      </text>
    </comment>
    <comment ref="D326" authorId="146" shapeId="0">
      <text>
        <r>
          <rPr>
            <b/>
            <sz val="9"/>
            <rFont val="Tahoma"/>
          </rPr>
          <t>Jana Holíková:</t>
        </r>
        <r>
          <rPr>
            <sz val="9"/>
            <rFont val="Tahoma"/>
          </rPr>
          <t xml:space="preserve">
23514/02 +70.301
</t>
        </r>
      </text>
    </comment>
    <comment ref="D327" authorId="147" shapeId="0">
      <text>
        <r>
          <rPr>
            <b/>
            <sz val="9"/>
            <rFont val="Tahoma"/>
          </rPr>
          <t>Jana Holíková:</t>
        </r>
        <r>
          <rPr>
            <sz val="9"/>
            <rFont val="Tahoma"/>
          </rPr>
          <t xml:space="preserve">
23514/02 +26257
</t>
        </r>
      </text>
    </comment>
    <comment ref="D328" authorId="148" shapeId="0">
      <text>
        <r>
          <rPr>
            <b/>
            <sz val="9"/>
            <rFont val="Tahoma"/>
          </rPr>
          <t>Jana Holíková:</t>
        </r>
        <r>
          <rPr>
            <sz val="9"/>
            <rFont val="Tahoma"/>
          </rPr>
          <t xml:space="preserve">
23184/11
</t>
        </r>
      </text>
    </comment>
    <comment ref="D330" authorId="149" shapeId="0">
      <text>
        <r>
          <rPr>
            <b/>
            <sz val="9"/>
            <rFont val="Tahoma"/>
          </rPr>
          <t>Jana Holíková:</t>
        </r>
        <r>
          <rPr>
            <sz val="9"/>
            <rFont val="Tahoma"/>
          </rPr>
          <t xml:space="preserve">
23514/02 -124.482
23184/11 -400.000
</t>
        </r>
      </text>
    </comment>
    <comment ref="D331" authorId="150" shapeId="0">
      <text>
        <r>
          <rPr>
            <b/>
            <sz val="9"/>
            <rFont val="Tahoma"/>
          </rPr>
          <t>Jana Holíková:</t>
        </r>
        <r>
          <rPr>
            <sz val="9"/>
            <rFont val="Tahoma"/>
          </rPr>
          <t xml:space="preserve">
23514/02 +27.924
</t>
        </r>
      </text>
    </comment>
    <comment ref="D333" authorId="151" shapeId="0">
      <text>
        <r>
          <rPr>
            <b/>
            <sz val="9"/>
            <rFont val="Tahoma"/>
          </rPr>
          <t>Jana Holíková:</t>
        </r>
        <r>
          <rPr>
            <sz val="9"/>
            <rFont val="Tahoma"/>
          </rPr>
          <t xml:space="preserve">
23184/11 -900.000
</t>
        </r>
      </text>
    </comment>
    <comment ref="D336" authorId="152" shapeId="0">
      <text>
        <r>
          <rPr>
            <b/>
            <sz val="9"/>
            <rFont val="Tahoma"/>
          </rPr>
          <t>Jana Holíková:</t>
        </r>
        <r>
          <rPr>
            <sz val="9"/>
            <rFont val="Tahoma"/>
          </rPr>
          <t xml:space="preserve">
23008/01 +33.698
23173/11 -370.088
</t>
        </r>
      </text>
    </comment>
    <comment ref="D337" authorId="153" shapeId="0">
      <text>
        <r>
          <rPr>
            <b/>
            <sz val="9"/>
            <rFont val="Tahoma"/>
          </rPr>
          <t>Jana Holíková:</t>
        </r>
        <r>
          <rPr>
            <sz val="9"/>
            <rFont val="Tahoma"/>
          </rPr>
          <t xml:space="preserve">
23037/03 +175.000
23173/11 -175.000
</t>
        </r>
      </text>
    </comment>
    <comment ref="D338" authorId="154" shapeId="0">
      <text>
        <r>
          <rPr>
            <b/>
            <sz val="9"/>
            <rFont val="Tahoma"/>
          </rPr>
          <t>Jana Holíková:</t>
        </r>
        <r>
          <rPr>
            <sz val="9"/>
            <rFont val="Tahoma"/>
          </rPr>
          <t xml:space="preserve">
23171/11 -600.000
</t>
        </r>
      </text>
    </comment>
    <comment ref="D339" authorId="155" shapeId="0">
      <text>
        <r>
          <rPr>
            <b/>
            <sz val="9"/>
            <rFont val="Tahoma"/>
          </rPr>
          <t>Jana Holíková:</t>
        </r>
        <r>
          <rPr>
            <sz val="9"/>
            <rFont val="Tahoma"/>
          </rPr>
          <t xml:space="preserve">
23171/11 -10.163
</t>
        </r>
      </text>
    </comment>
    <comment ref="D347" authorId="156" shapeId="0">
      <text/>
    </comment>
    <comment ref="D348" authorId="157" shapeId="0">
      <text>
        <r>
          <rPr>
            <b/>
            <sz val="9"/>
            <rFont val="Tahoma"/>
          </rPr>
          <t>Jana Holíková:</t>
        </r>
        <r>
          <rPr>
            <sz val="9"/>
            <rFont val="Tahoma"/>
          </rPr>
          <t xml:space="preserve">
23095/06 +29.008
23132/09 +200.000
(part.rozp. lavičky Hückelovy vily)
</t>
        </r>
      </text>
    </comment>
    <comment ref="D353" authorId="158" shapeId="0">
      <text>
        <r>
          <rPr>
            <b/>
            <sz val="9"/>
            <rFont val="Tahoma"/>
          </rPr>
          <t>Jana Holíková:</t>
        </r>
        <r>
          <rPr>
            <sz val="9"/>
            <rFont val="Tahoma"/>
          </rPr>
          <t xml:space="preserve">
23098/07 -1.000.000
</t>
        </r>
      </text>
    </comment>
    <comment ref="D355" authorId="159" shapeId="0">
      <text>
        <r>
          <rPr>
            <b/>
            <sz val="9"/>
            <rFont val="Tahoma"/>
          </rPr>
          <t>Jana Holíková:</t>
        </r>
        <r>
          <rPr>
            <sz val="9"/>
            <rFont val="Tahoma"/>
          </rPr>
          <t xml:space="preserve">
23098/07 -1.000.000
23138/10 -100.000
23140/10 -400.000
</t>
        </r>
      </text>
    </comment>
    <comment ref="D356" authorId="160" shapeId="0">
      <text>
        <r>
          <rPr>
            <b/>
            <sz val="9"/>
            <rFont val="Tahoma"/>
          </rPr>
          <t>Jana Holíková:</t>
        </r>
        <r>
          <rPr>
            <sz val="9"/>
            <rFont val="Tahoma"/>
          </rPr>
          <t xml:space="preserve">
23098/07 -1.000.000
</t>
        </r>
      </text>
    </comment>
    <comment ref="D357" authorId="161" shapeId="0">
      <text>
        <r>
          <rPr>
            <b/>
            <sz val="9"/>
            <rFont val="Tahoma"/>
          </rPr>
          <t>Jana Holíková:</t>
        </r>
        <r>
          <rPr>
            <sz val="9"/>
            <rFont val="Tahoma"/>
          </rPr>
          <t xml:space="preserve">
23138/10 -200.000
</t>
        </r>
      </text>
    </comment>
    <comment ref="D358" authorId="162" shapeId="0">
      <text>
        <r>
          <rPr>
            <b/>
            <sz val="9"/>
            <rFont val="Tahoma"/>
          </rPr>
          <t>Jana Holíková:</t>
        </r>
        <r>
          <rPr>
            <sz val="9"/>
            <rFont val="Tahoma"/>
          </rPr>
          <t xml:space="preserve">
23098/07 -280.000
23594/07 +10.000
</t>
        </r>
      </text>
    </comment>
    <comment ref="D359" authorId="163" shapeId="0">
      <text>
        <r>
          <rPr>
            <b/>
            <sz val="9"/>
            <rFont val="Tahoma"/>
          </rPr>
          <t>Jana Holíková:</t>
        </r>
        <r>
          <rPr>
            <sz val="9"/>
            <rFont val="Tahoma"/>
          </rPr>
          <t xml:space="preserve">
23594/07 -10.000
</t>
        </r>
      </text>
    </comment>
    <comment ref="D364" authorId="164" shapeId="0">
      <text>
        <r>
          <rPr>
            <b/>
            <sz val="9"/>
            <rFont val="Tahoma"/>
          </rPr>
          <t>Jana Holíková:</t>
        </r>
        <r>
          <rPr>
            <sz val="9"/>
            <rFont val="Tahoma"/>
          </rPr>
          <t xml:space="preserve">
23520/02 -13.500
23049/03 
+700.000 +1.250.000
23138/10 -1.800.000
</t>
        </r>
      </text>
    </comment>
    <comment ref="D368" authorId="165" shapeId="0">
      <text>
        <r>
          <rPr>
            <b/>
            <sz val="9"/>
            <rFont val="Tahoma"/>
          </rPr>
          <t>Jana Holíková:</t>
        </r>
        <r>
          <rPr>
            <sz val="9"/>
            <rFont val="Tahoma"/>
          </rPr>
          <t xml:space="preserve">
23520/02 +13.500
</t>
        </r>
      </text>
    </comment>
    <comment ref="D369" authorId="166" shapeId="0">
      <text>
        <r>
          <rPr>
            <b/>
            <sz val="9"/>
            <rFont val="Tahoma"/>
          </rPr>
          <t>Jana Holíková:</t>
        </r>
        <r>
          <rPr>
            <sz val="9"/>
            <rFont val="Tahoma"/>
          </rPr>
          <t xml:space="preserve">
23569/06 +200.000
</t>
        </r>
      </text>
    </comment>
    <comment ref="D371" authorId="167" shapeId="0">
      <text>
        <r>
          <rPr>
            <b/>
            <sz val="9"/>
            <rFont val="Tahoma"/>
          </rPr>
          <t>Jana Holíková:</t>
        </r>
        <r>
          <rPr>
            <sz val="9"/>
            <rFont val="Tahoma"/>
          </rPr>
          <t xml:space="preserve">
23569/06 -200.000
23138/10 -2.000.000
</t>
        </r>
      </text>
    </comment>
    <comment ref="D372" authorId="168" shapeId="0">
      <text>
        <r>
          <rPr>
            <b/>
            <sz val="9"/>
            <rFont val="Tahoma"/>
          </rPr>
          <t>Jana Holíková:</t>
        </r>
        <r>
          <rPr>
            <sz val="9"/>
            <rFont val="Tahoma"/>
          </rPr>
          <t xml:space="preserve">
23138/10 -500.000
</t>
        </r>
      </text>
    </comment>
    <comment ref="D373" authorId="169" shapeId="0">
      <text>
        <r>
          <rPr>
            <b/>
            <sz val="9"/>
            <rFont val="Tahoma"/>
          </rPr>
          <t>Jana Holíková:</t>
        </r>
        <r>
          <rPr>
            <sz val="9"/>
            <rFont val="Tahoma"/>
          </rPr>
          <t xml:space="preserve">
23049/03 +500.000
23138/10 -450.000
</t>
        </r>
      </text>
    </comment>
    <comment ref="D374" authorId="170" shapeId="0">
      <text>
        <r>
          <rPr>
            <b/>
            <sz val="9"/>
            <rFont val="Tahoma"/>
          </rPr>
          <t>Jana Holíková:</t>
        </r>
        <r>
          <rPr>
            <sz val="9"/>
            <rFont val="Tahoma"/>
          </rPr>
          <t xml:space="preserve">
23138/10 -230.000
23677/12 +70.000
</t>
        </r>
      </text>
    </comment>
    <comment ref="D375" authorId="171" shapeId="0">
      <text>
        <r>
          <rPr>
            <b/>
            <sz val="9"/>
            <rFont val="Tahoma"/>
          </rPr>
          <t>Jana Holíková:</t>
        </r>
        <r>
          <rPr>
            <sz val="9"/>
            <rFont val="Tahoma"/>
          </rPr>
          <t xml:space="preserve">
23138/10 -2s00.000
23677/12 -70.000
</t>
        </r>
      </text>
    </comment>
    <comment ref="D379" authorId="172" shapeId="0">
      <text>
        <r>
          <rPr>
            <b/>
            <sz val="9"/>
            <rFont val="Tahoma"/>
          </rPr>
          <t>Jana Holíková:</t>
        </r>
        <r>
          <rPr>
            <sz val="9"/>
            <rFont val="Tahoma"/>
          </rPr>
          <t xml:space="preserve">
23573/06 +50.000
</t>
        </r>
      </text>
    </comment>
    <comment ref="D380" authorId="173" shapeId="0">
      <text>
        <r>
          <rPr>
            <b/>
            <sz val="9"/>
            <rFont val="Tahoma"/>
          </rPr>
          <t>Jana Holíková:</t>
        </r>
        <r>
          <rPr>
            <sz val="9"/>
            <rFont val="Tahoma"/>
          </rPr>
          <t xml:space="preserve">
23542/04 -50.000
23573/06 -50.000
</t>
        </r>
      </text>
    </comment>
    <comment ref="D381" authorId="174" shapeId="0">
      <text>
        <r>
          <rPr>
            <b/>
            <sz val="9"/>
            <rFont val="Tahoma"/>
          </rPr>
          <t>Jana Holíková:</t>
        </r>
        <r>
          <rPr>
            <sz val="9"/>
            <rFont val="Tahoma"/>
          </rPr>
          <t xml:space="preserve">
23588/07 +500.000
</t>
        </r>
      </text>
    </comment>
    <comment ref="D382" authorId="175" shapeId="0">
      <text>
        <r>
          <rPr>
            <b/>
            <sz val="9"/>
            <rFont val="Tahoma"/>
          </rPr>
          <t>Jana Holíková:</t>
        </r>
        <r>
          <rPr>
            <sz val="9"/>
            <rFont val="Tahoma"/>
          </rPr>
          <t xml:space="preserve">
23542/04 +50.000
23585/07 +660.000
</t>
        </r>
      </text>
    </comment>
    <comment ref="D384" authorId="176" shapeId="0">
      <text>
        <r>
          <rPr>
            <b/>
            <sz val="9"/>
            <rFont val="Tahoma"/>
          </rPr>
          <t>Jana Holíková:</t>
        </r>
        <r>
          <rPr>
            <sz val="9"/>
            <rFont val="Tahoma"/>
          </rPr>
          <t xml:space="preserve">
23138/10 -730.000
</t>
        </r>
      </text>
    </comment>
    <comment ref="D385" authorId="177" shapeId="0">
      <text>
        <r>
          <rPr>
            <b/>
            <sz val="9"/>
            <rFont val="Tahoma"/>
          </rPr>
          <t>Jana Holíková:</t>
        </r>
        <r>
          <rPr>
            <sz val="9"/>
            <rFont val="Tahoma"/>
          </rPr>
          <t xml:space="preserve">
23004/01 +2.500.000
23138/10 -300.000
</t>
        </r>
      </text>
    </comment>
    <comment ref="D387" authorId="178" shapeId="0">
      <text>
        <r>
          <rPr>
            <b/>
            <sz val="9"/>
            <rFont val="Tahoma"/>
          </rPr>
          <t>Jana Holíková:</t>
        </r>
        <r>
          <rPr>
            <sz val="9"/>
            <rFont val="Tahoma"/>
          </rPr>
          <t xml:space="preserve">
23138/10 -550.000
</t>
        </r>
      </text>
    </comment>
    <comment ref="D392" authorId="179" shapeId="0">
      <text>
        <r>
          <rPr>
            <b/>
            <sz val="9"/>
            <rFont val="Tahoma"/>
          </rPr>
          <t>Jana Holíková:</t>
        </r>
        <r>
          <rPr>
            <sz val="9"/>
            <rFont val="Tahoma"/>
          </rPr>
          <t xml:space="preserve">
23151/11 -700.000
</t>
        </r>
      </text>
    </comment>
    <comment ref="D393" authorId="180" shapeId="0">
      <text>
        <r>
          <rPr>
            <b/>
            <sz val="9"/>
            <rFont val="Tahoma"/>
          </rPr>
          <t>Jana Holíková:</t>
        </r>
        <r>
          <rPr>
            <sz val="9"/>
            <rFont val="Tahoma"/>
          </rPr>
          <t xml:space="preserve">
23138/10 -450.000 
</t>
        </r>
      </text>
    </comment>
    <comment ref="D394" authorId="181" shapeId="0">
      <text>
        <r>
          <rPr>
            <b/>
            <sz val="9"/>
            <rFont val="Tahoma"/>
          </rPr>
          <t>Jana Holíková:</t>
        </r>
        <r>
          <rPr>
            <sz val="9"/>
            <rFont val="Tahoma"/>
          </rPr>
          <t xml:space="preserve">
23138/10 -800.000
</t>
        </r>
      </text>
    </comment>
    <comment ref="D395" authorId="182" shapeId="0">
      <text>
        <r>
          <rPr>
            <b/>
            <sz val="9"/>
            <rFont val="Tahoma"/>
          </rPr>
          <t>Jana Holíková:</t>
        </r>
        <r>
          <rPr>
            <sz val="9"/>
            <rFont val="Tahoma"/>
          </rPr>
          <t xml:space="preserve">
23111/07 -81.550,55
23588/07 -500.000
23138/10 -310000
</t>
        </r>
      </text>
    </comment>
    <comment ref="D401" authorId="183" shapeId="0">
      <text>
        <r>
          <rPr>
            <b/>
            <sz val="9"/>
            <rFont val="Tahoma"/>
          </rPr>
          <t>Jana Holíková:</t>
        </r>
        <r>
          <rPr>
            <sz val="9"/>
            <rFont val="Tahoma"/>
          </rPr>
          <t xml:space="preserve">
23088 +22.018 úz611
</t>
        </r>
      </text>
    </comment>
    <comment ref="D402" authorId="184" shapeId="0">
      <text>
        <r>
          <rPr>
            <b/>
            <sz val="9"/>
            <rFont val="Tahoma"/>
          </rPr>
          <t>Jana Holíková:</t>
        </r>
        <r>
          <rPr>
            <sz val="9"/>
            <rFont val="Tahoma"/>
          </rPr>
          <t xml:space="preserve">
23521/03 +-117.833 dozn úz 610
23138/10 -500.000
</t>
        </r>
      </text>
    </comment>
    <comment ref="D403" authorId="185" shapeId="0">
      <text>
        <r>
          <rPr>
            <b/>
            <sz val="9"/>
            <rFont val="Tahoma"/>
          </rPr>
          <t>Jana Holíková:</t>
        </r>
        <r>
          <rPr>
            <sz val="9"/>
            <rFont val="Tahoma"/>
          </rPr>
          <t xml:space="preserve">
23138/10 -750.000
</t>
        </r>
      </text>
    </comment>
    <comment ref="D405" authorId="186" shapeId="0">
      <text>
        <r>
          <rPr>
            <b/>
            <sz val="9"/>
            <rFont val="Tahoma"/>
          </rPr>
          <t>Jana Holíková:</t>
        </r>
        <r>
          <rPr>
            <sz val="9"/>
            <rFont val="Tahoma"/>
          </rPr>
          <t xml:space="preserve">
23138/10 -780.000
</t>
        </r>
      </text>
    </comment>
    <comment ref="D406" authorId="187" shapeId="0">
      <text>
        <r>
          <rPr>
            <b/>
            <sz val="9"/>
            <rFont val="Tahoma"/>
          </rPr>
          <t>Jana Holíková:</t>
        </r>
        <r>
          <rPr>
            <sz val="9"/>
            <rFont val="Tahoma"/>
          </rPr>
          <t xml:space="preserve">
23012/02 +13.000 úz612
</t>
        </r>
      </text>
    </comment>
    <comment ref="D408" authorId="188" shapeId="0">
      <text>
        <r>
          <rPr>
            <b/>
            <sz val="9"/>
            <rFont val="Tahoma"/>
          </rPr>
          <t>Jana Holíková:</t>
        </r>
        <r>
          <rPr>
            <sz val="9"/>
            <rFont val="Tahoma"/>
          </rPr>
          <t xml:space="preserve">
23598/07 -1.000.000
23109/07 -7.500.000
23110/07 -100.000
-660.000
</t>
        </r>
      </text>
    </comment>
    <comment ref="D413" authorId="189" shapeId="0">
      <text>
        <r>
          <rPr>
            <b/>
            <sz val="9"/>
            <rFont val="Tahoma"/>
          </rPr>
          <t>Jana Holíková:</t>
        </r>
        <r>
          <rPr>
            <sz val="9"/>
            <rFont val="Tahoma"/>
          </rPr>
          <t xml:space="preserve">
23110/07 +100.000
</t>
        </r>
      </text>
    </comment>
    <comment ref="D416" authorId="190" shapeId="0">
      <text>
        <r>
          <rPr>
            <b/>
            <sz val="9"/>
            <rFont val="Tahoma"/>
          </rPr>
          <t>Jana Holíková:</t>
        </r>
        <r>
          <rPr>
            <sz val="9"/>
            <rFont val="Tahoma"/>
          </rPr>
          <t xml:space="preserve">
23601/08 -520.000
</t>
        </r>
      </text>
    </comment>
    <comment ref="D418" authorId="191" shapeId="0">
      <text>
        <r>
          <rPr>
            <b/>
            <sz val="9"/>
            <rFont val="Tahoma"/>
          </rPr>
          <t>Jana Holíková:</t>
        </r>
        <r>
          <rPr>
            <sz val="9"/>
            <rFont val="Tahoma"/>
          </rPr>
          <t xml:space="preserve">
23543/04 +4.635.000
23601/08 +520.000
</t>
        </r>
      </text>
    </comment>
    <comment ref="D419" authorId="192" shapeId="0">
      <text>
        <r>
          <rPr>
            <b/>
            <sz val="9"/>
            <rFont val="Tahoma"/>
          </rPr>
          <t>Jana Holíková:</t>
        </r>
        <r>
          <rPr>
            <sz val="9"/>
            <rFont val="Tahoma"/>
          </rPr>
          <t xml:space="preserve">
23543/04 -4.635.000
</t>
        </r>
      </text>
    </comment>
    <comment ref="D422" authorId="193" shapeId="0">
      <text>
        <r>
          <rPr>
            <b/>
            <sz val="9"/>
            <rFont val="Tahoma"/>
          </rPr>
          <t>Jana Holíková:</t>
        </r>
        <r>
          <rPr>
            <sz val="9"/>
            <rFont val="Tahoma"/>
          </rPr>
          <t xml:space="preserve">
23548/05 
+150.000 +80.000
23596/08 +200.000
</t>
        </r>
      </text>
    </comment>
    <comment ref="D423" authorId="194" shapeId="0">
      <text>
        <r>
          <rPr>
            <b/>
            <sz val="9"/>
            <rFont val="Tahoma"/>
          </rPr>
          <t>Jana Holíková:</t>
        </r>
        <r>
          <rPr>
            <sz val="9"/>
            <rFont val="Tahoma"/>
          </rPr>
          <t xml:space="preserve">
23596/08 -200.000
23141/10 -100.000
</t>
        </r>
      </text>
    </comment>
    <comment ref="D424" authorId="195" shapeId="0">
      <text>
        <r>
          <rPr>
            <b/>
            <sz val="9"/>
            <rFont val="Tahoma"/>
          </rPr>
          <t>Jana Holíková:</t>
        </r>
        <r>
          <rPr>
            <sz val="9"/>
            <rFont val="Tahoma"/>
          </rPr>
          <t xml:space="preserve">
23070/05 -1.700.000
</t>
        </r>
      </text>
    </comment>
    <comment ref="D425" authorId="196" shapeId="0">
      <text>
        <r>
          <rPr>
            <b/>
            <sz val="9"/>
            <rFont val="Tahoma"/>
          </rPr>
          <t>Jana Holíková:</t>
        </r>
        <r>
          <rPr>
            <sz val="9"/>
            <rFont val="Tahoma"/>
          </rPr>
          <t xml:space="preserve">
23021/02 -14.000.000
23548/05 -230.000
</t>
        </r>
      </text>
    </comment>
    <comment ref="D431" authorId="197" shapeId="0">
      <text>
        <r>
          <rPr>
            <b/>
            <sz val="9"/>
            <rFont val="Tahoma"/>
          </rPr>
          <t>Jana Holíková:</t>
        </r>
        <r>
          <rPr>
            <sz val="9"/>
            <rFont val="Tahoma"/>
          </rPr>
          <t xml:space="preserve">
23098/07 -1.000.000
</t>
        </r>
      </text>
    </comment>
    <comment ref="D435" authorId="198" shapeId="0">
      <text>
        <r>
          <rPr>
            <b/>
            <sz val="9"/>
            <rFont val="Tahoma"/>
          </rPr>
          <t>Jana Holíková:</t>
        </r>
        <r>
          <rPr>
            <sz val="9"/>
            <rFont val="Tahoma"/>
          </rPr>
          <t xml:space="preserve">
23679/12 +16.000
</t>
        </r>
      </text>
    </comment>
    <comment ref="D436" authorId="199" shapeId="0">
      <text>
        <r>
          <rPr>
            <b/>
            <sz val="9"/>
            <rFont val="Tahoma"/>
          </rPr>
          <t>Jana Holíková:</t>
        </r>
        <r>
          <rPr>
            <sz val="9"/>
            <rFont val="Tahoma"/>
          </rPr>
          <t xml:space="preserve">
23023/02 -153.307 part.rozp-psí hř
23051/04 -100.000 part.rozp Houpačka Kojetín
23604/08 +-184.827,50
23132/09 -400.000 part.rozp-
(200t. Rodinné hřiště TJ Sokol Lamberk+200t Lavičky Hückelovy vily) 
23138/10 -1.000.000 studie
23679/12 -16.000
</t>
        </r>
      </text>
    </comment>
    <comment ref="D440" authorId="200" shapeId="0">
      <text>
        <r>
          <rPr>
            <b/>
            <sz val="9"/>
            <rFont val="Tahoma"/>
          </rPr>
          <t>Jana Holíková:</t>
        </r>
        <r>
          <rPr>
            <sz val="9"/>
            <rFont val="Tahoma"/>
          </rPr>
          <t xml:space="preserve">
23098/07 -6.900.000
</t>
        </r>
      </text>
    </comment>
    <comment ref="D442" authorId="201" shapeId="0">
      <text>
        <r>
          <rPr>
            <b/>
            <sz val="9"/>
            <rFont val="Tahoma"/>
          </rPr>
          <t>Jana Holíková:</t>
        </r>
        <r>
          <rPr>
            <sz val="9"/>
            <rFont val="Tahoma"/>
          </rPr>
          <t xml:space="preserve">
23098/07 -2.000.000
</t>
        </r>
      </text>
    </comment>
    <comment ref="D447" authorId="202" shapeId="0">
      <text>
        <r>
          <rPr>
            <b/>
            <sz val="9"/>
            <rFont val="Tahoma"/>
          </rPr>
          <t>Jana Holíková:</t>
        </r>
        <r>
          <rPr>
            <sz val="9"/>
            <rFont val="Tahoma"/>
          </rPr>
          <t xml:space="preserve">
23554/05 +500.000
23131/09 +-500.000
(dopl. Úz 34054)
</t>
        </r>
      </text>
    </comment>
    <comment ref="D448" authorId="203" shapeId="0">
      <text>
        <r>
          <rPr>
            <b/>
            <sz val="9"/>
            <rFont val="Tahoma"/>
          </rPr>
          <t>Jana Holíková:</t>
        </r>
        <r>
          <rPr>
            <sz val="9"/>
            <rFont val="Tahoma"/>
          </rPr>
          <t xml:space="preserve">
23606/09 -150.000
</t>
        </r>
      </text>
    </comment>
    <comment ref="D449" authorId="204" shapeId="0">
      <text>
        <r>
          <rPr>
            <b/>
            <sz val="9"/>
            <rFont val="Tahoma"/>
          </rPr>
          <t>Jana Holíková:</t>
        </r>
        <r>
          <rPr>
            <sz val="9"/>
            <rFont val="Tahoma"/>
          </rPr>
          <t xml:space="preserve">
23554/05 -500.000
23606/09 +150.000
</t>
        </r>
      </text>
    </comment>
    <comment ref="D454" authorId="205" shapeId="0">
      <text>
        <r>
          <rPr>
            <b/>
            <sz val="9"/>
            <rFont val="Tahoma"/>
          </rPr>
          <t>Jana Holíková:</t>
        </r>
        <r>
          <rPr>
            <sz val="9"/>
            <rFont val="Tahoma"/>
          </rPr>
          <t xml:space="preserve">
23140/10 +400.000
</t>
        </r>
      </text>
    </comment>
    <comment ref="D460" authorId="206" shapeId="0">
      <text>
        <r>
          <rPr>
            <b/>
            <sz val="9"/>
            <rFont val="Tahoma"/>
          </rPr>
          <t>Jana Holíková:</t>
        </r>
        <r>
          <rPr>
            <sz val="9"/>
            <rFont val="Tahoma"/>
          </rPr>
          <t xml:space="preserve">
23089/07 -1.000.000
</t>
        </r>
      </text>
    </comment>
    <comment ref="D463" authorId="207" shapeId="0">
      <text>
        <r>
          <rPr>
            <b/>
            <sz val="9"/>
            <rFont val="Tahoma"/>
          </rPr>
          <t>Jana Holíková:</t>
        </r>
        <r>
          <rPr>
            <sz val="9"/>
            <rFont val="Tahoma"/>
          </rPr>
          <t xml:space="preserve">
23045/03 +1.500.000
</t>
        </r>
      </text>
    </comment>
    <comment ref="D465" authorId="208" shapeId="0">
      <text>
        <r>
          <rPr>
            <b/>
            <sz val="9"/>
            <rFont val="Tahoma"/>
          </rPr>
          <t>Jana Holíková:</t>
        </r>
        <r>
          <rPr>
            <sz val="9"/>
            <rFont val="Tahoma"/>
          </rPr>
          <t xml:space="preserve">
23537/04 +-400.000 org
</t>
        </r>
      </text>
    </comment>
    <comment ref="D469" authorId="209" shapeId="0">
      <text>
        <r>
          <rPr>
            <b/>
            <sz val="9"/>
            <rFont val="Tahoma"/>
          </rPr>
          <t>Jana Holíková:</t>
        </r>
        <r>
          <rPr>
            <sz val="9"/>
            <rFont val="Tahoma"/>
          </rPr>
          <t xml:space="preserve">
23024/02 +1.500.000
</t>
        </r>
      </text>
    </comment>
    <comment ref="D470" authorId="210" shapeId="0">
      <text>
        <r>
          <rPr>
            <b/>
            <sz val="9"/>
            <rFont val="Tahoma"/>
          </rPr>
          <t>Jana Holíková:</t>
        </r>
        <r>
          <rPr>
            <sz val="9"/>
            <rFont val="Tahoma"/>
          </rPr>
          <t xml:space="preserve">
23024/02 +1.200.000
</t>
        </r>
      </text>
    </comment>
    <comment ref="D472" authorId="211" shapeId="0">
      <text>
        <r>
          <rPr>
            <b/>
            <sz val="9"/>
            <rFont val="Tahoma"/>
          </rPr>
          <t>Jana Holíková:</t>
        </r>
        <r>
          <rPr>
            <sz val="9"/>
            <rFont val="Tahoma"/>
          </rPr>
          <t xml:space="preserve">
23098/07 -2.000.000
23610/09 - 500.000
</t>
        </r>
      </text>
    </comment>
    <comment ref="D473" authorId="212" shapeId="0">
      <text>
        <r>
          <rPr>
            <b/>
            <sz val="9"/>
            <rFont val="Tahoma"/>
          </rPr>
          <t>Jana Holíková:</t>
        </r>
        <r>
          <rPr>
            <sz val="9"/>
            <rFont val="Tahoma"/>
          </rPr>
          <t xml:space="preserve">
23610/09 -230.000
</t>
        </r>
      </text>
    </comment>
    <comment ref="D474" authorId="213" shapeId="0">
      <text>
        <r>
          <rPr>
            <b/>
            <sz val="9"/>
            <rFont val="Tahoma"/>
          </rPr>
          <t>Jana Holíková:</t>
        </r>
        <r>
          <rPr>
            <sz val="9"/>
            <rFont val="Tahoma"/>
          </rPr>
          <t xml:space="preserve">
23098/07 -1.100.000
</t>
        </r>
      </text>
    </comment>
    <comment ref="D475" authorId="214" shapeId="0">
      <text>
        <r>
          <rPr>
            <b/>
            <sz val="9"/>
            <rFont val="Tahoma"/>
          </rPr>
          <t>Jana Holíková:</t>
        </r>
        <r>
          <rPr>
            <sz val="9"/>
            <rFont val="Tahoma"/>
          </rPr>
          <t xml:space="preserve">
23098/07 -550.000
</t>
        </r>
      </text>
    </comment>
    <comment ref="D476" authorId="215" shapeId="0">
      <text>
        <r>
          <rPr>
            <b/>
            <sz val="9"/>
            <rFont val="Tahoma"/>
          </rPr>
          <t>Jana Holíková:</t>
        </r>
        <r>
          <rPr>
            <sz val="9"/>
            <rFont val="Tahoma"/>
          </rPr>
          <t xml:space="preserve">
23026/02 +1.700.000
23610/09 -  258.000
</t>
        </r>
      </text>
    </comment>
    <comment ref="D477" authorId="216" shapeId="0">
      <text>
        <r>
          <rPr>
            <b/>
            <sz val="9"/>
            <rFont val="Tahoma"/>
          </rPr>
          <t>Jana Holíková:</t>
        </r>
        <r>
          <rPr>
            <sz val="9"/>
            <rFont val="Tahoma"/>
          </rPr>
          <t xml:space="preserve">
23024/02 +4.000.000
23610/09 +988.000
</t>
        </r>
      </text>
    </comment>
    <comment ref="D479" authorId="217" shapeId="0">
      <text>
        <r>
          <rPr>
            <b/>
            <sz val="9"/>
            <rFont val="Tahoma"/>
          </rPr>
          <t>Jana Holíková:</t>
        </r>
        <r>
          <rPr>
            <sz val="9"/>
            <rFont val="Tahoma"/>
          </rPr>
          <t xml:space="preserve">
23551/05 -1.300.000
23098/07 -1.500.000
23138/10 -800.000
</t>
        </r>
      </text>
    </comment>
    <comment ref="D481" authorId="218" shapeId="0">
      <text>
        <r>
          <rPr>
            <b/>
            <sz val="9"/>
            <rFont val="Tahoma"/>
          </rPr>
          <t>Jana Holíková:</t>
        </r>
        <r>
          <rPr>
            <sz val="9"/>
            <rFont val="Tahoma"/>
          </rPr>
          <t xml:space="preserve">
23524/03 -1.300.000
23551/05 +1.300.000
</t>
        </r>
      </text>
    </comment>
    <comment ref="D483" authorId="219" shapeId="0">
      <text>
        <r>
          <rPr>
            <b/>
            <sz val="9"/>
            <rFont val="Tahoma"/>
          </rPr>
          <t>Jana Holíková:</t>
        </r>
        <r>
          <rPr>
            <sz val="9"/>
            <rFont val="Tahoma"/>
          </rPr>
          <t xml:space="preserve">
23098/07 -1.500.000
23138/10 -450.000
</t>
        </r>
      </text>
    </comment>
    <comment ref="D484" authorId="220" shapeId="0">
      <text>
        <r>
          <rPr>
            <b/>
            <sz val="9"/>
            <rFont val="Tahoma"/>
          </rPr>
          <t>Jana Holíková:</t>
        </r>
        <r>
          <rPr>
            <sz val="9"/>
            <rFont val="Tahoma"/>
          </rPr>
          <t xml:space="preserve">
23098/07 -1.500.000
23138/10 -480.000
</t>
        </r>
      </text>
    </comment>
    <comment ref="D485" authorId="221" shapeId="0">
      <text>
        <r>
          <rPr>
            <b/>
            <sz val="9"/>
            <rFont val="Tahoma"/>
          </rPr>
          <t>Jana Holíková:</t>
        </r>
        <r>
          <rPr>
            <sz val="9"/>
            <rFont val="Tahoma"/>
          </rPr>
          <t xml:space="preserve">
23523/03 -40.000
23138/10 -2.000.000
</t>
        </r>
      </text>
    </comment>
    <comment ref="D486" authorId="222" shapeId="0">
      <text>
        <r>
          <rPr>
            <b/>
            <sz val="9"/>
            <rFont val="Tahoma"/>
          </rPr>
          <t>Jana Holíková:</t>
        </r>
        <r>
          <rPr>
            <sz val="9"/>
            <rFont val="Tahoma"/>
          </rPr>
          <t xml:space="preserve">
23524/03 +1.300.000
23138/10 -200.000
</t>
        </r>
      </text>
    </comment>
    <comment ref="D487" authorId="223" shapeId="0">
      <text>
        <r>
          <rPr>
            <b/>
            <sz val="9"/>
            <rFont val="Tahoma"/>
          </rPr>
          <t>Jana Holíková:</t>
        </r>
        <r>
          <rPr>
            <sz val="9"/>
            <rFont val="Tahoma"/>
          </rPr>
          <t xml:space="preserve">
23523/03 +40.000
</t>
        </r>
      </text>
    </comment>
    <comment ref="D494" authorId="224" shapeId="0">
      <text>
        <r>
          <rPr>
            <b/>
            <sz val="9"/>
            <rFont val="Tahoma"/>
          </rPr>
          <t>Jana Holíková:</t>
        </r>
        <r>
          <rPr>
            <sz val="9"/>
            <rFont val="Tahoma"/>
          </rPr>
          <t xml:space="preserve">
23012/02 -13.000
23522/03 +3.000
</t>
        </r>
      </text>
    </comment>
    <comment ref="D495" authorId="225" shapeId="0">
      <text>
        <r>
          <rPr>
            <b/>
            <sz val="9"/>
            <rFont val="Tahoma"/>
          </rPr>
          <t>Jana Holíková:</t>
        </r>
        <r>
          <rPr>
            <sz val="9"/>
            <rFont val="Tahoma"/>
          </rPr>
          <t xml:space="preserve">
23501/01 -20.000
23522/03 -3.000
23535/04 -10.000
</t>
        </r>
      </text>
    </comment>
    <comment ref="D496" authorId="226" shapeId="0">
      <text>
        <r>
          <rPr>
            <b/>
            <sz val="9"/>
            <rFont val="Tahoma"/>
          </rPr>
          <t>Jana Holíková:</t>
        </r>
        <r>
          <rPr>
            <sz val="9"/>
            <rFont val="Tahoma"/>
          </rPr>
          <t xml:space="preserve">
23501/01 +20.000
23535/04 +10.000
23568/06 +50.000
</t>
        </r>
      </text>
    </comment>
    <comment ref="D499" authorId="227" shapeId="0">
      <text>
        <r>
          <rPr>
            <b/>
            <sz val="9"/>
            <rFont val="Tahoma"/>
          </rPr>
          <t>Jana Holíková:</t>
        </r>
        <r>
          <rPr>
            <sz val="9"/>
            <rFont val="Tahoma"/>
          </rPr>
          <t xml:space="preserve">
23012/02 -13.000
23568/06 -50.000
</t>
        </r>
      </text>
    </comment>
    <comment ref="D503" authorId="228" shapeId="0">
      <text>
        <r>
          <rPr>
            <b/>
            <sz val="9"/>
            <rFont val="Tahoma"/>
          </rPr>
          <t>Jana Holíková:</t>
        </r>
        <r>
          <rPr>
            <sz val="9"/>
            <rFont val="Tahoma"/>
          </rPr>
          <t xml:space="preserve">
23109/07 +7.500.000
23138/10 -7.500.000
</t>
        </r>
      </text>
    </comment>
    <comment ref="D504" authorId="229" shapeId="0">
      <text>
        <r>
          <rPr>
            <b/>
            <sz val="9"/>
            <rFont val="Tahoma"/>
          </rPr>
          <t>Jana Holíková:</t>
        </r>
        <r>
          <rPr>
            <sz val="9"/>
            <rFont val="Tahoma"/>
          </rPr>
          <t xml:space="preserve">
23518/02 -20.160
23138/10 -500.000
</t>
        </r>
      </text>
    </comment>
    <comment ref="D505" authorId="230" shapeId="0">
      <text>
        <r>
          <rPr>
            <b/>
            <sz val="9"/>
            <rFont val="Tahoma"/>
          </rPr>
          <t>Jana Holíková:</t>
        </r>
        <r>
          <rPr>
            <sz val="9"/>
            <rFont val="Tahoma"/>
          </rPr>
          <t xml:space="preserve">
23182/11 -500.000
</t>
        </r>
      </text>
    </comment>
    <comment ref="D506" authorId="231" shapeId="0">
      <text>
        <r>
          <rPr>
            <b/>
            <sz val="9"/>
            <rFont val="Tahoma"/>
          </rPr>
          <t>Jana Holíková:</t>
        </r>
        <r>
          <rPr>
            <sz val="9"/>
            <rFont val="Tahoma"/>
          </rPr>
          <t xml:space="preserve">
23516/02 +20.160
</t>
        </r>
      </text>
    </comment>
    <comment ref="D508" authorId="232" shapeId="0">
      <text>
        <r>
          <rPr>
            <b/>
            <sz val="9"/>
            <rFont val="Tahoma"/>
          </rPr>
          <t>Jana Holíková:</t>
        </r>
        <r>
          <rPr>
            <sz val="9"/>
            <rFont val="Tahoma"/>
          </rPr>
          <t xml:space="preserve">
23507/02 -12.000
</t>
        </r>
      </text>
    </comment>
    <comment ref="D509" authorId="233" shapeId="0">
      <text>
        <r>
          <rPr>
            <b/>
            <sz val="9"/>
            <rFont val="Tahoma"/>
          </rPr>
          <t>Jana Holíková:</t>
        </r>
        <r>
          <rPr>
            <sz val="9"/>
            <rFont val="Tahoma"/>
          </rPr>
          <t xml:space="preserve">
23507/02 +12.000
</t>
        </r>
      </text>
    </comment>
    <comment ref="D513" authorId="234" shapeId="0">
      <text>
        <r>
          <rPr>
            <b/>
            <sz val="9"/>
            <rFont val="Tahoma"/>
          </rPr>
          <t>Jana Holíková:</t>
        </r>
        <r>
          <rPr>
            <sz val="9"/>
            <rFont val="Tahoma"/>
          </rPr>
          <t xml:space="preserve">
23137/09 -412.445
</t>
        </r>
      </text>
    </comment>
    <comment ref="D519" authorId="235" shapeId="0">
      <text>
        <r>
          <rPr>
            <b/>
            <sz val="9"/>
            <rFont val="Tahoma"/>
          </rPr>
          <t>Jana Holíková:</t>
        </r>
        <r>
          <rPr>
            <sz val="9"/>
            <rFont val="Tahoma"/>
          </rPr>
          <t xml:space="preserve">
23173/11 -594,97
23179/11 +145.413,26
</t>
        </r>
      </text>
    </comment>
    <comment ref="D520" authorId="236" shapeId="0">
      <text>
        <r>
          <rPr>
            <b/>
            <sz val="9"/>
            <rFont val="Tahoma"/>
          </rPr>
          <t>Jana Holíková:</t>
        </r>
        <r>
          <rPr>
            <sz val="9"/>
            <rFont val="Tahoma"/>
          </rPr>
          <t xml:space="preserve">
23030/02 +70.804,80 +217.373,47
23040/03 +33.700
23055/04 úz 693
+50.000 NIV
+150.000 IV
23056/04 +80.000 úz673 NIV
23191/12 -217.373,47
</t>
        </r>
      </text>
    </comment>
    <comment ref="D521" authorId="237" shapeId="0">
      <text>
        <r>
          <rPr>
            <b/>
            <sz val="9"/>
            <rFont val="Tahoma"/>
          </rPr>
          <t>Jana Holíková:</t>
        </r>
        <r>
          <rPr>
            <sz val="9"/>
            <rFont val="Tahoma"/>
          </rPr>
          <t xml:space="preserve">
23179/11 -145.413,26
</t>
        </r>
      </text>
    </comment>
    <comment ref="D525" authorId="238" shapeId="0">
      <text>
        <r>
          <rPr>
            <b/>
            <sz val="9"/>
            <rFont val="Tahoma"/>
          </rPr>
          <t>Jana Holíková:</t>
        </r>
        <r>
          <rPr>
            <sz val="9"/>
            <rFont val="Tahoma"/>
          </rPr>
          <t xml:space="preserve">
23196/10 +200
</t>
        </r>
      </text>
    </comment>
    <comment ref="D528" authorId="239" shapeId="0">
      <text>
        <r>
          <rPr>
            <b/>
            <sz val="9"/>
            <rFont val="Tahoma"/>
          </rPr>
          <t>Jana Holíková:</t>
        </r>
        <r>
          <rPr>
            <sz val="9"/>
            <rFont val="Tahoma"/>
          </rPr>
          <t xml:space="preserve">
23065/05 +231.000 dorov.2022
dorov -30.000
</t>
        </r>
      </text>
    </comment>
    <comment ref="D529" authorId="240" shapeId="0">
      <text>
        <r>
          <rPr>
            <b/>
            <sz val="9"/>
            <rFont val="Tahoma"/>
          </rPr>
          <t>Jana Holíková:</t>
        </r>
        <r>
          <rPr>
            <sz val="9"/>
            <rFont val="Tahoma"/>
          </rPr>
          <t xml:space="preserve">
dorov +30.000
</t>
        </r>
      </text>
    </comment>
    <comment ref="D531" authorId="241" shapeId="0">
      <text>
        <r>
          <rPr>
            <b/>
            <sz val="9"/>
            <rFont val="Tahoma"/>
          </rPr>
          <t>Jana Holíková:</t>
        </r>
        <r>
          <rPr>
            <sz val="9"/>
            <rFont val="Tahoma"/>
          </rPr>
          <t xml:space="preserve">
23196/12 -200
</t>
        </r>
      </text>
    </comment>
    <comment ref="D538" authorId="242" shapeId="0">
      <text>
        <r>
          <rPr>
            <b/>
            <sz val="9"/>
            <rFont val="Tahoma"/>
          </rPr>
          <t>Jana Holíková:</t>
        </r>
        <r>
          <rPr>
            <sz val="9"/>
            <rFont val="Tahoma"/>
          </rPr>
          <t xml:space="preserve">
23014/02 +864.200
</t>
        </r>
      </text>
    </comment>
    <comment ref="D548" authorId="243" shapeId="0">
      <text>
        <r>
          <rPr>
            <b/>
            <sz val="9"/>
            <rFont val="Tahoma"/>
          </rPr>
          <t>Jana Holíková:</t>
        </r>
        <r>
          <rPr>
            <sz val="9"/>
            <rFont val="Tahoma"/>
          </rPr>
          <t xml:space="preserve">
23163/11 +60.000
</t>
        </r>
      </text>
    </comment>
    <comment ref="D549" authorId="244" shapeId="0">
      <text>
        <r>
          <rPr>
            <b/>
            <sz val="9"/>
            <rFont val="Tahoma"/>
          </rPr>
          <t>Jana Holíková:</t>
        </r>
        <r>
          <rPr>
            <sz val="9"/>
            <rFont val="Tahoma"/>
          </rPr>
          <t xml:space="preserve">
23162/11 +58.074
</t>
        </r>
      </text>
    </comment>
    <comment ref="D553" authorId="245" shapeId="0">
      <text>
        <r>
          <rPr>
            <b/>
            <sz val="9"/>
            <rFont val="Tahoma"/>
          </rPr>
          <t>Jana Holíková:</t>
        </r>
        <r>
          <rPr>
            <sz val="9"/>
            <rFont val="Tahoma"/>
          </rPr>
          <t xml:space="preserve">
23130/09 -3.074,21
23164/11 +60.000
</t>
        </r>
      </text>
    </comment>
    <comment ref="D555" authorId="246" shapeId="0">
      <text>
        <r>
          <rPr>
            <b/>
            <sz val="9"/>
            <rFont val="Tahoma"/>
          </rPr>
          <t>Jana Holíková:</t>
        </r>
        <r>
          <rPr>
            <sz val="9"/>
            <rFont val="Tahoma"/>
          </rPr>
          <t xml:space="preserve">
23165/11 -62,46
</t>
        </r>
      </text>
    </comment>
    <comment ref="D558" authorId="247" shapeId="0">
      <text>
        <r>
          <rPr>
            <b/>
            <sz val="9"/>
            <rFont val="Tahoma"/>
          </rPr>
          <t>Jana Holíková:</t>
        </r>
        <r>
          <rPr>
            <sz val="9"/>
            <rFont val="Tahoma"/>
          </rPr>
          <t xml:space="preserve">
23167/11 +38.800
</t>
        </r>
      </text>
    </comment>
    <comment ref="D560" authorId="248" shapeId="0">
      <text>
        <r>
          <rPr>
            <b/>
            <sz val="9"/>
            <rFont val="Tahoma"/>
          </rPr>
          <t>Jana Holíková:</t>
        </r>
        <r>
          <rPr>
            <sz val="9"/>
            <rFont val="Tahoma"/>
          </rPr>
          <t xml:space="preserve">
23166/11 -70.122
</t>
        </r>
      </text>
    </comment>
    <comment ref="D563" authorId="249" shapeId="0">
      <text>
        <r>
          <rPr>
            <b/>
            <sz val="9"/>
            <rFont val="Tahoma"/>
          </rPr>
          <t>Jana Holíková:</t>
        </r>
        <r>
          <rPr>
            <sz val="9"/>
            <rFont val="Tahoma"/>
          </rPr>
          <t xml:space="preserve">
23095/06 +6.348
23145/10 -2.107
23160/11 -96.284
23161/11 -30.000
23162/11 -58.074
23163/11 -60.000
23164/11 -60.000
23167/11 -38.800
23172/11 -29.100-900
</t>
        </r>
      </text>
    </comment>
    <comment ref="D569" authorId="250" shapeId="0">
      <text>
        <r>
          <rPr>
            <b/>
            <sz val="9"/>
            <rFont val="Tahoma"/>
          </rPr>
          <t>Jana Holíková:</t>
        </r>
        <r>
          <rPr>
            <sz val="9"/>
            <rFont val="Tahoma"/>
          </rPr>
          <t xml:space="preserve">
23086/06 úz 913 
+ 4.752,88  120,1
+26.932,97 120,5
23107/07 úz 913
-1.607,13 1201
-9.107,07 1205
23117/08 úz 33092
 +  949.089,62 1431
+3.130.384,38 1435
23142/10 -3.504
23143/10 +262.743
23157/11
+ 4.900 úz 253 SR
+44.100 úz911 EU
</t>
        </r>
      </text>
    </comment>
    <comment ref="D570" authorId="251" shapeId="0">
      <text>
        <r>
          <rPr>
            <b/>
            <sz val="9"/>
            <rFont val="Tahoma"/>
          </rPr>
          <t>Jana Holíková:</t>
        </r>
        <r>
          <rPr>
            <sz val="9"/>
            <rFont val="Tahoma"/>
          </rPr>
          <t xml:space="preserve">
23075/05 
+89.825 +296.450
</t>
        </r>
      </text>
    </comment>
    <comment ref="D571" authorId="252" shapeId="0">
      <text>
        <r>
          <rPr>
            <b/>
            <sz val="9"/>
            <rFont val="Tahoma"/>
          </rPr>
          <t>Jana Holíková:</t>
        </r>
        <r>
          <rPr>
            <sz val="9"/>
            <rFont val="Tahoma"/>
          </rPr>
          <t xml:space="preserve">
23022/02 +603.790
23075/05 +213.204
</t>
        </r>
      </text>
    </comment>
    <comment ref="D574" authorId="253" shapeId="0">
      <text>
        <r>
          <rPr>
            <b/>
            <sz val="9"/>
            <rFont val="Tahoma"/>
          </rPr>
          <t>Jana Holíková:</t>
        </r>
        <r>
          <rPr>
            <sz val="9"/>
            <rFont val="Tahoma"/>
          </rPr>
          <t xml:space="preserve">
23015/02 úz 33092
+1.005.316,48  143 1
+3.315.837,52  143 5
23086/06 úz 9143
+ 1.806,05  120,1
+10.234,30 120,5
23095/06 +5.595
23107/07 úz 913
- 1.051,79 1201
- 5.960,11 1205
23158/11 
+ 7.519 ÚZ 253
+67.671 úz 911
</t>
        </r>
      </text>
    </comment>
    <comment ref="D575" authorId="254" shapeId="0">
      <text>
        <r>
          <rPr>
            <b/>
            <sz val="9"/>
            <rFont val="Tahoma"/>
          </rPr>
          <t>Jana Holíková:</t>
        </r>
        <r>
          <rPr>
            <sz val="9"/>
            <rFont val="Tahoma"/>
          </rPr>
          <t xml:space="preserve">
23073/05 +96.800
23160/11 +96.284
23161/11 +30.000
</t>
        </r>
      </text>
    </comment>
    <comment ref="D576" authorId="255" shapeId="0">
      <text>
        <r>
          <rPr>
            <b/>
            <sz val="9"/>
            <rFont val="Tahoma"/>
          </rPr>
          <t>Jana Holíková:</t>
        </r>
        <r>
          <rPr>
            <sz val="9"/>
            <rFont val="Tahoma"/>
          </rPr>
          <t xml:space="preserve">
23073/05 -1.200.000
</t>
        </r>
      </text>
    </comment>
    <comment ref="D579" authorId="256" shapeId="0">
      <text>
        <r>
          <rPr>
            <b/>
            <sz val="9"/>
            <rFont val="Tahoma"/>
          </rPr>
          <t>Jana Holíková:</t>
        </r>
        <r>
          <rPr>
            <sz val="9"/>
            <rFont val="Tahoma"/>
          </rPr>
          <t xml:space="preserve">
23086/06 úz 913 
+ 5.713,08  120,1
+32.374,09 120,5
23107/07 úz 913
-  177,66  1201
-1.006,74 1205
23159/11 
+ 6.798 úz253 SR
+61.182 úz911 EU
</t>
        </r>
      </text>
    </comment>
    <comment ref="D581" authorId="257" shapeId="0">
      <text>
        <r>
          <rPr>
            <b/>
            <sz val="9"/>
            <rFont val="Tahoma"/>
          </rPr>
          <t>Jana Holíková:</t>
        </r>
        <r>
          <rPr>
            <sz val="9"/>
            <rFont val="Tahoma"/>
          </rPr>
          <t xml:space="preserve">
23168/11 -155.095,79
</t>
        </r>
      </text>
    </comment>
    <comment ref="D584" authorId="258" shapeId="0">
      <text>
        <r>
          <rPr>
            <b/>
            <sz val="9"/>
            <rFont val="Tahoma"/>
          </rPr>
          <t>Jana Holíková:</t>
        </r>
        <r>
          <rPr>
            <sz val="9"/>
            <rFont val="Tahoma"/>
          </rPr>
          <t xml:space="preserve">
23019/02 +5.208  poj
23058/04 úz 33092 JAK
+519.876,20 1431
+1.714.708,80 1435
</t>
        </r>
      </text>
    </comment>
    <comment ref="D585" authorId="259" shapeId="0">
      <text>
        <r>
          <rPr>
            <b/>
            <sz val="9"/>
            <rFont val="Tahoma"/>
          </rPr>
          <t>Jana Holíková:</t>
        </r>
        <r>
          <rPr>
            <sz val="9"/>
            <rFont val="Tahoma"/>
          </rPr>
          <t xml:space="preserve">
23105/07 +300.000
</t>
        </r>
      </text>
    </comment>
    <comment ref="D586" authorId="260" shapeId="0">
      <text>
        <r>
          <rPr>
            <b/>
            <sz val="9"/>
            <rFont val="Tahoma"/>
          </rPr>
          <t>Jana Holíková:</t>
        </r>
        <r>
          <rPr>
            <sz val="9"/>
            <rFont val="Tahoma"/>
          </rPr>
          <t xml:space="preserve">
23070/05 +1.700.000
23074/05 
-1.100.000 -30.000 +48.400 +160.000
23129/08 -700.000
23169/11 -82.921,96
</t>
        </r>
      </text>
    </comment>
    <comment ref="D590" authorId="261" shapeId="0">
      <text>
        <r>
          <rPr>
            <b/>
            <sz val="9"/>
            <rFont val="Tahoma"/>
          </rPr>
          <t>Jana Holíková:</t>
        </r>
        <r>
          <rPr>
            <sz val="9"/>
            <rFont val="Tahoma"/>
          </rPr>
          <t xml:space="preserve">
23059/04 +210.200 úz 833
23093/06 úz 33092
+ 551.883,82 1431
+1.820.279,28 1435
23102/07 +170.400 úz 910
23172/11 +30.000
23177/11 -28.290 úz 910
</t>
        </r>
      </text>
    </comment>
    <comment ref="D593" authorId="262" shapeId="0">
      <text>
        <r>
          <rPr>
            <b/>
            <sz val="9"/>
            <rFont val="Tahoma"/>
          </rPr>
          <t>Jana Holíková:</t>
        </r>
        <r>
          <rPr>
            <sz val="9"/>
            <rFont val="Tahoma"/>
          </rPr>
          <t xml:space="preserve">
23145/10 +2.107
</t>
        </r>
      </text>
    </comment>
    <comment ref="D596" authorId="263" shapeId="0">
      <text>
        <r>
          <rPr>
            <b/>
            <sz val="9"/>
            <rFont val="Tahoma"/>
          </rPr>
          <t>Jana Holíková:</t>
        </r>
        <r>
          <rPr>
            <sz val="9"/>
            <rFont val="Tahoma"/>
          </rPr>
          <t xml:space="preserve">
23003/01 -45.455
23144/10 -98.187
23170/11 -200.000
23188/12 -300.000
</t>
        </r>
      </text>
    </comment>
    <comment ref="D600" authorId="264" shapeId="0">
      <text>
        <r>
          <rPr>
            <b/>
            <sz val="9"/>
            <rFont val="Tahoma"/>
          </rPr>
          <t>Jana Holíková:</t>
        </r>
        <r>
          <rPr>
            <sz val="9"/>
            <rFont val="Tahoma"/>
          </rPr>
          <t xml:space="preserve">
23032/02 +5.000
</t>
        </r>
      </text>
    </comment>
    <comment ref="D602" authorId="265" shapeId="0">
      <text>
        <r>
          <rPr>
            <b/>
            <sz val="9"/>
            <rFont val="Tahoma"/>
          </rPr>
          <t>Jana Holíková:</t>
        </r>
        <r>
          <rPr>
            <sz val="9"/>
            <rFont val="Tahoma"/>
          </rPr>
          <t xml:space="preserve">
23183/11 -20.000
</t>
        </r>
      </text>
    </comment>
    <comment ref="D605" authorId="266" shapeId="0">
      <text>
        <r>
          <rPr>
            <b/>
            <sz val="9"/>
            <rFont val="Tahoma"/>
          </rPr>
          <t>Jana Holíková:</t>
        </r>
        <r>
          <rPr>
            <sz val="9"/>
            <rFont val="Tahoma"/>
          </rPr>
          <t xml:space="preserve">
23095/06 +19.570
23096/06 +100.000 úz 34002
23183/11 -380.000
</t>
        </r>
      </text>
    </comment>
    <comment ref="D607" authorId="267" shapeId="0">
      <text>
        <r>
          <rPr>
            <b/>
            <sz val="9"/>
            <rFont val="Tahoma"/>
          </rPr>
          <t>Jana Holíková:</t>
        </r>
        <r>
          <rPr>
            <sz val="9"/>
            <rFont val="Tahoma"/>
          </rPr>
          <t xml:space="preserve">
23183/11 -1.150.000
</t>
        </r>
      </text>
    </comment>
    <comment ref="D612" authorId="268" shapeId="0">
      <text>
        <r>
          <rPr>
            <b/>
            <sz val="9"/>
            <rFont val="Tahoma"/>
          </rPr>
          <t>Jana Holíková:</t>
        </r>
        <r>
          <rPr>
            <sz val="9"/>
            <rFont val="Tahoma"/>
          </rPr>
          <t xml:space="preserve">
23001/01 +4.551.000
23019/02 +4.562 poj
23072/05 -2.989,27
23136/09 +300.000
23176/11 -700.000
23194.12 +50.000
</t>
        </r>
      </text>
    </comment>
    <comment ref="D614" authorId="269" shapeId="0">
      <text>
        <r>
          <rPr>
            <b/>
            <sz val="9"/>
            <rFont val="Tahoma"/>
          </rPr>
          <t>Jana Holíková:</t>
        </r>
        <r>
          <rPr>
            <sz val="9"/>
            <rFont val="Tahoma"/>
          </rPr>
          <t xml:space="preserve">
23139/10 -1.000.000
23175/11 -484.000
</t>
        </r>
      </text>
    </comment>
    <comment ref="D621" authorId="270" shapeId="0">
      <text>
        <r>
          <rPr>
            <b/>
            <sz val="9"/>
            <rFont val="Tahoma"/>
          </rPr>
          <t>Jana Holíková:</t>
        </r>
        <r>
          <rPr>
            <sz val="9"/>
            <rFont val="Tahoma"/>
          </rPr>
          <t xml:space="preserve">
23033/02 -30.000 r
23128/09 -40.000 r
</t>
        </r>
      </text>
    </comment>
    <comment ref="D623" authorId="271" shapeId="0">
      <text>
        <r>
          <rPr>
            <b/>
            <sz val="9"/>
            <rFont val="Tahoma"/>
          </rPr>
          <t>Jana Holíková:</t>
        </r>
        <r>
          <rPr>
            <sz val="9"/>
            <rFont val="Tahoma"/>
          </rPr>
          <t xml:space="preserve">
23512/02 -200.000
</t>
        </r>
      </text>
    </comment>
    <comment ref="D626" authorId="272" shapeId="0">
      <text>
        <r>
          <rPr>
            <b/>
            <sz val="9"/>
            <rFont val="Tahoma"/>
          </rPr>
          <t>Jana Holíková:</t>
        </r>
        <r>
          <rPr>
            <sz val="9"/>
            <rFont val="Tahoma"/>
          </rPr>
          <t xml:space="preserve">
23034/02 -25.000 r
23066/05 -10.000 r
23113/07 -10.000 r
</t>
        </r>
      </text>
    </comment>
    <comment ref="D629" authorId="273" shapeId="0">
      <text>
        <r>
          <rPr>
            <b/>
            <sz val="9"/>
            <rFont val="Tahoma"/>
          </rPr>
          <t>Jana Holíková:</t>
        </r>
        <r>
          <rPr>
            <sz val="9"/>
            <rFont val="Tahoma"/>
          </rPr>
          <t xml:space="preserve">
23033/02 +30.000
23034/02 +25.000
23512/02 +200.000
23066/05 +10.000
23084/06 -90.000 r
+90.000       
23085/06 +147.136
23112/07 +49.000
23113/07 +10.000
23127/09 +500.000
23128/09 +40.000
23186/12 -25.000 r +25.000 
</t>
        </r>
      </text>
    </comment>
    <comment ref="D633" authorId="274" shapeId="0">
      <text>
        <r>
          <rPr>
            <b/>
            <sz val="9"/>
            <rFont val="Tahoma"/>
          </rPr>
          <t>Jana Holíková:</t>
        </r>
        <r>
          <rPr>
            <sz val="9"/>
            <rFont val="Tahoma"/>
          </rPr>
          <t xml:space="preserve">
23126/08 +- 209.862
</t>
        </r>
      </text>
    </comment>
    <comment ref="D636" authorId="275" shapeId="0">
      <text>
        <r>
          <rPr>
            <b/>
            <sz val="9"/>
            <rFont val="Tahoma"/>
          </rPr>
          <t>Jana Holíková:</t>
        </r>
        <r>
          <rPr>
            <sz val="9"/>
            <rFont val="Tahoma"/>
          </rPr>
          <t xml:space="preserve">
23068/05 
+70.000 +80.000 +50.000
</t>
        </r>
      </text>
    </comment>
    <comment ref="D643" authorId="276" shapeId="0">
      <text>
        <r>
          <rPr>
            <b/>
            <sz val="9"/>
            <rFont val="Tahoma"/>
          </rPr>
          <t>Jana Holíková:</t>
        </r>
        <r>
          <rPr>
            <sz val="9"/>
            <rFont val="Tahoma"/>
          </rPr>
          <t xml:space="preserve">
23068/05 -70.000
23095/06 +16.216
23116/08 +113.800,50
23121/08 +121.111
23638/11 +300.000
23661/11 -126.706
23678/12 -0,36
</t>
        </r>
      </text>
    </comment>
    <comment ref="D644" authorId="277" shapeId="0">
      <text>
        <r>
          <rPr>
            <b/>
            <sz val="9"/>
            <rFont val="Tahoma"/>
          </rPr>
          <t>Jana Holíková:</t>
        </r>
        <r>
          <rPr>
            <sz val="9"/>
            <rFont val="Tahoma"/>
          </rPr>
          <t xml:space="preserve">
23661/11 +126.706
23678/12 +0,36
</t>
        </r>
      </text>
    </comment>
    <comment ref="D645" authorId="278" shapeId="0">
      <text>
        <r>
          <rPr>
            <b/>
            <sz val="9"/>
            <rFont val="Tahoma"/>
          </rPr>
          <t>Jana Holíková:</t>
        </r>
        <r>
          <rPr>
            <sz val="9"/>
            <rFont val="Tahoma"/>
          </rPr>
          <t xml:space="preserve">
23007/01 úz 13013
+8.051,90  1041
+68.441,11  1045
23511/02 úz 13013  3388
+9.438 1041
+4.719 1041 bez úz
+80.223 1045
23516/02 úz 13013  3388
+27.733,20 1041
+13.866,60 1041 bez úz
+235.732,20 1045
23566/06 úz 13013 
- 8.051,90 1041
+68.441,11 1045
23116/08 úz 13013 3388
+ 37.171,20 1041
+315.955,20 1045
</t>
        </r>
      </text>
    </comment>
    <comment ref="D646" authorId="279" shapeId="0">
      <text>
        <r>
          <rPr>
            <b/>
            <sz val="9"/>
            <rFont val="Tahoma"/>
          </rPr>
          <t>Jana Holíková:</t>
        </r>
        <r>
          <rPr>
            <sz val="9"/>
            <rFont val="Tahoma"/>
          </rPr>
          <t xml:space="preserve">
23511/02 -94.380 (5168)
23516/02 -277.332 (5168)
23566/06 +76.493,01
23598/08 -427.454,54
23638/11 -300.000
23654/11 -285.501
23678/12 -48.795
</t>
        </r>
      </text>
    </comment>
    <comment ref="D647" authorId="280" shapeId="0">
      <text>
        <r>
          <rPr>
            <b/>
            <sz val="9"/>
            <rFont val="Tahoma"/>
          </rPr>
          <t>Jana Holíková:</t>
        </r>
        <r>
          <rPr>
            <sz val="9"/>
            <rFont val="Tahoma"/>
          </rPr>
          <t xml:space="preserve">
23598/08 +427.454,54
23654/11 +285.501
23678/12 +48.795
</t>
        </r>
      </text>
    </comment>
    <comment ref="D651" authorId="281" shapeId="0">
      <text>
        <r>
          <rPr>
            <b/>
            <sz val="9"/>
            <rFont val="Tahoma"/>
          </rPr>
          <t>Jana Holíková:</t>
        </r>
        <r>
          <rPr>
            <sz val="9"/>
            <rFont val="Tahoma"/>
          </rPr>
          <t xml:space="preserve">
23013/02 
+-1.927.500  5811
+    227.100  5169
23028/02
+-2.077.400  5811
+    232.500  5169
23042/03 
+-1.894.600  5811
+   210.000  5169
23064/04 
+-1.831.700 5811
+   231.000 5169
23076/05 
+- 1.703.700 5811
+    234.000
23092/06 
+-1.588.650 5811
+   241.800
23106/07 
+- 1.504.450  5811
+     231.000
23122/08 
+- 765.250  5811
23194.12 +45.000
</t>
        </r>
      </text>
    </comment>
    <comment ref="D655" authorId="282" shapeId="0">
      <text>
        <r>
          <rPr>
            <b/>
            <sz val="9"/>
            <rFont val="Tahoma"/>
          </rPr>
          <t>Jana Holíková:</t>
        </r>
        <r>
          <rPr>
            <sz val="9"/>
            <rFont val="Tahoma"/>
          </rPr>
          <t xml:space="preserve">
23002/01  +508.200
</t>
        </r>
      </text>
    </comment>
    <comment ref="D656" authorId="283" shapeId="0">
      <text>
        <r>
          <rPr>
            <b/>
            <sz val="9"/>
            <rFont val="Tahoma"/>
          </rPr>
          <t>Jana Holíková:</t>
        </r>
        <r>
          <rPr>
            <sz val="9"/>
            <rFont val="Tahoma"/>
          </rPr>
          <t xml:space="preserve">
23035/03 +400.000 +36.000
23094/06 +67.000
</t>
        </r>
      </text>
    </comment>
    <comment ref="D658" authorId="284" shapeId="0">
      <text>
        <r>
          <rPr>
            <b/>
            <sz val="9"/>
            <rFont val="Tahoma"/>
          </rPr>
          <t>Jana Holíková:</t>
        </r>
        <r>
          <rPr>
            <sz val="9"/>
            <rFont val="Tahoma"/>
          </rPr>
          <t xml:space="preserve">
23062/04  úz13015
+-791.900 5011
+-196.427 5031
+-71.271 5032
23534/04 -15.000
23068/05 -103.000 -27.000
23082/06 +94.000 -94.000
23094/06 -67.000
k 30.6. + 130.000
23108/07 +150.000
23116/08 +96.967,21 (5011org3389)
</t>
        </r>
      </text>
    </comment>
    <comment ref="D659" authorId="285" shapeId="0">
      <text>
        <r>
          <rPr>
            <b/>
            <sz val="9"/>
            <rFont val="Tahoma"/>
          </rPr>
          <t>Jana Holíková:</t>
        </r>
        <r>
          <rPr>
            <sz val="9"/>
            <rFont val="Tahoma"/>
          </rPr>
          <t xml:space="preserve">
23534/04 +15.000
23082/06 -94.000
23087/06 +804.000
</t>
        </r>
      </text>
    </comment>
    <comment ref="D660" authorId="286" shapeId="0">
      <text>
        <r>
          <rPr>
            <b/>
            <sz val="9"/>
            <rFont val="Tahoma"/>
          </rPr>
          <t>Jana Holíková:</t>
        </r>
        <r>
          <rPr>
            <sz val="9"/>
            <rFont val="Tahoma"/>
          </rPr>
          <t xml:space="preserve">
23082/06 -94.000
k 30.6. -224.000
</t>
        </r>
      </text>
    </comment>
    <comment ref="D661" authorId="287" shapeId="0">
      <text>
        <r>
          <rPr>
            <b/>
            <sz val="9"/>
            <rFont val="Tahoma"/>
          </rPr>
          <t>Jana Holíková:</t>
        </r>
        <r>
          <rPr>
            <sz val="9"/>
            <rFont val="Tahoma"/>
          </rPr>
          <t xml:space="preserve">
23082/06 -94.000
</t>
        </r>
      </text>
    </comment>
    <comment ref="D664" authorId="288" shapeId="0">
      <text>
        <r>
          <rPr>
            <b/>
            <sz val="9"/>
            <rFont val="Tahoma"/>
          </rPr>
          <t>Jana Holíková:</t>
        </r>
        <r>
          <rPr>
            <sz val="9"/>
            <rFont val="Tahoma"/>
          </rPr>
          <t xml:space="preserve">
23149/0 +1.0001
</t>
        </r>
      </text>
    </comment>
    <comment ref="D665" authorId="289" shapeId="0">
      <text>
        <r>
          <rPr>
            <b/>
            <sz val="9"/>
            <rFont val="Tahoma"/>
          </rPr>
          <t>Jana Holíková:</t>
        </r>
        <r>
          <rPr>
            <sz val="9"/>
            <rFont val="Tahoma"/>
          </rPr>
          <t xml:space="preserve">
23135/09 +50.000
</t>
        </r>
      </text>
    </comment>
    <comment ref="D667" authorId="290" shapeId="0">
      <text>
        <r>
          <rPr>
            <b/>
            <sz val="9"/>
            <rFont val="Tahoma"/>
          </rPr>
          <t>Jana Holíková:</t>
        </r>
        <r>
          <rPr>
            <sz val="9"/>
            <rFont val="Tahoma"/>
          </rPr>
          <t xml:space="preserve">
23662/11 +5.000
23685.12 +200
</t>
        </r>
      </text>
    </comment>
    <comment ref="D668" authorId="291" shapeId="0">
      <text>
        <r>
          <rPr>
            <b/>
            <sz val="9"/>
            <rFont val="Tahoma"/>
          </rPr>
          <t>Jana Holíková:</t>
        </r>
        <r>
          <rPr>
            <sz val="9"/>
            <rFont val="Tahoma"/>
          </rPr>
          <t xml:space="preserve">
23662/11 -5.000
23685.12 -200
</t>
        </r>
      </text>
    </comment>
    <comment ref="D672" authorId="292" shapeId="0">
      <text>
        <r>
          <rPr>
            <b/>
            <sz val="9"/>
            <rFont val="Tahoma"/>
          </rPr>
          <t>Jana Holíková:</t>
        </r>
        <r>
          <rPr>
            <sz val="9"/>
            <rFont val="Tahoma"/>
          </rPr>
          <t xml:space="preserve">
23618/09 +30.000
</t>
        </r>
      </text>
    </comment>
    <comment ref="D676" authorId="293" shapeId="0">
      <text>
        <r>
          <rPr>
            <b/>
            <sz val="9"/>
            <rFont val="Tahoma"/>
          </rPr>
          <t>Jana Holíková:</t>
        </r>
        <r>
          <rPr>
            <sz val="9"/>
            <rFont val="Tahoma"/>
          </rPr>
          <t xml:space="preserve">
23053/04 +50.000
23618/09 -30.000
23149/10 -1.000
</t>
        </r>
      </text>
    </comment>
    <comment ref="D678" authorId="294" shapeId="0">
      <text>
        <r>
          <rPr>
            <b/>
            <sz val="9"/>
            <rFont val="Tahoma"/>
          </rPr>
          <t>Jana Holíková:</t>
        </r>
        <r>
          <rPr>
            <sz val="9"/>
            <rFont val="Tahoma"/>
          </rPr>
          <t xml:space="preserve">
23053/04 -50.000
23135/09 -50.000
</t>
        </r>
      </text>
    </comment>
    <comment ref="D681" authorId="295" shapeId="0">
      <text>
        <r>
          <rPr>
            <b/>
            <sz val="9"/>
            <rFont val="Tahoma"/>
          </rPr>
          <t>Jana Holíková:</t>
        </r>
        <r>
          <rPr>
            <sz val="9"/>
            <rFont val="Tahoma"/>
          </rPr>
          <t xml:space="preserve">
23081/06 +157.000 r
</t>
        </r>
      </text>
    </comment>
    <comment ref="D685" authorId="296" shapeId="0">
      <text>
        <r>
          <rPr>
            <b/>
            <sz val="9"/>
            <rFont val="Tahoma"/>
          </rPr>
          <t>Jana Holíková:</t>
        </r>
        <r>
          <rPr>
            <sz val="9"/>
            <rFont val="Tahoma"/>
          </rPr>
          <t xml:space="preserve">
23010/02 -5.000 r
23036/03 -15.000 r
23099/07 -15.000 r
23100/07 -3.906 r
23101/07 -10.000 r
</t>
        </r>
      </text>
    </comment>
    <comment ref="D687" authorId="297" shapeId="0">
      <text>
        <r>
          <rPr>
            <b/>
            <sz val="9"/>
            <rFont val="Tahoma"/>
          </rPr>
          <t>Jana Holíková:</t>
        </r>
        <r>
          <rPr>
            <sz val="9"/>
            <rFont val="Tahoma"/>
          </rPr>
          <t xml:space="preserve">
23181/11 -2.000.000
</t>
        </r>
      </text>
    </comment>
    <comment ref="D688" authorId="298" shapeId="0">
      <text>
        <r>
          <rPr>
            <b/>
            <sz val="9"/>
            <rFont val="Tahoma"/>
          </rPr>
          <t>Jana Holíková:</t>
        </r>
        <r>
          <rPr>
            <sz val="9"/>
            <rFont val="Tahoma"/>
          </rPr>
          <t xml:space="preserve">
23533/03 -150.000 
+140.000 + 10.000
na 231.0800
</t>
        </r>
      </text>
    </comment>
    <comment ref="D689" authorId="299" shapeId="0">
      <text>
        <r>
          <rPr>
            <b/>
            <sz val="9"/>
            <rFont val="Tahoma"/>
          </rPr>
          <t>Jana Holíková:</t>
        </r>
        <r>
          <rPr>
            <sz val="9"/>
            <rFont val="Tahoma"/>
          </rPr>
          <t xml:space="preserve">
232052/04 +-6.000
</t>
        </r>
      </text>
    </comment>
    <comment ref="D690" authorId="300" shapeId="0">
      <text>
        <r>
          <rPr>
            <b/>
            <sz val="9"/>
            <rFont val="Tahoma"/>
          </rPr>
          <t>Jana Holíková:</t>
        </r>
        <r>
          <rPr>
            <sz val="9"/>
            <rFont val="Tahoma"/>
          </rPr>
          <t xml:space="preserve">
23010/02 +5,000
23036/03 +15.000
23048/03 -+5.000
23081/06 +157.000
23099/07 +15.000
23100/07 +3.906
23101/07 +10.000
</t>
        </r>
      </text>
    </comment>
    <comment ref="D696" authorId="301" shapeId="0">
      <text>
        <r>
          <rPr>
            <b/>
            <sz val="9"/>
            <rFont val="Tahoma"/>
          </rPr>
          <t>Jana Holíková:</t>
        </r>
        <r>
          <rPr>
            <sz val="9"/>
            <rFont val="Tahoma"/>
          </rPr>
          <t xml:space="preserve">
23054/04 +3.134.000 úz 13305
23095/06 +51.728
k 30.6. -1.898.394
23138/10 +1.898.394 úz914 2390 
23151/11 -2.010.000  2390
23155/11 +7.011 0390
23650/11 -40.000 0390
23693/12 -2.953,19  0390
23700.12 -148.656,70
</t>
        </r>
      </text>
    </comment>
    <comment ref="D697" authorId="302" shapeId="0">
      <text>
        <r>
          <rPr>
            <b/>
            <sz val="9"/>
            <rFont val="Tahoma"/>
          </rPr>
          <t>Jana Holíková:</t>
        </r>
        <r>
          <rPr>
            <sz val="9"/>
            <rFont val="Tahoma"/>
          </rPr>
          <t xml:space="preserve">
23174/11 
-1.900.000 17968 1071
+     2.117,50 17015 1071
+    35.997,50 17016 1075
+    93.385,85 17968 1071
+1.587.559,45 17969 1075
23650/11 +40.000
23693/12 +2.953,19
23700.12 +148.656,70
</t>
        </r>
      </text>
    </comment>
    <comment ref="D698" authorId="303" shapeId="0">
      <text>
        <r>
          <rPr>
            <b/>
            <sz val="9"/>
            <rFont val="Tahoma"/>
          </rPr>
          <t>Jana Holíková:</t>
        </r>
        <r>
          <rPr>
            <sz val="9"/>
            <rFont val="Tahoma"/>
          </rPr>
          <t xml:space="preserve">
23054/04 +740.000 úz 13305
23151/10 -400.000 1391,2391
</t>
        </r>
      </text>
    </comment>
    <comment ref="D699" authorId="304" shapeId="0">
      <text>
        <r>
          <rPr>
            <b/>
            <sz val="9"/>
            <rFont val="Tahoma"/>
          </rPr>
          <t>Jana Holíková:</t>
        </r>
        <r>
          <rPr>
            <sz val="9"/>
            <rFont val="Tahoma"/>
          </rPr>
          <t xml:space="preserve">
23054/04 +2.086.000 úz 13305
k 30.6. +1.898.394
23138/10 -1.898.394 ( úz914 2393)
23151/11 -1.920.000 1393,2393
</t>
        </r>
      </text>
    </comment>
    <comment ref="D705" authorId="305" shapeId="0">
      <text>
        <r>
          <rPr>
            <b/>
            <sz val="9"/>
            <rFont val="Tahoma"/>
          </rPr>
          <t>Jana Holíková:</t>
        </r>
        <r>
          <rPr>
            <sz val="9"/>
            <rFont val="Tahoma"/>
          </rPr>
          <t xml:space="preserve">
23194.12 +901.049
</t>
        </r>
      </text>
    </comment>
    <comment ref="D707" authorId="306" shapeId="0">
      <text>
        <r>
          <rPr>
            <b/>
            <sz val="9"/>
            <rFont val="Tahoma"/>
          </rPr>
          <t>Jana Holíková:</t>
        </r>
        <r>
          <rPr>
            <sz val="9"/>
            <rFont val="Tahoma"/>
          </rPr>
          <t xml:space="preserve">
23125/08 -260.000
</t>
        </r>
      </text>
    </comment>
    <comment ref="D711" authorId="307" shapeId="0">
      <text>
        <r>
          <rPr>
            <b/>
            <sz val="9"/>
            <rFont val="Tahoma"/>
          </rPr>
          <t>Jana Holíková:</t>
        </r>
        <r>
          <rPr>
            <sz val="9"/>
            <rFont val="Tahoma"/>
          </rPr>
          <t xml:space="preserve">
23029/02 +400.000
23050/04 -400.000
23195/12 -900.000
</t>
        </r>
      </text>
    </comment>
    <comment ref="D713" authorId="308" shapeId="0">
      <text>
        <r>
          <rPr>
            <b/>
            <sz val="9"/>
            <rFont val="Tahoma"/>
          </rPr>
          <t>Jana Holíková:</t>
        </r>
        <r>
          <rPr>
            <sz val="9"/>
            <rFont val="Tahoma"/>
          </rPr>
          <t xml:space="preserve">
23009/02 +3.663.880
23173/11 -162.566
23193/12 -3.337.434
</t>
        </r>
      </text>
    </comment>
    <comment ref="D715" authorId="309" shapeId="0">
      <text>
        <r>
          <rPr>
            <b/>
            <sz val="9"/>
            <rFont val="Tahoma"/>
          </rPr>
          <t>Jana Holíková:</t>
        </r>
        <r>
          <rPr>
            <sz val="9"/>
            <rFont val="Tahoma"/>
          </rPr>
          <t xml:space="preserve">
23125/08 -100.000
</t>
        </r>
      </text>
    </comment>
    <comment ref="D718" authorId="310" shapeId="0">
      <text>
        <r>
          <rPr>
            <b/>
            <sz val="9"/>
            <rFont val="Tahoma"/>
          </rPr>
          <t>Jana Holíková:</t>
        </r>
        <r>
          <rPr>
            <sz val="9"/>
            <rFont val="Tahoma"/>
          </rPr>
          <t xml:space="preserve">
23171/11 -300.000
</t>
        </r>
      </text>
    </comment>
    <comment ref="D719" authorId="311" shapeId="0">
      <text>
        <r>
          <rPr>
            <b/>
            <sz val="9"/>
            <rFont val="Tahoma"/>
          </rPr>
          <t>Jana Holíková:</t>
        </r>
        <r>
          <rPr>
            <sz val="9"/>
            <rFont val="Tahoma"/>
          </rPr>
          <t xml:space="preserve">
23111/07 +81.550,55
</t>
        </r>
      </text>
    </comment>
    <comment ref="D720" authorId="312" shapeId="0">
      <text>
        <r>
          <rPr>
            <b/>
            <sz val="9"/>
            <rFont val="Tahoma"/>
          </rPr>
          <t>Jana Holíková:</t>
        </r>
        <r>
          <rPr>
            <sz val="9"/>
            <rFont val="Tahoma"/>
          </rPr>
          <t xml:space="preserve">
23173/11 -686.470,59 -115.000
23187/12 +52.695,50
</t>
        </r>
      </text>
    </comment>
    <comment ref="D721" authorId="313" shapeId="0">
      <text>
        <r>
          <rPr>
            <b/>
            <sz val="9"/>
            <rFont val="Tahoma"/>
          </rPr>
          <t>Jana Holíková:</t>
        </r>
        <r>
          <rPr>
            <sz val="9"/>
            <rFont val="Tahoma"/>
          </rPr>
          <t xml:space="preserve">
23057/04 
+14.200 úz 29015
+35.205 úz 29031
231125/08 +360.000
</t>
        </r>
      </text>
    </comment>
    <comment ref="D727" authorId="314" shapeId="0">
      <text>
        <r>
          <rPr>
            <b/>
            <sz val="9"/>
            <rFont val="Tahoma"/>
          </rPr>
          <t>Jana Holíková:</t>
        </r>
        <r>
          <rPr>
            <sz val="9"/>
            <rFont val="Tahoma"/>
          </rPr>
          <t xml:space="preserve">
23146/10 +9.000
</t>
        </r>
      </text>
    </comment>
    <comment ref="D731" authorId="315" shapeId="0">
      <text>
        <r>
          <rPr>
            <b/>
            <sz val="9"/>
            <rFont val="Tahoma"/>
          </rPr>
          <t>Jana Holíková:</t>
        </r>
        <r>
          <rPr>
            <sz val="9"/>
            <rFont val="Tahoma"/>
          </rPr>
          <t xml:space="preserve">
23532/03 -431.000
23546/04 -152.880
23563/05 -400.000
</t>
        </r>
      </text>
    </comment>
    <comment ref="D732" authorId="316" shapeId="0">
      <text>
        <r>
          <rPr>
            <b/>
            <sz val="9"/>
            <rFont val="Tahoma"/>
          </rPr>
          <t>Jana Holíková:</t>
        </r>
        <r>
          <rPr>
            <sz val="9"/>
            <rFont val="Tahoma"/>
          </rPr>
          <t xml:space="preserve">
23513/02 +45.254
</t>
        </r>
      </text>
    </comment>
    <comment ref="D734" authorId="317" shapeId="0">
      <text>
        <r>
          <rPr>
            <b/>
            <sz val="9"/>
            <rFont val="Tahoma"/>
          </rPr>
          <t>Jana Holíková:</t>
        </r>
        <r>
          <rPr>
            <sz val="9"/>
            <rFont val="Tahoma"/>
          </rPr>
          <t xml:space="preserve">
23563/05 -150.000
</t>
        </r>
      </text>
    </comment>
    <comment ref="D735" authorId="318" shapeId="0">
      <text>
        <r>
          <rPr>
            <b/>
            <sz val="9"/>
            <rFont val="Tahoma"/>
          </rPr>
          <t>Jana Holíková:</t>
        </r>
        <r>
          <rPr>
            <sz val="9"/>
            <rFont val="Tahoma"/>
          </rPr>
          <t xml:space="preserve">
23563/05 -100.000
</t>
        </r>
      </text>
    </comment>
    <comment ref="D736" authorId="319" shapeId="0">
      <text>
        <r>
          <rPr>
            <b/>
            <sz val="9"/>
            <rFont val="Tahoma"/>
          </rPr>
          <t>Jana Holíková:</t>
        </r>
        <r>
          <rPr>
            <sz val="9"/>
            <rFont val="Tahoma"/>
          </rPr>
          <t xml:space="preserve">
23563/05 -250.000
</t>
        </r>
      </text>
    </comment>
    <comment ref="D737" authorId="320" shapeId="0">
      <text>
        <r>
          <rPr>
            <b/>
            <sz val="9"/>
            <rFont val="Tahoma"/>
          </rPr>
          <t>Jana Holíková:</t>
        </r>
        <r>
          <rPr>
            <sz val="9"/>
            <rFont val="Tahoma"/>
          </rPr>
          <t xml:space="preserve">
23563/05 -100.000
</t>
        </r>
      </text>
    </comment>
    <comment ref="D739" authorId="321" shapeId="0">
      <text>
        <r>
          <rPr>
            <b/>
            <sz val="9"/>
            <rFont val="Tahoma"/>
          </rPr>
          <t>Jana Holíková:</t>
        </r>
        <r>
          <rPr>
            <sz val="9"/>
            <rFont val="Tahoma"/>
          </rPr>
          <t xml:space="preserve">
23563/05 -800.000
</t>
        </r>
      </text>
    </comment>
    <comment ref="D740" authorId="322" shapeId="0">
      <text>
        <r>
          <rPr>
            <b/>
            <sz val="9"/>
            <rFont val="Tahoma"/>
          </rPr>
          <t>Jana Holíková:</t>
        </r>
        <r>
          <rPr>
            <sz val="9"/>
            <rFont val="Tahoma"/>
          </rPr>
          <t xml:space="preserve">
23563/05 -300.000
</t>
        </r>
      </text>
    </comment>
    <comment ref="D742" authorId="323" shapeId="0">
      <text>
        <r>
          <rPr>
            <b/>
            <sz val="9"/>
            <rFont val="Tahoma"/>
          </rPr>
          <t>Jana Holíková:</t>
        </r>
        <r>
          <rPr>
            <sz val="9"/>
            <rFont val="Tahoma"/>
          </rPr>
          <t xml:space="preserve">
23006/01 +1.812.000
23513/02 -45.254
23558/05 -20.971
23561/05 -13.463,31
23563/05 +2.100.000
23574/06 -63.727
23114/08 +1.163.197,81
23630/10 -31.878
23642/11 -1.911
23673/12 -1.036
23695.12 -18.280,01
</t>
        </r>
      </text>
    </comment>
    <comment ref="D743" authorId="324" shapeId="0">
      <text>
        <r>
          <rPr>
            <b/>
            <sz val="9"/>
            <rFont val="Tahoma"/>
          </rPr>
          <t>Jana Holíková:</t>
        </r>
        <r>
          <rPr>
            <sz val="9"/>
            <rFont val="Tahoma"/>
          </rPr>
          <t xml:space="preserve">
23546/04 
+152.880
23558/05 +20.971
23561/05 +13.463,31
23574/06 +63.727
23630/10 +31.878
23642/11 +1.911
23673/12 +1.036
23695.12 +18.280,01
</t>
        </r>
      </text>
    </comment>
    <comment ref="D747" authorId="325" shapeId="0">
      <text>
        <r>
          <rPr>
            <b/>
            <sz val="9"/>
            <rFont val="Tahoma"/>
          </rPr>
          <t>Jana Holíková:</t>
        </r>
        <r>
          <rPr>
            <sz val="9"/>
            <rFont val="Tahoma"/>
          </rPr>
          <t xml:space="preserve">
23532/03 +431.000
</t>
        </r>
      </text>
    </comment>
    <comment ref="D750" authorId="326" shapeId="0">
      <text>
        <r>
          <rPr>
            <b/>
            <sz val="9"/>
            <rFont val="Tahoma"/>
          </rPr>
          <t>Jana Holíková:</t>
        </r>
        <r>
          <rPr>
            <sz val="9"/>
            <rFont val="Tahoma"/>
          </rPr>
          <t xml:space="preserve">
23022/02 -617.845,43
23617/09 -41.009
23673/12 -12.687,46
23194.12 -323,86
23695.12 -0,03
</t>
        </r>
      </text>
    </comment>
    <comment ref="D751" authorId="327" shapeId="0">
      <text>
        <r>
          <rPr>
            <b/>
            <sz val="9"/>
            <rFont val="Tahoma"/>
          </rPr>
          <t>Jana Holíková:</t>
        </r>
        <r>
          <rPr>
            <sz val="9"/>
            <rFont val="Tahoma"/>
          </rPr>
          <t xml:space="preserve">
23617/09 +41.009
23673/12 +12.687,46
23695.12 +0,03
</t>
        </r>
      </text>
    </comment>
    <comment ref="D756" authorId="328" shapeId="0">
      <text>
        <r>
          <rPr>
            <b/>
            <sz val="9"/>
            <rFont val="Tahoma"/>
          </rPr>
          <t>Jana Holíková:</t>
        </r>
        <r>
          <rPr>
            <sz val="9"/>
            <rFont val="Tahoma"/>
          </rPr>
          <t xml:space="preserve">
23024/02 -1.500.000
</t>
        </r>
      </text>
    </comment>
    <comment ref="D762" authorId="329" shapeId="0">
      <text>
        <r>
          <rPr>
            <b/>
            <sz val="9"/>
            <rFont val="Tahoma"/>
          </rPr>
          <t>Jana Holíková:</t>
        </r>
        <r>
          <rPr>
            <sz val="9"/>
            <rFont val="Tahoma"/>
          </rPr>
          <t xml:space="preserve">
23024/02  - 500.000 jung b2 (část z 1.200.00)
</t>
        </r>
      </text>
    </comment>
    <comment ref="D763" authorId="330" shapeId="0">
      <text>
        <r>
          <rPr>
            <b/>
            <sz val="9"/>
            <rFont val="Tahoma"/>
          </rPr>
          <t>Jana Holíková:</t>
        </r>
        <r>
          <rPr>
            <sz val="9"/>
            <rFont val="Tahoma"/>
          </rPr>
          <t xml:space="preserve">
23137/09 -1.000.000
</t>
        </r>
      </text>
    </comment>
    <comment ref="D765" authorId="331" shapeId="0">
      <text>
        <r>
          <rPr>
            <b/>
            <sz val="9"/>
            <rFont val="Tahoma"/>
          </rPr>
          <t>Jana Holíková:</t>
        </r>
        <r>
          <rPr>
            <sz val="9"/>
            <rFont val="Tahoma"/>
          </rPr>
          <t xml:space="preserve">
23024/02  
-1.500.000 jung b1
- 500.000 jung b2 (část z 1.200.00)
</t>
        </r>
      </text>
    </comment>
    <comment ref="D769" authorId="332" shapeId="0">
      <text>
        <r>
          <rPr>
            <b/>
            <sz val="9"/>
            <rFont val="Tahoma"/>
          </rPr>
          <t>Jana Holíková:</t>
        </r>
        <r>
          <rPr>
            <sz val="9"/>
            <rFont val="Tahoma"/>
          </rPr>
          <t xml:space="preserve">
23194.12 -200.000
</t>
        </r>
      </text>
    </comment>
    <comment ref="D771" authorId="333" shapeId="0">
      <text>
        <r>
          <rPr>
            <b/>
            <sz val="9"/>
            <rFont val="Tahoma"/>
          </rPr>
          <t>Jana Holíková:</t>
        </r>
        <r>
          <rPr>
            <sz val="9"/>
            <rFont val="Tahoma"/>
          </rPr>
          <t xml:space="preserve">
23178/11 -500.000
23194.12 -1.500.000
</t>
        </r>
      </text>
    </comment>
    <comment ref="D774" authorId="334" shapeId="0">
      <text>
        <r>
          <rPr>
            <b/>
            <sz val="9"/>
            <rFont val="Tahoma"/>
          </rPr>
          <t>Jana Holíková:</t>
        </r>
        <r>
          <rPr>
            <sz val="9"/>
            <rFont val="Tahoma"/>
          </rPr>
          <t xml:space="preserve">
23095/06 +13.073
23194.12 -250.000
</t>
        </r>
      </text>
    </comment>
    <comment ref="D775" authorId="335" shapeId="0">
      <text>
        <r>
          <rPr>
            <b/>
            <sz val="9"/>
            <rFont val="Tahoma"/>
          </rPr>
          <t>Jana Holíková:</t>
        </r>
        <r>
          <rPr>
            <sz val="9"/>
            <rFont val="Tahoma"/>
          </rPr>
          <t xml:space="preserve">
23194.12 -300.000
</t>
        </r>
      </text>
    </comment>
    <comment ref="D776" authorId="336" shapeId="0">
      <text>
        <r>
          <rPr>
            <b/>
            <sz val="9"/>
            <rFont val="Tahoma"/>
          </rPr>
          <t>Jana Holíková:</t>
        </r>
        <r>
          <rPr>
            <sz val="9"/>
            <rFont val="Tahoma"/>
          </rPr>
          <t xml:space="preserve">
23178/11 -500.000
23194.12 -200.000
</t>
        </r>
      </text>
    </comment>
    <comment ref="D780" authorId="337" shapeId="0">
      <text>
        <r>
          <rPr>
            <b/>
            <sz val="9"/>
            <rFont val="Tahoma"/>
          </rPr>
          <t>Jana Holíková:</t>
        </r>
        <r>
          <rPr>
            <sz val="9"/>
            <rFont val="Tahoma"/>
          </rPr>
          <t xml:space="preserve">
23137/09 -250.000
</t>
        </r>
      </text>
    </comment>
    <comment ref="D786" authorId="338" shapeId="0">
      <text>
        <r>
          <rPr>
            <b/>
            <sz val="9"/>
            <rFont val="Tahoma"/>
          </rPr>
          <t>Jana Holíková:</t>
        </r>
        <r>
          <rPr>
            <sz val="9"/>
            <rFont val="Tahoma"/>
          </rPr>
          <t xml:space="preserve">
23194.12 +2.450.000
</t>
        </r>
      </text>
    </comment>
    <comment ref="D790" authorId="339" shapeId="0">
      <text>
        <r>
          <rPr>
            <b/>
            <sz val="9"/>
            <rFont val="Tahoma"/>
          </rPr>
          <t>Jana Holíková:</t>
        </r>
        <r>
          <rPr>
            <sz val="9"/>
            <rFont val="Tahoma"/>
          </rPr>
          <t xml:space="preserve">
23103/07 -80.000
23171/11 -20.000
</t>
        </r>
      </text>
    </comment>
    <comment ref="D793" authorId="340" shapeId="0">
      <text>
        <r>
          <rPr>
            <b/>
            <sz val="9"/>
            <rFont val="Tahoma"/>
          </rPr>
          <t>Jana Holíková:</t>
        </r>
        <r>
          <rPr>
            <sz val="9"/>
            <rFont val="Tahoma"/>
          </rPr>
          <t xml:space="preserve">
23137/09 -400.000
</t>
        </r>
      </text>
    </comment>
    <comment ref="D795" authorId="341" shapeId="0">
      <text>
        <r>
          <rPr>
            <b/>
            <sz val="9"/>
            <rFont val="Tahoma"/>
          </rPr>
          <t>Jana Holíková:</t>
        </r>
        <r>
          <rPr>
            <sz val="9"/>
            <rFont val="Tahoma"/>
          </rPr>
          <t xml:space="preserve">
23020/02 +150.000
23173/11 
-32.530 -110.347,82
</t>
        </r>
      </text>
    </comment>
    <comment ref="D796" authorId="342" shapeId="0">
      <text>
        <r>
          <rPr>
            <b/>
            <sz val="9"/>
            <rFont val="Tahoma"/>
          </rPr>
          <t>Jana Holíková:</t>
        </r>
        <r>
          <rPr>
            <sz val="9"/>
            <rFont val="Tahoma"/>
          </rPr>
          <t xml:space="preserve">
23137/09 -600.000
</t>
        </r>
      </text>
    </comment>
    <comment ref="D797" authorId="343" shapeId="0">
      <text>
        <r>
          <rPr>
            <b/>
            <sz val="9"/>
            <rFont val="Tahoma"/>
          </rPr>
          <t>Jana Holíková:</t>
        </r>
        <r>
          <rPr>
            <sz val="9"/>
            <rFont val="Tahoma"/>
          </rPr>
          <t xml:space="preserve">
23024/02 -4.000.000
</t>
        </r>
      </text>
    </comment>
    <comment ref="D799" authorId="344" shapeId="0">
      <text>
        <r>
          <rPr>
            <b/>
            <sz val="9"/>
            <rFont val="Tahoma"/>
          </rPr>
          <t>Jana Holíková:</t>
        </r>
        <r>
          <rPr>
            <sz val="9"/>
            <rFont val="Tahoma"/>
          </rPr>
          <t xml:space="preserve">
23137/09 -900.000
</t>
        </r>
      </text>
    </comment>
    <comment ref="D801" authorId="345" shapeId="0">
      <text>
        <r>
          <rPr>
            <b/>
            <sz val="9"/>
            <rFont val="Tahoma"/>
          </rPr>
          <t>Jana Holíková:</t>
        </r>
        <r>
          <rPr>
            <sz val="9"/>
            <rFont val="Tahoma"/>
          </rPr>
          <t xml:space="preserve">
23546/04 +4.000
23620/09 +100.000
</t>
        </r>
      </text>
    </comment>
    <comment ref="D810" authorId="346" shapeId="0">
      <text>
        <r>
          <rPr>
            <b/>
            <sz val="9"/>
            <rFont val="Tahoma"/>
          </rPr>
          <t>Jana Holíková:</t>
        </r>
        <r>
          <rPr>
            <sz val="9"/>
            <rFont val="Tahoma"/>
          </rPr>
          <t xml:space="preserve">
23620/09 -100.000
</t>
        </r>
      </text>
    </comment>
    <comment ref="D813" authorId="347" shapeId="0">
      <text>
        <r>
          <rPr>
            <b/>
            <sz val="9"/>
            <rFont val="Tahoma"/>
          </rPr>
          <t>Jana Holíková:</t>
        </r>
        <r>
          <rPr>
            <sz val="9"/>
            <rFont val="Tahoma"/>
          </rPr>
          <t xml:space="preserve">
23528/03 +146.700
23546/04 -4.000
</t>
        </r>
      </text>
    </comment>
    <comment ref="D815" authorId="348" shapeId="0">
      <text>
        <r>
          <rPr>
            <b/>
            <sz val="9"/>
            <rFont val="Tahoma"/>
          </rPr>
          <t>Jana Holíková:</t>
        </r>
        <r>
          <rPr>
            <sz val="9"/>
            <rFont val="Tahoma"/>
          </rPr>
          <t xml:space="preserve">
23528/03 -146.700
</t>
        </r>
      </text>
    </comment>
    <comment ref="D816" authorId="349" shapeId="0">
      <text>
        <r>
          <rPr>
            <b/>
            <sz val="9"/>
            <rFont val="Tahoma"/>
          </rPr>
          <t>Jana Holíková:</t>
        </r>
        <r>
          <rPr>
            <sz val="9"/>
            <rFont val="Tahoma"/>
          </rPr>
          <t xml:space="preserve">
23171/11 -280.000
</t>
        </r>
      </text>
    </comment>
    <comment ref="D817" authorId="350" shapeId="0">
      <text>
        <r>
          <rPr>
            <b/>
            <sz val="9"/>
            <rFont val="Tahoma"/>
          </rPr>
          <t>Jana Holíková:</t>
        </r>
        <r>
          <rPr>
            <sz val="9"/>
            <rFont val="Tahoma"/>
          </rPr>
          <t xml:space="preserve">
23103/07 -80.000
23171/11 -20.000
</t>
        </r>
      </text>
    </comment>
    <comment ref="D819" authorId="351" shapeId="0">
      <text>
        <r>
          <rPr>
            <b/>
            <sz val="9"/>
            <rFont val="Tahoma"/>
          </rPr>
          <t>Jana Holíková:</t>
        </r>
        <r>
          <rPr>
            <sz val="9"/>
            <rFont val="Tahoma"/>
          </rPr>
          <t xml:space="preserve">
23137/09 -2.500.000
</t>
        </r>
      </text>
    </comment>
    <comment ref="D821" authorId="352" shapeId="0">
      <text>
        <r>
          <rPr>
            <b/>
            <sz val="9"/>
            <rFont val="Tahoma"/>
          </rPr>
          <t>Jana Holíková:</t>
        </r>
        <r>
          <rPr>
            <sz val="9"/>
            <rFont val="Tahoma"/>
          </rPr>
          <t xml:space="preserve">
23020/02 
-330.000 +180.000
23104/07 +280.000
23171/11 -15.613,03 -1,16
</t>
        </r>
      </text>
    </comment>
    <comment ref="D823" authorId="353" shapeId="0">
      <text>
        <r>
          <rPr>
            <b/>
            <sz val="9"/>
            <rFont val="Tahoma"/>
          </rPr>
          <t>Jana Holíková:</t>
        </r>
        <r>
          <rPr>
            <sz val="9"/>
            <rFont val="Tahoma"/>
          </rPr>
          <t xml:space="preserve">
23620/09 -100.000
</t>
        </r>
      </text>
    </comment>
    <comment ref="D825" authorId="354" shapeId="0">
      <text>
        <r>
          <rPr>
            <b/>
            <sz val="9"/>
            <rFont val="Tahoma"/>
          </rPr>
          <t>Jana Holíková:</t>
        </r>
        <r>
          <rPr>
            <sz val="9"/>
            <rFont val="Tahoma"/>
          </rPr>
          <t xml:space="preserve">
23181/11 +2.000.000
</t>
        </r>
      </text>
    </comment>
    <comment ref="D834" authorId="355" shapeId="0">
      <text>
        <r>
          <rPr>
            <b/>
            <sz val="9"/>
            <rFont val="Tahoma"/>
          </rPr>
          <t>Jana Holíková:</t>
        </r>
        <r>
          <rPr>
            <sz val="9"/>
            <rFont val="Tahoma"/>
          </rPr>
          <t xml:space="preserve">
23620/09 +100.000
</t>
        </r>
      </text>
    </comment>
    <comment ref="D837" authorId="356" shapeId="0">
      <text>
        <r>
          <rPr>
            <b/>
            <sz val="9"/>
            <rFont val="Tahoma"/>
          </rPr>
          <t>Jana Holíková:</t>
        </r>
        <r>
          <rPr>
            <sz val="9"/>
            <rFont val="Tahoma"/>
          </rPr>
          <t xml:space="preserve">
23137/09 -700.000
</t>
        </r>
      </text>
    </comment>
    <comment ref="D843" authorId="357" shapeId="0">
      <text>
        <r>
          <rPr>
            <b/>
            <sz val="9"/>
            <rFont val="Tahoma"/>
          </rPr>
          <t>Jana Holíková:</t>
        </r>
        <r>
          <rPr>
            <sz val="9"/>
            <rFont val="Tahoma"/>
          </rPr>
          <t xml:space="preserve">
23177/11 +1.000.000
</t>
        </r>
      </text>
    </comment>
    <comment ref="D848" authorId="358" shapeId="0">
      <text>
        <r>
          <rPr>
            <b/>
            <sz val="9"/>
            <rFont val="Tahoma"/>
          </rPr>
          <t>Jana Holíková:</t>
        </r>
        <r>
          <rPr>
            <sz val="9"/>
            <rFont val="Tahoma"/>
          </rPr>
          <t xml:space="preserve">
23545/04 +-1.500.000 org
</t>
        </r>
      </text>
    </comment>
    <comment ref="D856" authorId="359" shapeId="0">
      <text>
        <r>
          <rPr>
            <b/>
            <sz val="9"/>
            <rFont val="Tahoma"/>
          </rPr>
          <t>Jana Holíková:</t>
        </r>
        <r>
          <rPr>
            <sz val="9"/>
            <rFont val="Tahoma"/>
          </rPr>
          <t xml:space="preserve">
23137/09 -500.000
</t>
        </r>
      </text>
    </comment>
    <comment ref="D858" authorId="360" shapeId="0">
      <text>
        <r>
          <rPr>
            <b/>
            <sz val="9"/>
            <rFont val="Tahoma"/>
          </rPr>
          <t>Jana Holíková:</t>
        </r>
        <r>
          <rPr>
            <sz val="9"/>
            <rFont val="Tahoma"/>
          </rPr>
          <t xml:space="preserve">
23137/09 -200.000
</t>
        </r>
      </text>
    </comment>
    <comment ref="D873" authorId="361" shapeId="0">
      <text>
        <r>
          <rPr>
            <b/>
            <sz val="9"/>
            <rFont val="Tahoma"/>
          </rPr>
          <t>Jana Holíková:</t>
        </r>
        <r>
          <rPr>
            <sz val="9"/>
            <rFont val="Tahoma"/>
          </rPr>
          <t xml:space="preserve">
23089/06 -242.500
</t>
        </r>
      </text>
    </comment>
    <comment ref="D875" authorId="362" shapeId="0">
      <text>
        <r>
          <rPr>
            <b/>
            <sz val="9"/>
            <rFont val="Tahoma"/>
          </rPr>
          <t>Jana Holíková:</t>
        </r>
        <r>
          <rPr>
            <sz val="9"/>
            <rFont val="Tahoma"/>
          </rPr>
          <t xml:space="preserve">
23017/02
+15.614,79   0309
+57.246,53   0321
+130.295,27 0322
+210.485,42 0323
+444.697,21 0325
</t>
        </r>
      </text>
    </comment>
    <comment ref="D876" authorId="363" shapeId="0">
      <text>
        <r>
          <rPr>
            <b/>
            <sz val="9"/>
            <rFont val="Tahoma"/>
          </rPr>
          <t>Jana Holíková:</t>
        </r>
        <r>
          <rPr>
            <sz val="9"/>
            <rFont val="Tahoma"/>
          </rPr>
          <t xml:space="preserve">
23041/03 -285.281
</t>
        </r>
      </text>
    </comment>
    <comment ref="D877" authorId="364" shapeId="0">
      <text>
        <r>
          <rPr>
            <b/>
            <sz val="9"/>
            <rFont val="Tahoma"/>
          </rPr>
          <t>Jana Holíková:</t>
        </r>
        <r>
          <rPr>
            <sz val="9"/>
            <rFont val="Tahoma"/>
          </rPr>
          <t xml:space="preserve">
23041/03 -285.281
</t>
        </r>
      </text>
    </comment>
    <comment ref="D878" authorId="365" shapeId="0">
      <text>
        <r>
          <rPr>
            <b/>
            <sz val="9"/>
            <rFont val="Tahoma"/>
          </rPr>
          <t>Jana Holíková:</t>
        </r>
        <r>
          <rPr>
            <sz val="9"/>
            <rFont val="Tahoma"/>
          </rPr>
          <t xml:space="preserve">
23156/11 +300.000
</t>
        </r>
      </text>
    </comment>
    <comment ref="D880" authorId="366" shapeId="0">
      <text>
        <r>
          <rPr>
            <b/>
            <sz val="9"/>
            <rFont val="Tahoma"/>
          </rPr>
          <t>Jana Holíková:</t>
        </r>
        <r>
          <rPr>
            <sz val="9"/>
            <rFont val="Tahoma"/>
          </rPr>
          <t xml:space="preserve">
23083/06 +50.000
23126/08 
+50.000 +50.000
23182/12 +100.000
23194.12+10.000
</t>
        </r>
      </text>
    </comment>
    <comment ref="D882" authorId="367" shapeId="0">
      <text>
        <r>
          <rPr>
            <b/>
            <sz val="9"/>
            <rFont val="Tahoma"/>
          </rPr>
          <t>Jana Holíková:</t>
        </r>
        <r>
          <rPr>
            <sz val="9"/>
            <rFont val="Tahoma"/>
          </rPr>
          <t xml:space="preserve">
23060/04 -10.050.300
</t>
        </r>
      </text>
    </comment>
    <comment ref="D883" authorId="368" shapeId="0">
      <text>
        <r>
          <rPr>
            <b/>
            <sz val="9"/>
            <rFont val="Tahoma"/>
          </rPr>
          <t>Jana Holíková:</t>
        </r>
        <r>
          <rPr>
            <sz val="9"/>
            <rFont val="Tahoma"/>
          </rPr>
          <t xml:space="preserve">
23083/06 -3.000.000
23118/08 +5.000.000
</t>
        </r>
      </text>
    </comment>
    <comment ref="D886" authorId="369" shapeId="0">
      <text>
        <r>
          <rPr>
            <b/>
            <sz val="9"/>
            <rFont val="Tahoma"/>
          </rPr>
          <t>Jana Holíková:</t>
        </r>
        <r>
          <rPr>
            <sz val="9"/>
            <rFont val="Tahoma"/>
          </rPr>
          <t xml:space="preserve">
23107/07 úz 13014
+ 1.784,32 1201
+10.111,13 1205
</t>
        </r>
      </text>
    </comment>
    <comment ref="D887" authorId="370" shapeId="0">
      <text>
        <r>
          <rPr>
            <b/>
            <sz val="9"/>
            <rFont val="Tahoma"/>
          </rPr>
          <t>Jana Holíková:</t>
        </r>
        <r>
          <rPr>
            <sz val="9"/>
            <rFont val="Tahoma"/>
          </rPr>
          <t xml:space="preserve">
23107/07 úz 13014
+ 1.784,32 1201
+10.111,13 1205
</t>
        </r>
      </text>
    </comment>
    <comment ref="D888" authorId="371" shapeId="0">
      <text>
        <r>
          <rPr>
            <b/>
            <sz val="9"/>
            <rFont val="Tahoma"/>
          </rPr>
          <t>Jana Holíková:</t>
        </r>
        <r>
          <rPr>
            <sz val="9"/>
            <rFont val="Tahoma"/>
          </rPr>
          <t xml:space="preserve">
23016/02 +8.015
</t>
        </r>
      </text>
    </comment>
    <comment ref="D889" authorId="372" shapeId="0">
      <text>
        <r>
          <rPr>
            <b/>
            <sz val="9"/>
            <rFont val="Tahoma"/>
          </rPr>
          <t>Jana Holíková:</t>
        </r>
        <r>
          <rPr>
            <sz val="9"/>
            <rFont val="Tahoma"/>
          </rPr>
          <t xml:space="preserve">
23016/02 +33.210
</t>
        </r>
      </text>
    </comment>
    <comment ref="D890" authorId="373" shapeId="0">
      <text>
        <r>
          <rPr>
            <b/>
            <sz val="9"/>
            <rFont val="Tahoma"/>
          </rPr>
          <t>Jana Holíková:</t>
        </r>
        <r>
          <rPr>
            <sz val="9"/>
            <rFont val="Tahoma"/>
          </rPr>
          <t xml:space="preserve">
23090/06 +1.449.005,28
</t>
        </r>
      </text>
    </comment>
    <comment ref="D891" authorId="374" shapeId="0">
      <text>
        <r>
          <rPr>
            <b/>
            <sz val="9"/>
            <rFont val="Tahoma"/>
          </rPr>
          <t>Jana Holíková:</t>
        </r>
        <r>
          <rPr>
            <sz val="9"/>
            <rFont val="Tahoma"/>
          </rPr>
          <t xml:space="preserve">
23018/02 +221.800
</t>
        </r>
      </text>
    </comment>
    <comment ref="D892" authorId="375" shapeId="0">
      <text>
        <r>
          <rPr>
            <b/>
            <sz val="9"/>
            <rFont val="Tahoma"/>
          </rPr>
          <t>Jana Holíková:</t>
        </r>
        <r>
          <rPr>
            <sz val="9"/>
            <rFont val="Tahoma"/>
          </rPr>
          <t xml:space="preserve">
23050/04 +400.000
</t>
        </r>
      </text>
    </comment>
    <comment ref="D894" authorId="376" shapeId="0">
      <text>
        <r>
          <rPr>
            <b/>
            <sz val="9"/>
            <rFont val="Tahoma"/>
          </rPr>
          <t>Jana Holíková:</t>
        </r>
        <r>
          <rPr>
            <sz val="9"/>
            <rFont val="Tahoma"/>
          </rPr>
          <t xml:space="preserve">
23002/01 -508.200
23003/01 +45.455
23004/01 -2.500.000
23005/01 +2.499.800
23006/01 -1.812.000
23007/01 -76.493,01
23008/01 -33.698
23009/02 -3.663.880
23017/02 -120.860,71
23018/02 -221.800
23019/02 +50.161  poj
23021/02 +14.000.000
23022/02 +14.055,43
23026/02 -1.700.000
23029/02 -300.000
23030/02 -1.938.178,27
23035/03 -436.000
23037/03 -175.000
23038/03 +5.706.845,54
23041/03 +285.281
23043/03 -7.381.538
23044/03 +384
23046/03 +80.676,71
23047/03 +248.308,32
23049/03 -1.750.000
23061/04 +43.797
23062/04 -84.940
23063/04 +3.705,41
23065/05 -231.000
23069/05 -50.000
23071/05 +270
23072/05 +2.989,27
23073/05 +1.200.000 -96.800
23074/05 +921.600
23075/05 
-89.825 -296.450 -213.204
23077/05 -1.000.000
23080/06 -5.500.000
23083/06
+20.000 +76.497 +20200 +36.600 +156.589,68 +5.360 +147.136 +87.410 +265 673,13 +2.870.000
23085/06 -147.136
23089/06 -176
23090/06 -1.449.005,28
23098/07 +23.330.000
23103/07 +160.000
23104/07 -280.000
23105/07 -300.000
23108/07 -150.000
23112/07 -49.000
23114/08 -1.163.197,81
23116/08 -500.000
23118/08 -5.000.000
23119/08 -300.000
23126/08 +9.703.265,68
23605/08 -86.815,98
23127/09 -500.000
23129/09 +700.000
23130/09 +3.074,21
23131/09 +275.000
23136/09 -300.000
23137/09 čistící
+2.277.799,35 +412.445 +7.050.000 
23138/10
+300.000 +1.060.000 +1.000.000 +6.690.000 +7.500.000 +500.000 +1.800.000 +3.930.000 +800.000
23139/10 +1.000.000
23144/10 +98.187
23147/10 +500.000
23151/11 +4.330.000 +700.000
23152/11 +114.563,55
23153/11 -76.493,02
23154/11 +1.650.000
23155/11 +28.572
23156/11 -300.000
23165/11 +62,46
23166/11 +70.122
23168/11 +155.095,79
23169/11 +82.921,96
23170/11 +200.000
23171/11
+48.744 +15.613,03 +1,16 +100.000 +350.000 +280.000 +300.000 +600.000 +10.163 -300.000 +20.000 +20.000
23173/11
+370.000 +175.000 +10.637.000 +26.810 +686.470,59 +30.000 +115.000 +162.566 +32.630 +110.347,82 +594,97
23174/11 +500.000
23175/11 +484.000
23176/11 +700.000
23182/11 +500.000
23183/11 +1.550.000
23184/11 +2.200.000
23185/11 +4.011
23187/12 -52.695,50
23188/12 +300.000
23189/12 +2.180.699,34
23191/12 +217.373,47
23192/12 -100.000
23193/12 +3.337.434
23194.12 -117.496 -2.869.843,80 -287.980 -101.945,85 -5.103.000 -8.281.000 +323,86
23195/12 +1.600.000 +900.000
23196/12 -100.000
</t>
        </r>
      </text>
    </comment>
    <comment ref="D895" authorId="377" shapeId="0">
      <text>
        <r>
          <rPr>
            <b/>
            <sz val="9"/>
            <rFont val="Tahoma"/>
          </rPr>
          <t>Jana Holíková:</t>
        </r>
        <r>
          <rPr>
            <sz val="9"/>
            <rFont val="Tahoma"/>
          </rPr>
          <t xml:space="preserve">
23069/05 +40.000 +10.000
23083/06 +80.000
</t>
        </r>
      </text>
    </comment>
    <comment ref="D896" authorId="378" shapeId="0">
      <text>
        <r>
          <rPr>
            <b/>
            <sz val="9"/>
            <rFont val="Tahoma"/>
          </rPr>
          <t>Jana Holíková:</t>
        </r>
        <r>
          <rPr>
            <sz val="9"/>
            <rFont val="Tahoma"/>
          </rPr>
          <t xml:space="preserve">
23605/08 +86.815,98
</t>
        </r>
      </text>
    </comment>
  </commentList>
</comments>
</file>

<file path=xl/sharedStrings.xml><?xml version="1.0" encoding="utf-8"?>
<sst xmlns="http://schemas.openxmlformats.org/spreadsheetml/2006/main" count="6944" uniqueCount="2155">
  <si>
    <t>Příloha č. 1</t>
  </si>
  <si>
    <r>
      <rPr>
        <b/>
        <sz val="9"/>
        <rFont val="Arial CE"/>
      </rPr>
      <t xml:space="preserve">Rozpočtová skladba                                                                                                                                                                                                                                                    </t>
    </r>
    <r>
      <rPr>
        <sz val="8"/>
        <rFont val="Arial CE"/>
      </rPr>
      <t xml:space="preserve"> ORJ/odd.par./pol./org./ÚZ</t>
    </r>
  </si>
  <si>
    <r>
      <rPr>
        <b/>
        <sz val="14"/>
        <rFont val="Arial CE"/>
      </rPr>
      <t xml:space="preserve">Návrh rozpočtu města Nový Jičín 
na rok 2021                                                                                                                                                                                                                                                                                                                                                                                  </t>
    </r>
    <r>
      <rPr>
        <sz val="11"/>
        <rFont val="Arial CE"/>
      </rPr>
      <t xml:space="preserve"> (údaje </t>
    </r>
    <r>
      <rPr>
        <b/>
        <sz val="11"/>
        <rFont val="Arial CE"/>
      </rPr>
      <t>v textu</t>
    </r>
    <r>
      <rPr>
        <sz val="11"/>
        <rFont val="Arial CE"/>
      </rPr>
      <t xml:space="preserve"> jsou v tis. Kč)          </t>
    </r>
    <r>
      <rPr>
        <b/>
        <sz val="14"/>
        <rFont val="Arial CE"/>
      </rPr>
      <t xml:space="preserve">                  </t>
    </r>
  </si>
  <si>
    <r>
      <rPr>
        <b/>
        <sz val="12"/>
        <rFont val="Arial CE"/>
      </rPr>
      <t xml:space="preserve">Schválený
rozpočet 2020
</t>
    </r>
    <r>
      <rPr>
        <sz val="9"/>
        <rFont val="Arial CE"/>
      </rPr>
      <t>(v Kč)</t>
    </r>
  </si>
  <si>
    <r>
      <rPr>
        <b/>
        <sz val="12"/>
        <rFont val="Arial CE"/>
      </rPr>
      <t xml:space="preserve">Upravený
rozpočet                                                                                                                                                                                                                                                                                                                                                                                                                                                                                                                                         k 31.8.2020
</t>
    </r>
    <r>
      <rPr>
        <sz val="9"/>
        <rFont val="Arial CE"/>
      </rPr>
      <t>(v Kč)</t>
    </r>
  </si>
  <si>
    <r>
      <rPr>
        <b/>
        <sz val="12"/>
        <rFont val="Arial CE"/>
      </rPr>
      <t xml:space="preserve">Očekávané plnění
k 31.12. 2020
</t>
    </r>
    <r>
      <rPr>
        <sz val="9"/>
        <rFont val="Arial CE"/>
      </rPr>
      <t>(v Kč)</t>
    </r>
  </si>
  <si>
    <r>
      <rPr>
        <b/>
        <sz val="12"/>
        <rFont val="Arial CE"/>
      </rPr>
      <t xml:space="preserve">Skutečnost za
k 31.8. 2020
</t>
    </r>
    <r>
      <rPr>
        <sz val="9"/>
        <rFont val="Arial CE"/>
      </rPr>
      <t>(v Kč)</t>
    </r>
  </si>
  <si>
    <r>
      <rPr>
        <b/>
        <sz val="12"/>
        <rFont val="Arial CE"/>
      </rPr>
      <t xml:space="preserve">2021                                                                                                                                                                                                                                                                                                                                                                                                                      </t>
    </r>
    <r>
      <rPr>
        <sz val="9"/>
        <rFont val="Arial CE"/>
      </rPr>
      <t xml:space="preserve"> (v Kč)   </t>
    </r>
    <r>
      <rPr>
        <b/>
        <sz val="9"/>
        <rFont val="Arial CE"/>
      </rPr>
      <t xml:space="preserve">        </t>
    </r>
    <r>
      <rPr>
        <b/>
        <sz val="12"/>
        <rFont val="Arial CE"/>
      </rPr>
      <t xml:space="preserve">                                                                                                                                                                  </t>
    </r>
  </si>
  <si>
    <t>Příjmy</t>
  </si>
  <si>
    <t>Třída 1 - Daňové příjmy</t>
  </si>
  <si>
    <t>Třída 2 - Nedaňové příjmy</t>
  </si>
  <si>
    <t>Třída 3 - Kapitálové příjmy</t>
  </si>
  <si>
    <t>Třída 4 - Přijaté transfery (dotace)</t>
  </si>
  <si>
    <t>Příjmy celkem</t>
  </si>
  <si>
    <t>Třída 8 - Financování</t>
  </si>
  <si>
    <t>Úhrn zdrojů</t>
  </si>
  <si>
    <r>
      <rPr>
        <b/>
        <sz val="14"/>
        <rFont val="Arial CE"/>
      </rPr>
      <t>Výdaje:</t>
    </r>
    <r>
      <rPr>
        <sz val="14"/>
        <rFont val="Arial CE"/>
      </rPr>
      <t xml:space="preserve"> </t>
    </r>
    <r>
      <rPr>
        <i/>
        <sz val="12"/>
        <rFont val="Arial CE"/>
      </rPr>
      <t xml:space="preserve">(ORJ = organizační jednotka) </t>
    </r>
  </si>
  <si>
    <t>Třída 5 - Běžné výdaje</t>
  </si>
  <si>
    <t>Třída 6 - Kapitálové výdaje</t>
  </si>
  <si>
    <t>z toho:</t>
  </si>
  <si>
    <t xml:space="preserve">ORJ 1xx - Odbor správy majetku                                                                                                                                                                                                                                                                                                                                                                                                                                                                                          </t>
  </si>
  <si>
    <t>v tom: 102 - Vodní hospodářství</t>
  </si>
  <si>
    <t xml:space="preserve">           110 - Doprava</t>
  </si>
  <si>
    <t xml:space="preserve">           120 - Majetkoprávní záležitosti</t>
  </si>
  <si>
    <t xml:space="preserve">           139 - Komunální služby</t>
  </si>
  <si>
    <t xml:space="preserve">ORJ 6xx - Odbor rozvoje a investic                                                                                                                                                                                                                                                                                                                                                                                                                                                                                   </t>
  </si>
  <si>
    <t>v tom: 602 - Vodní hospodářství</t>
  </si>
  <si>
    <t xml:space="preserve">           610 - Doprava</t>
  </si>
  <si>
    <t xml:space="preserve">           615 - Zdravé město a marketing</t>
  </si>
  <si>
    <t xml:space="preserve">           639 - Komunální služby</t>
  </si>
  <si>
    <t xml:space="preserve">           641 - Dotace, návratné finanční výpomoci a dary cizích subjektům </t>
  </si>
  <si>
    <t>ORJ 009 - Obecní živnostenský úřad</t>
  </si>
  <si>
    <r>
      <rPr>
        <b/>
        <i/>
        <sz val="14"/>
        <rFont val="Arial CE"/>
      </rPr>
      <t xml:space="preserve">ORJ 011 - Návštěvnické centrum NJ-město klobouků </t>
    </r>
    <r>
      <rPr>
        <i/>
        <sz val="12"/>
        <rFont val="Arial CE"/>
      </rPr>
      <t>(org. složka)</t>
    </r>
  </si>
  <si>
    <t>ORJ 210 - Odbor dopravy</t>
  </si>
  <si>
    <t>ORJ 313 - Odbor přestupkových agend</t>
  </si>
  <si>
    <t xml:space="preserve">ORJ 317 - Odbor správních agend                                                                                                                                                                                                                                                                                                                                                                                                                                                                                          </t>
  </si>
  <si>
    <t>ORJ 4xx - Odbor školství, kultury a sportu</t>
  </si>
  <si>
    <t>v tom: 414 - Školství, sport</t>
  </si>
  <si>
    <t xml:space="preserve">           416 - Kultura</t>
  </si>
  <si>
    <t xml:space="preserve">           441 - Dotace, návratné finanční výpomoci a dary cizím subjektům</t>
  </si>
  <si>
    <t>ORJ 018 - Městská policie NJ</t>
  </si>
  <si>
    <t xml:space="preserve">ORJ 019 - Odbor organizační </t>
  </si>
  <si>
    <r>
      <rPr>
        <b/>
        <i/>
        <sz val="14"/>
        <rFont val="Arial CE"/>
      </rPr>
      <t>ORJ 919 - Odbor kancelář vedení města</t>
    </r>
    <r>
      <rPr>
        <i/>
        <sz val="12"/>
        <rFont val="Arial CE"/>
      </rPr>
      <t xml:space="preserve">                                                                                                                                                                                                                                                                                                                                                                                                                                                                                                                           </t>
    </r>
  </si>
  <si>
    <t>ORJ 5xx - Odbor sociálních věcí</t>
  </si>
  <si>
    <t>v tom: 528 - Sociální věci</t>
  </si>
  <si>
    <t xml:space="preserve">           541 - Dotace, návratné finanční výpomoci a dary cizím subjektům</t>
  </si>
  <si>
    <r>
      <rPr>
        <b/>
        <i/>
        <sz val="14"/>
        <rFont val="Arial CE"/>
      </rPr>
      <t xml:space="preserve">ORJ 029 - Prosenior NJ </t>
    </r>
    <r>
      <rPr>
        <i/>
        <sz val="12"/>
        <rFont val="Arial CE"/>
      </rPr>
      <t>(org. složka)</t>
    </r>
  </si>
  <si>
    <t>v tom:  Pečovatelská služba (org. 0390)</t>
  </si>
  <si>
    <t xml:space="preserve">            Denní stacionář (org. 1391)</t>
  </si>
  <si>
    <t xml:space="preserve">            Odlehčovací služba Pohoda (org. 1393)</t>
  </si>
  <si>
    <t>ORJ 035 - Odbor životního prostředí</t>
  </si>
  <si>
    <t>ORJ 037 - Odbor bytový</t>
  </si>
  <si>
    <t>ORJ 040 - Odbor územního plánování a stavebního řádu</t>
  </si>
  <si>
    <t xml:space="preserve">v tom: 041 - Dotace cizím subjektům </t>
  </si>
  <si>
    <t>ORJ 741 - Odbor finanční</t>
  </si>
  <si>
    <t>Výdaje celkem</t>
  </si>
  <si>
    <t xml:space="preserve">Příjmy </t>
  </si>
  <si>
    <t xml:space="preserve">Třída 1 - Daňové příjmy                                                                                                                                                                                                                                                                                                                                                                                                                                                                                                  </t>
  </si>
  <si>
    <r>
      <rPr>
        <b/>
        <sz val="10"/>
        <rFont val="Arial CE"/>
      </rPr>
      <t xml:space="preserve">Daň z příjmů fyzických osob placená plátci </t>
    </r>
    <r>
      <rPr>
        <sz val="9"/>
        <rFont val="Arial CE"/>
      </rPr>
      <t>(sdílená část)</t>
    </r>
    <r>
      <rPr>
        <b/>
        <sz val="10"/>
        <rFont val="Arial CE"/>
      </rPr>
      <t xml:space="preserve"> </t>
    </r>
    <r>
      <rPr>
        <sz val="10"/>
        <rFont val="Arial CE"/>
      </rPr>
      <t xml:space="preserve">                                                         </t>
    </r>
  </si>
  <si>
    <r>
      <rPr>
        <b/>
        <sz val="10"/>
        <rFont val="Arial CE"/>
      </rPr>
      <t xml:space="preserve">Daň z příjmů fyzických osob placená plátci </t>
    </r>
    <r>
      <rPr>
        <sz val="9"/>
        <rFont val="Arial CE"/>
      </rPr>
      <t xml:space="preserve">(motivační 1,5%)            </t>
    </r>
    <r>
      <rPr>
        <sz val="10"/>
        <rFont val="Arial CE"/>
      </rPr>
      <t xml:space="preserve">                                       </t>
    </r>
  </si>
  <si>
    <r>
      <rPr>
        <b/>
        <sz val="10"/>
        <rFont val="Arial CE"/>
      </rPr>
      <t>Daň z příjmů fyzických osob placená poplatníky</t>
    </r>
    <r>
      <rPr>
        <sz val="9"/>
        <rFont val="Arial CE"/>
      </rPr>
      <t xml:space="preserve"> (sdílená) </t>
    </r>
    <r>
      <rPr>
        <i/>
        <sz val="9"/>
        <rFont val="Arial CE"/>
      </rPr>
      <t xml:space="preserve"> </t>
    </r>
    <r>
      <rPr>
        <sz val="9"/>
        <rFont val="Arial CE"/>
      </rPr>
      <t xml:space="preserve">      </t>
    </r>
    <r>
      <rPr>
        <b/>
        <sz val="10"/>
        <rFont val="Arial CE"/>
      </rPr>
      <t xml:space="preserve">                                                   </t>
    </r>
  </si>
  <si>
    <r>
      <rPr>
        <b/>
        <sz val="10"/>
        <rFont val="Arial CE"/>
      </rPr>
      <t xml:space="preserve">Daň z příjmů fyzických osob vybíraná srážkou </t>
    </r>
    <r>
      <rPr>
        <sz val="9"/>
        <rFont val="Arial CE"/>
      </rPr>
      <t>(podle zvláštní sazby daně)</t>
    </r>
  </si>
  <si>
    <r>
      <rPr>
        <b/>
        <sz val="10"/>
        <rFont val="Arial CE"/>
      </rPr>
      <t xml:space="preserve">Daň z příjmů právnických osob </t>
    </r>
    <r>
      <rPr>
        <sz val="9"/>
        <rFont val="Arial CE"/>
      </rPr>
      <t xml:space="preserve">(sdílená)        </t>
    </r>
    <r>
      <rPr>
        <b/>
        <sz val="10"/>
        <rFont val="Arial CE"/>
      </rPr>
      <t xml:space="preserve">                                                                     </t>
    </r>
    <r>
      <rPr>
        <sz val="9"/>
        <rFont val="Arial CE"/>
      </rPr>
      <t xml:space="preserve"> </t>
    </r>
  </si>
  <si>
    <r>
      <rPr>
        <b/>
        <sz val="10"/>
        <rFont val="Arial CE"/>
      </rPr>
      <t xml:space="preserve">Daň z příjmů právnických osob za obec </t>
    </r>
    <r>
      <rPr>
        <sz val="9"/>
        <rFont val="Arial CE"/>
      </rPr>
      <t>(za město NJ) = 100%</t>
    </r>
  </si>
  <si>
    <r>
      <rPr>
        <b/>
        <sz val="10"/>
        <rFont val="Arial CE"/>
      </rPr>
      <t xml:space="preserve">Daň z přidané hodnoty </t>
    </r>
    <r>
      <rPr>
        <sz val="9"/>
        <rFont val="Arial CE"/>
      </rPr>
      <t xml:space="preserve">(sdílená) </t>
    </r>
    <r>
      <rPr>
        <b/>
        <sz val="9"/>
        <rFont val="Arial CE"/>
      </rPr>
      <t xml:space="preserve">           </t>
    </r>
    <r>
      <rPr>
        <b/>
        <sz val="10"/>
        <rFont val="Arial CE"/>
      </rPr>
      <t xml:space="preserve">                                                                                  </t>
    </r>
    <r>
      <rPr>
        <b/>
        <sz val="9"/>
        <rFont val="Arial CE"/>
      </rPr>
      <t xml:space="preserve"> </t>
    </r>
  </si>
  <si>
    <t>Odvody za odnětí půdy ze zemědělského půdního fondu</t>
  </si>
  <si>
    <t>Poplatky za odnětí pozemků plnění funkcí lesa</t>
  </si>
  <si>
    <t>Poplatky za povolené vypouštění odpadních vod do vod podzemních</t>
  </si>
  <si>
    <t>Poplatek za provoz systému shromažďování, sběru, přepravy, třídění, využívání a odstraňování komunálních odpadů</t>
  </si>
  <si>
    <t>Poplatek ze psů</t>
  </si>
  <si>
    <t>Poplatek za užívání veřejného prostranství</t>
  </si>
  <si>
    <t xml:space="preserve">z toho: odbor obecní živnostenský úřad </t>
  </si>
  <si>
    <r>
      <rPr>
        <sz val="10"/>
        <rFont val="Arial CE"/>
      </rPr>
      <t xml:space="preserve">            odbor správy majetku (</t>
    </r>
    <r>
      <rPr>
        <sz val="9"/>
        <rFont val="Arial CE"/>
      </rPr>
      <t>překopy+zábory+MP vyhrazené parkování)</t>
    </r>
  </si>
  <si>
    <r>
      <rPr>
        <sz val="10"/>
        <rFont val="Arial CE"/>
      </rPr>
      <t xml:space="preserve">            odbor životního prostředí</t>
    </r>
    <r>
      <rPr>
        <sz val="9"/>
        <rFont val="Arial CE"/>
      </rPr>
      <t xml:space="preserve"> (zvláštní užívání zeleně)</t>
    </r>
  </si>
  <si>
    <r>
      <rPr>
        <b/>
        <sz val="10"/>
        <rFont val="Arial CE"/>
      </rPr>
      <t xml:space="preserve">Poplatek za povolení k vjezdu do vybraných míst </t>
    </r>
    <r>
      <rPr>
        <sz val="9"/>
        <rFont val="Arial CE"/>
      </rPr>
      <t>(od r. 2020: příjmy z parkovacích automatů v městské památkové rezervaci 30 zůstávají TSM, NCNJ: abonentní a rezidentní karty 90)</t>
    </r>
  </si>
  <si>
    <t>z toho: TSM NJ (příjmy z parkovacích automatů )</t>
  </si>
  <si>
    <t xml:space="preserve">            NC NJ (příjmy z abonentních a rezidentních karet)</t>
  </si>
  <si>
    <t>Příjmy za zkoušky z odborné způsobilosti od žadatelů o řidičské oprávnění</t>
  </si>
  <si>
    <t>Příjmy úhrad za dobývání nerostů a poplatků za geologické práce</t>
  </si>
  <si>
    <t>Ostatní odvody z vybraných činností a služeb j.n.</t>
  </si>
  <si>
    <t>Správní poplatky</t>
  </si>
  <si>
    <t>z toho: odbor dopravy</t>
  </si>
  <si>
    <r>
      <rPr>
        <sz val="10"/>
        <rFont val="Arial CE"/>
      </rPr>
      <t xml:space="preserve">            obecní živnostenský úřad </t>
    </r>
    <r>
      <rPr>
        <sz val="9"/>
        <rFont val="Arial CE"/>
      </rPr>
      <t>(nové a změnové výpisy z živnost.rejstříku 378, vydání výpisů z živnost.rejstříku 2,                                                                                                                                                                                                                                                                                                                                                                                                                vydání povolení k hernímu prostoru 30, osvědčení zemědělský podnikatel 10)</t>
    </r>
  </si>
  <si>
    <t xml:space="preserve">            odbor územního plánování a stavebního řádu </t>
  </si>
  <si>
    <r>
      <rPr>
        <sz val="10"/>
        <rFont val="Arial CE"/>
      </rPr>
      <t xml:space="preserve">            odbor správních agend </t>
    </r>
    <r>
      <rPr>
        <sz val="9"/>
        <rFont val="Arial CE"/>
      </rPr>
      <t>(r. 2021: matrika 170, ohlaš. 40, CzechPoint 70, OP+CD 720)</t>
    </r>
  </si>
  <si>
    <r>
      <rPr>
        <sz val="10"/>
        <rFont val="Arial CE"/>
      </rPr>
      <t xml:space="preserve">            odbor životního prostředí </t>
    </r>
    <r>
      <rPr>
        <sz val="9"/>
        <rFont val="Arial CE"/>
      </rPr>
      <t>(r. 2021: rybářské a lovecké lístky 80, vodní hospodářství 100, odpady 2)</t>
    </r>
  </si>
  <si>
    <r>
      <rPr>
        <sz val="10"/>
        <rFont val="Arial CE"/>
      </rPr>
      <t xml:space="preserve">            odbor finanční </t>
    </r>
    <r>
      <rPr>
        <sz val="9"/>
        <rFont val="Arial CE"/>
      </rPr>
      <t>(ověřování + splátkové kalendáře)</t>
    </r>
  </si>
  <si>
    <t>Daň z hazardních her s vvýjimkou dílčí daně z technických her</t>
  </si>
  <si>
    <t>Dílčí daň z technických her</t>
  </si>
  <si>
    <r>
      <rPr>
        <b/>
        <sz val="10"/>
        <rFont val="Arial CE"/>
      </rPr>
      <t xml:space="preserve">Daň z nemovitých věcí </t>
    </r>
    <r>
      <rPr>
        <sz val="9"/>
        <rFont val="Arial CE"/>
      </rPr>
      <t xml:space="preserve">(výlučná)    </t>
    </r>
    <r>
      <rPr>
        <b/>
        <sz val="10"/>
        <rFont val="Arial CE"/>
      </rPr>
      <t xml:space="preserve">                                                                                                              </t>
    </r>
  </si>
  <si>
    <t>Příjmy z vlastní činnosti</t>
  </si>
  <si>
    <t xml:space="preserve">               § 1019 ostatní zemědělská a potravinářská činnost a rozvoj</t>
  </si>
  <si>
    <r>
      <rPr>
        <sz val="10"/>
        <rFont val="Arial CE"/>
      </rPr>
      <t xml:space="preserve">               § 1031 pěstební činnost </t>
    </r>
    <r>
      <rPr>
        <sz val="9"/>
        <rFont val="Arial CE"/>
      </rPr>
      <t>(těžba v městských lesích)</t>
    </r>
  </si>
  <si>
    <r>
      <rPr>
        <sz val="10"/>
        <rFont val="Arial CE"/>
      </rPr>
      <t xml:space="preserve">               § 2143 cestovní ruch</t>
    </r>
    <r>
      <rPr>
        <sz val="9"/>
        <rFont val="Arial CE"/>
      </rPr>
      <t xml:space="preserve"> (Návštěvnické centrum NJ-město klobouků)</t>
    </r>
  </si>
  <si>
    <r>
      <rPr>
        <sz val="10"/>
        <rFont val="Arial CE"/>
      </rPr>
      <t xml:space="preserve">               § 2229 Baby-Senior taxi </t>
    </r>
    <r>
      <rPr>
        <sz val="9"/>
        <rFont val="Arial CE"/>
      </rPr>
      <t>(prodej průkazek)</t>
    </r>
  </si>
  <si>
    <r>
      <rPr>
        <sz val="10"/>
        <rFont val="Arial CE"/>
      </rPr>
      <t xml:space="preserve">               § 3412 sportovní zařízení v majetku obce</t>
    </r>
    <r>
      <rPr>
        <sz val="9"/>
        <rFont val="Arial CE"/>
      </rPr>
      <t xml:space="preserve"> (bazé</t>
    </r>
    <r>
      <rPr>
        <sz val="9"/>
        <rFont val="Arial CE"/>
      </rPr>
      <t>n: Basketbalový klub,o.s.-vstupné, nájmy)</t>
    </r>
  </si>
  <si>
    <r>
      <rPr>
        <sz val="10"/>
        <rFont val="Arial CE"/>
      </rPr>
      <t xml:space="preserve">               § 3412 sportovní zařízení v majetku obce </t>
    </r>
    <r>
      <rPr>
        <sz val="9"/>
        <rFont val="Arial CE"/>
      </rPr>
      <t>(zimní stadión: Hokejový klub-vstupné, nájmy)</t>
    </r>
  </si>
  <si>
    <r>
      <rPr>
        <sz val="10"/>
        <rFont val="Arial CE"/>
      </rPr>
      <t xml:space="preserve">               § 3612 tržby za správu SVJ</t>
    </r>
    <r>
      <rPr>
        <sz val="9"/>
        <rFont val="Arial CE"/>
      </rPr>
      <t xml:space="preserve"> (odbor bytový)</t>
    </r>
  </si>
  <si>
    <r>
      <rPr>
        <sz val="10"/>
        <rFont val="Arial CE"/>
      </rPr>
      <t xml:space="preserve">               § 3613 tržby za metropolitní síť </t>
    </r>
    <r>
      <rPr>
        <sz val="9"/>
        <rFont val="Arial CE"/>
      </rPr>
      <t>(odbor organizační)</t>
    </r>
  </si>
  <si>
    <r>
      <rPr>
        <sz val="10"/>
        <rFont val="Arial CE"/>
      </rPr>
      <t xml:space="preserve">               § 3632 poplatky za hrobová místa</t>
    </r>
    <r>
      <rPr>
        <sz val="9"/>
        <rFont val="Arial CE"/>
      </rPr>
      <t xml:space="preserve"> (odbor správy majetku: od r. 2020 zůstává TSM)</t>
    </r>
  </si>
  <si>
    <r>
      <rPr>
        <sz val="10"/>
        <rFont val="Arial CE"/>
      </rPr>
      <t xml:space="preserve">               § 4351 </t>
    </r>
    <r>
      <rPr>
        <sz val="10"/>
        <rFont val="Arial CE"/>
      </rPr>
      <t xml:space="preserve">pečovatelská služba, denní stacionář, odlehč. služba Pohoda </t>
    </r>
    <r>
      <rPr>
        <sz val="9"/>
        <rFont val="Arial CE"/>
      </rPr>
      <t>(Prosenior NJ)</t>
    </r>
  </si>
  <si>
    <r>
      <rPr>
        <sz val="10"/>
        <rFont val="Arial CE"/>
      </rPr>
      <t xml:space="preserve">               § 5311 bezpečnost a veřejný pořádek </t>
    </r>
    <r>
      <rPr>
        <sz val="9"/>
        <rFont val="Arial CE"/>
      </rPr>
      <t>(Městská policie)</t>
    </r>
  </si>
  <si>
    <r>
      <rPr>
        <sz val="10"/>
        <rFont val="Arial CE"/>
      </rPr>
      <t xml:space="preserve">               § 6171 činnost místní správy </t>
    </r>
    <r>
      <rPr>
        <sz val="9"/>
        <rFont val="Arial CE"/>
      </rPr>
      <t>(kopírování pro veřejnost)</t>
    </r>
  </si>
  <si>
    <r>
      <rPr>
        <b/>
        <sz val="10"/>
        <rFont val="Arial CE"/>
      </rPr>
      <t xml:space="preserve">Ostatní příjmy z vlastní činnosti </t>
    </r>
    <r>
      <rPr>
        <sz val="9"/>
        <rFont val="Arial CE"/>
      </rPr>
      <t>(odbor správy majetku: věcná břemena s DPH 21%)</t>
    </r>
  </si>
  <si>
    <r>
      <rPr>
        <b/>
        <sz val="10"/>
        <rFont val="Arial CE"/>
      </rPr>
      <t xml:space="preserve">Odvody příspěvkových organizací </t>
    </r>
    <r>
      <rPr>
        <sz val="9"/>
        <rFont val="Arial CE"/>
      </rPr>
      <t>(z fondu investic: odpisy z nemovitého majetku)</t>
    </r>
    <r>
      <rPr>
        <b/>
        <i/>
        <sz val="9"/>
        <rFont val="Arial CE"/>
      </rPr>
      <t xml:space="preserve">       </t>
    </r>
    <r>
      <rPr>
        <sz val="9"/>
        <rFont val="Arial CE"/>
      </rPr>
      <t xml:space="preserve">      </t>
    </r>
  </si>
  <si>
    <r>
      <rPr>
        <b/>
        <sz val="10"/>
        <rFont val="Arial CE"/>
      </rPr>
      <t xml:space="preserve">Příjmy z pronájmu pozemků </t>
    </r>
    <r>
      <rPr>
        <sz val="9"/>
        <rFont val="Arial CE"/>
      </rPr>
      <t>(odbor správy majetku: s 0% DPH 1140, s 21% DPH 850 + zápočet oplocení p. Perútka 8,78833)</t>
    </r>
  </si>
  <si>
    <t>Příjmy z pronájmů ostatních nemovitých věcí a jejich částí</t>
  </si>
  <si>
    <r>
      <rPr>
        <sz val="10"/>
        <rFont val="Arial CE"/>
      </rPr>
      <t xml:space="preserve">              § 2212 vyhrazené parkování formou nájemní smlouvy </t>
    </r>
    <r>
      <rPr>
        <sz val="9"/>
        <rFont val="Arial CE"/>
      </rPr>
      <t>(odbor správy majetku: v režimu DPH)</t>
    </r>
  </si>
  <si>
    <r>
      <rPr>
        <sz val="10"/>
        <rFont val="Arial CE"/>
      </rPr>
      <t xml:space="preserve">              § 2310 nájem ostatních nemovitostí </t>
    </r>
    <r>
      <rPr>
        <sz val="9"/>
        <rFont val="Arial CE"/>
      </rPr>
      <t>(odbor správy majetku)</t>
    </r>
  </si>
  <si>
    <r>
      <rPr>
        <sz val="10"/>
        <rFont val="Arial CE"/>
      </rPr>
      <t xml:space="preserve">              § 2321 nájem Kanalizace od SmVaK (DSO) </t>
    </r>
    <r>
      <rPr>
        <sz val="9"/>
        <rFont val="Arial CE"/>
      </rPr>
      <t>- účet 2310441 Plán financování obnovy (PFO)</t>
    </r>
  </si>
  <si>
    <r>
      <rPr>
        <sz val="10"/>
        <rFont val="Arial CE"/>
      </rPr>
      <t xml:space="preserve">              § 3122 nájem EDUCA </t>
    </r>
    <r>
      <rPr>
        <sz val="9"/>
        <rFont val="Arial CE"/>
      </rPr>
      <t>(odbor bytový)</t>
    </r>
  </si>
  <si>
    <r>
      <rPr>
        <sz val="10"/>
        <rFont val="Arial CE"/>
      </rPr>
      <t xml:space="preserve">              § 3612 z bytů v majetku města</t>
    </r>
    <r>
      <rPr>
        <sz val="9"/>
        <rFont val="Arial CE"/>
      </rPr>
      <t xml:space="preserve"> (odbor bytový: nájmy 32000, zálohy na služby 18500, vyplácení přeplatků, pacht Suvorovova 441,650)</t>
    </r>
  </si>
  <si>
    <r>
      <rPr>
        <sz val="10"/>
        <rFont val="Arial CE"/>
      </rPr>
      <t xml:space="preserve">              § 3613 v nebytových prostorech </t>
    </r>
    <r>
      <rPr>
        <sz val="9"/>
        <rFont val="Arial CE"/>
      </rPr>
      <t>(odbor organizační: Kavamat 3, Metropolitní síť 83,405+1194,7929)</t>
    </r>
  </si>
  <si>
    <r>
      <rPr>
        <sz val="10"/>
        <rFont val="Arial CE"/>
      </rPr>
      <t xml:space="preserve">              § 3613 v nebyt.prostorech </t>
    </r>
    <r>
      <rPr>
        <sz val="9"/>
        <rFont val="Arial CE"/>
      </rPr>
      <t>(odbor správy majetku: s DPH 0% je 100 =nájem plynovodu, s DPH 21%=325)</t>
    </r>
  </si>
  <si>
    <r>
      <rPr>
        <sz val="10"/>
        <rFont val="Arial CE"/>
      </rPr>
      <t xml:space="preserve">              § 3613 v nebytových prostorech </t>
    </r>
    <r>
      <rPr>
        <sz val="9"/>
        <rFont val="Arial CE"/>
      </rPr>
      <t>(odbor bytový: nájmy 13500, zálohy na služby 3000, kryté stání Loučka 240, krátkodobé 20, Hotel Praha 746, zálohy na služby a energie Hotel Praha 216, nájem teplovod Smet.sady 134)</t>
    </r>
  </si>
  <si>
    <r>
      <rPr>
        <sz val="10"/>
        <rFont val="Arial CE"/>
      </rPr>
      <t xml:space="preserve">              § 3634 v zásobování teplem </t>
    </r>
    <r>
      <rPr>
        <sz val="9"/>
        <rFont val="Arial CE"/>
      </rPr>
      <t>(VEOLIA)</t>
    </r>
  </si>
  <si>
    <r>
      <rPr>
        <sz val="10"/>
        <rFont val="Arial CE"/>
      </rPr>
      <t xml:space="preserve">              § 4351 v domech s pečovatelskou službou </t>
    </r>
    <r>
      <rPr>
        <sz val="9"/>
        <rFont val="Arial CE"/>
      </rPr>
      <t xml:space="preserve">(nájmy: krátkodobé 18), </t>
    </r>
    <r>
      <rPr>
        <sz val="8"/>
        <rFont val="Arial CE"/>
      </rPr>
      <t>pozn.:skut.k 31.8.2020 vč.pol.2329</t>
    </r>
  </si>
  <si>
    <r>
      <rPr>
        <sz val="10"/>
        <rFont val="Arial CE"/>
      </rPr>
      <t xml:space="preserve">              § 4379 v klubech seniorů </t>
    </r>
    <r>
      <rPr>
        <sz val="9"/>
        <rFont val="Arial CE"/>
      </rPr>
      <t xml:space="preserve">(nájmy: dlouhodobé 16, krátkodobé 11) </t>
    </r>
  </si>
  <si>
    <t>Příjmy z úroků</t>
  </si>
  <si>
    <t>Sankční platby přijaté od jiných subjektů</t>
  </si>
  <si>
    <r>
      <rPr>
        <sz val="10"/>
        <rFont val="Arial CE"/>
      </rPr>
      <t xml:space="preserve">z toho:  § 2141 vnitřní obchod </t>
    </r>
    <r>
      <rPr>
        <sz val="9"/>
        <rFont val="Arial CE"/>
      </rPr>
      <t>(obecní živnostenský úřad: ve správním řízení 5, v blokovém řízení 15)</t>
    </r>
  </si>
  <si>
    <t xml:space="preserve">             § 2169 stavební úřad</t>
  </si>
  <si>
    <t xml:space="preserve">             § 2223 dopravní přestupky </t>
  </si>
  <si>
    <r>
      <rPr>
        <sz val="10"/>
        <rFont val="Arial CE"/>
      </rPr>
      <t xml:space="preserve">             § 2223 dopravní přestupky </t>
    </r>
    <r>
      <rPr>
        <sz val="9"/>
        <rFont val="Arial CE"/>
      </rPr>
      <t>(radary)</t>
    </r>
  </si>
  <si>
    <t xml:space="preserve">             § 3613 smluvní pokuta Čerťák (odbor bytový)</t>
  </si>
  <si>
    <t xml:space="preserve">             § 3633 smluvní pokuta IS RD Za Školou</t>
  </si>
  <si>
    <t xml:space="preserve">             § 3769 ostatní správa v ochraně životního prostředí       </t>
  </si>
  <si>
    <r>
      <rPr>
        <sz val="10"/>
        <rFont val="Arial CE"/>
      </rPr>
      <t xml:space="preserve">             § 5311 bezpečnost a veřejný pořádek </t>
    </r>
    <r>
      <rPr>
        <sz val="9"/>
        <rFont val="Arial CE"/>
      </rPr>
      <t>(Městská policie: na místě zaplacené 500, na místě nezapl. 150)</t>
    </r>
  </si>
  <si>
    <r>
      <rPr>
        <sz val="10"/>
        <rFont val="Arial CE"/>
      </rPr>
      <t xml:space="preserve">             § 6171 pokuty </t>
    </r>
    <r>
      <rPr>
        <sz val="9"/>
        <rFont val="Arial CE"/>
      </rPr>
      <t>(odbor přestupkových agend)</t>
    </r>
  </si>
  <si>
    <r>
      <rPr>
        <sz val="10"/>
        <rFont val="Arial CE"/>
      </rPr>
      <t xml:space="preserve">             § 6171 pokuty </t>
    </r>
    <r>
      <rPr>
        <sz val="9"/>
        <rFont val="Arial CE"/>
      </rPr>
      <t>(odbor správních agend)</t>
    </r>
  </si>
  <si>
    <r>
      <rPr>
        <b/>
        <sz val="10"/>
        <rFont val="Arial CE"/>
      </rPr>
      <t xml:space="preserve">Ostatní příjmy z fin.vypořádání předch.let od jiných veřej.rozpočtů </t>
    </r>
    <r>
      <rPr>
        <sz val="10"/>
        <rFont val="Arial CE"/>
      </rPr>
      <t xml:space="preserve">doplatek dotace 2019-volby do EP </t>
    </r>
  </si>
  <si>
    <r>
      <rPr>
        <b/>
        <sz val="10"/>
        <rFont val="Arial CE"/>
      </rPr>
      <t xml:space="preserve">Ostatní přijaté vratky transferů </t>
    </r>
    <r>
      <rPr>
        <sz val="10"/>
        <rFont val="Arial CE"/>
      </rPr>
      <t>(příspěvků a dotací)</t>
    </r>
  </si>
  <si>
    <t>z toho § 3111 MŠ vratky příspěvků 2019 na energie (org.305+307+309)</t>
  </si>
  <si>
    <t xml:space="preserve">           § 3111 MŠ vratky dotace 2019 - Šablony I (org. 0309)</t>
  </si>
  <si>
    <t xml:space="preserve">           § 3111 vratky veř.výpomoci 2019 - individuální žádosti kultura+sport (org.1180)</t>
  </si>
  <si>
    <t xml:space="preserve">           § 3113 ZŠ vratky příspěvků 2019 na energie (org.321+325)</t>
  </si>
  <si>
    <t xml:space="preserve">           § 3113 ZŠ vratky dotace 2019 - Šablony I  (org. 0323)</t>
  </si>
  <si>
    <t xml:space="preserve">           § 3233 SVČ Fokus vratky příspěvků 2019 na energie</t>
  </si>
  <si>
    <t xml:space="preserve">           § 3311 Beskydské divadlo vratky příspěvků 2019 na energie</t>
  </si>
  <si>
    <t xml:space="preserve">           § 3392 MěKS vratky příspěvků 2019 na energie</t>
  </si>
  <si>
    <t xml:space="preserve">           § 3412 Basketbalový klub z.s.-vratky příspěvků 2019 energie a provoz</t>
  </si>
  <si>
    <t xml:space="preserve">           § 3419 vratky veř.výpomoci 2019 - sport (org.1134, 1136,1137, 1141, 1180)</t>
  </si>
  <si>
    <t xml:space="preserve">           § 3429 vratky veř.výpomoci 2019 - sport (org. 1141)</t>
  </si>
  <si>
    <t xml:space="preserve">           § 4171- § 4379 dávky a podpory v soc.zabezpečení z minulých let</t>
  </si>
  <si>
    <t>Příjmy z prodeje krd a drobného dld majetku</t>
  </si>
  <si>
    <r>
      <rPr>
        <b/>
        <sz val="10"/>
        <rFont val="Arial CE"/>
      </rPr>
      <t xml:space="preserve">Přijaté neinvestiční dary </t>
    </r>
    <r>
      <rPr>
        <sz val="9"/>
        <rFont val="Arial CE"/>
      </rPr>
      <t xml:space="preserve">(Veolia Dalkia ČR-financování kulturních a společenských akcí města) </t>
    </r>
  </si>
  <si>
    <t>Přijaté pojistné náhrady</t>
  </si>
  <si>
    <t>Přijaté nekapitálové příspěvky a náhrady</t>
  </si>
  <si>
    <r>
      <rPr>
        <sz val="10"/>
        <rFont val="Arial CE"/>
      </rPr>
      <t xml:space="preserve">             § 2141 vnitřní obchod </t>
    </r>
    <r>
      <rPr>
        <sz val="9"/>
        <rFont val="Arial CE"/>
      </rPr>
      <t>(obecní živnostenský úřad: náklady řízení)</t>
    </r>
  </si>
  <si>
    <r>
      <rPr>
        <sz val="10"/>
        <rFont val="Arial CE"/>
      </rPr>
      <t xml:space="preserve">             § 2223 bezpečnost silničního provozu </t>
    </r>
    <r>
      <rPr>
        <sz val="9"/>
        <rFont val="Arial CE"/>
      </rPr>
      <t>(dopravní přestupky: náklady řízení)</t>
    </r>
  </si>
  <si>
    <r>
      <rPr>
        <sz val="10"/>
        <rFont val="Arial CE"/>
      </rPr>
      <t xml:space="preserve">             § 3612 bytové hospodářství </t>
    </r>
    <r>
      <rPr>
        <sz val="9"/>
        <rFont val="Arial CE"/>
      </rPr>
      <t>(odbor bytový: úhrada nákladů soudních řízení+poplatky z prodlení)</t>
    </r>
  </si>
  <si>
    <r>
      <rPr>
        <sz val="10"/>
        <rFont val="Arial CE"/>
      </rPr>
      <t xml:space="preserve">             § 3613 nebytové hospodářství </t>
    </r>
    <r>
      <rPr>
        <sz val="9"/>
        <rFont val="Arial CE"/>
      </rPr>
      <t>(odb.bytový: úhrada nákladů soudních řízení+popl.z prodlení,OSM 3,84798)</t>
    </r>
  </si>
  <si>
    <r>
      <rPr>
        <sz val="10"/>
        <rFont val="Arial CE"/>
      </rPr>
      <t xml:space="preserve">             § 3631 veřejné osvětlení (náhrada za </t>
    </r>
    <r>
      <rPr>
        <sz val="9"/>
        <rFont val="Arial CE"/>
      </rPr>
      <t>VO na území obce Šenov u NJ+F67</t>
    </r>
    <r>
      <rPr>
        <sz val="10"/>
        <rFont val="Arial CE"/>
      </rPr>
      <t>)</t>
    </r>
  </si>
  <si>
    <r>
      <rPr>
        <sz val="10"/>
        <rFont val="Arial CE"/>
      </rPr>
      <t xml:space="preserve">             § 3632 pohřebnictví (</t>
    </r>
    <r>
      <rPr>
        <sz val="9"/>
        <rFont val="Arial CE"/>
      </rPr>
      <t>příspěvek od Česko-něm fondu budoucnosti na sanaci čestných hrobů NJ</t>
    </r>
    <r>
      <rPr>
        <sz val="10"/>
        <rFont val="Arial CE"/>
      </rPr>
      <t>)</t>
    </r>
  </si>
  <si>
    <r>
      <rPr>
        <sz val="10"/>
        <rFont val="Arial CE"/>
      </rPr>
      <t xml:space="preserve">             § 3639 náklady řízení </t>
    </r>
    <r>
      <rPr>
        <sz val="9"/>
        <rFont val="Arial CE"/>
      </rPr>
      <t>(odbor finanční)</t>
    </r>
  </si>
  <si>
    <r>
      <rPr>
        <sz val="10"/>
        <rFont val="Arial CE"/>
      </rPr>
      <t xml:space="preserve">             § 3722 sběr a svoz komunálních odpadů </t>
    </r>
    <r>
      <rPr>
        <sz val="9"/>
        <rFont val="Arial CE"/>
      </rPr>
      <t xml:space="preserve">(příspěvek od EKOKOMu)               </t>
    </r>
  </si>
  <si>
    <r>
      <rPr>
        <sz val="10"/>
        <rFont val="Arial CE"/>
      </rPr>
      <t xml:space="preserve">             § 3769 ostatní správa v ochraně životního prostředí</t>
    </r>
    <r>
      <rPr>
        <sz val="9"/>
        <rFont val="Arial CE"/>
      </rPr>
      <t xml:space="preserve">       </t>
    </r>
  </si>
  <si>
    <r>
      <rPr>
        <sz val="10"/>
        <rFont val="Arial CE"/>
      </rPr>
      <t xml:space="preserve">             § 4329 ostatní soc.péče a pomoc dětem a mládeži</t>
    </r>
    <r>
      <rPr>
        <sz val="9"/>
        <rFont val="Arial CE"/>
      </rPr>
      <t xml:space="preserve">   </t>
    </r>
  </si>
  <si>
    <r>
      <rPr>
        <sz val="10"/>
        <rFont val="Arial CE"/>
      </rPr>
      <t xml:space="preserve">             § 5311 bezpečnost a veřejný pořádek</t>
    </r>
    <r>
      <rPr>
        <sz val="9"/>
        <rFont val="Arial CE"/>
      </rPr>
      <t xml:space="preserve"> (Městská policie: náhrady)</t>
    </r>
  </si>
  <si>
    <r>
      <rPr>
        <sz val="10"/>
        <rFont val="Arial CE"/>
      </rPr>
      <t xml:space="preserve">             § 6171 činnost místní správy </t>
    </r>
    <r>
      <rPr>
        <sz val="9"/>
        <rFont val="Arial CE"/>
      </rPr>
      <t>(odbor přestupkových agend: náklady řízení)</t>
    </r>
  </si>
  <si>
    <r>
      <rPr>
        <sz val="10"/>
        <rFont val="Arial CE"/>
      </rPr>
      <t xml:space="preserve">             § 6171 činnost místní správy</t>
    </r>
    <r>
      <rPr>
        <sz val="9"/>
        <rFont val="Arial CE"/>
      </rPr>
      <t xml:space="preserve"> (náhrady škod, dobropisy z min.let)</t>
    </r>
  </si>
  <si>
    <r>
      <rPr>
        <sz val="10"/>
        <rFont val="Arial CE"/>
      </rPr>
      <t xml:space="preserve">             § 6171 činnost místní správy</t>
    </r>
    <r>
      <rPr>
        <sz val="9"/>
        <rFont val="Arial CE"/>
      </rPr>
      <t xml:space="preserve"> (odbor finanční: exekuční a soudní náklady)</t>
    </r>
  </si>
  <si>
    <r>
      <rPr>
        <sz val="10"/>
        <rFont val="Arial CE"/>
      </rPr>
      <t xml:space="preserve">             § 6409 ostatní činnosti j.n. (</t>
    </r>
    <r>
      <rPr>
        <sz val="9"/>
        <rFont val="Arial CE"/>
      </rPr>
      <t>příspěvek na opravu kamenného divadla</t>
    </r>
    <r>
      <rPr>
        <sz val="10"/>
        <rFont val="Arial CE"/>
      </rPr>
      <t>)</t>
    </r>
  </si>
  <si>
    <t>Neidentifikované příjmy</t>
  </si>
  <si>
    <t>Ostatní nedaňové příjmy j.n.</t>
  </si>
  <si>
    <t>z toho: § 2292 dopravní obslužnost (odbor dopravy)</t>
  </si>
  <si>
    <r>
      <rPr>
        <sz val="10"/>
        <rFont val="Arial CE"/>
      </rPr>
      <t xml:space="preserve">             § 3341 kabelová televize Straník-přihlášky</t>
    </r>
    <r>
      <rPr>
        <sz val="9"/>
        <rFont val="Arial CE"/>
      </rPr>
      <t xml:space="preserve"> </t>
    </r>
    <r>
      <rPr>
        <sz val="10"/>
        <rFont val="Arial CE"/>
      </rPr>
      <t>(odbor správy majetku)</t>
    </r>
  </si>
  <si>
    <t xml:space="preserve">             § 3612 bytové hospodářství (odbor bytový)</t>
  </si>
  <si>
    <t xml:space="preserve">             § 3613 nebytové hospodářství (odbor bytový)</t>
  </si>
  <si>
    <r>
      <rPr>
        <sz val="10"/>
        <rFont val="Arial CE"/>
      </rPr>
      <t xml:space="preserve">             § 3613 chata Jičínka </t>
    </r>
    <r>
      <rPr>
        <sz val="10"/>
        <rFont val="Arial CE"/>
      </rPr>
      <t>(org. 4381)=účet 2310440, OSM kovošrot 0,310 + ostatní=účet 2310600</t>
    </r>
  </si>
  <si>
    <r>
      <rPr>
        <sz val="10"/>
        <rFont val="Arial CE"/>
      </rPr>
      <t xml:space="preserve">             § 3632</t>
    </r>
    <r>
      <rPr>
        <sz val="10"/>
        <rFont val="Arial CE"/>
      </rPr>
      <t xml:space="preserve"> pohřebnictví (odbor sociálních věcí - příjmy ze sociálních pohřbů)</t>
    </r>
  </si>
  <si>
    <r>
      <rPr>
        <sz val="10"/>
        <rFont val="Arial CE"/>
      </rPr>
      <t xml:space="preserve">             § 3639 provoz internetu ve Straníku </t>
    </r>
    <r>
      <rPr>
        <sz val="10"/>
        <rFont val="Arial CE"/>
      </rPr>
      <t>(odbor správy majetku)</t>
    </r>
  </si>
  <si>
    <t xml:space="preserve">             § 4351 domy s pečovatelskou službou (odbor bytový)</t>
  </si>
  <si>
    <t xml:space="preserve">             § 4399 ostatní záležitosti soc.věcí a politiky zaměstnanosti</t>
  </si>
  <si>
    <t xml:space="preserve">             § 6171 odbor organizační (DPH)</t>
  </si>
  <si>
    <t xml:space="preserve">             § 6409 odbor organizační </t>
  </si>
  <si>
    <r>
      <rPr>
        <b/>
        <sz val="10"/>
        <rFont val="Arial CE"/>
      </rPr>
      <t xml:space="preserve">Splátky půjč.prostředků od podnik.subjektů-FO </t>
    </r>
    <r>
      <rPr>
        <sz val="10"/>
        <rFont val="Arial CE"/>
      </rPr>
      <t>(návratná fin.výpomoc 2019 org.1180-Ing.Žitníková, projekt Beránek s plandavým ouškem)</t>
    </r>
  </si>
  <si>
    <r>
      <rPr>
        <b/>
        <sz val="10"/>
        <rFont val="Arial CE"/>
      </rPr>
      <t xml:space="preserve">Příjmy z prodeje pozemků </t>
    </r>
    <r>
      <rPr>
        <sz val="10"/>
        <rFont val="Arial CE"/>
      </rPr>
      <t>(v mil. Kč: za Kauflandem 5,95 + Dolní Brána 3,9 + IS Za Školou 3.etapa 44,064+ Lokalita Pod Skalkou 14,478 + chata Bludovice 0,8 + SBD Venkov 1,8 + trafostanice ČP 0,4 + ost. 2,5)</t>
    </r>
  </si>
  <si>
    <t xml:space="preserve">Příjmy z prodeje ostatních nemovitých věcí a jejich částí </t>
  </si>
  <si>
    <t xml:space="preserve">z toho: bytový dům Purkyňova 40 (podíl města 64/100) </t>
  </si>
  <si>
    <t xml:space="preserve">            nebytový dům Karla Čapka 15</t>
  </si>
  <si>
    <t xml:space="preserve">            bytový dům Hoblíkova 32</t>
  </si>
  <si>
    <t xml:space="preserve">            bytový dům Dolní Brána 26</t>
  </si>
  <si>
    <t xml:space="preserve">            nebytový dům Hoblíkova 3</t>
  </si>
  <si>
    <t xml:space="preserve">            nebytový dům U Jezu - celý areál - odhad</t>
  </si>
  <si>
    <t xml:space="preserve">            bytový dům Beskydská 176 (Škola života) - odhad</t>
  </si>
  <si>
    <t xml:space="preserve">            vodovodní řady města na pozemcích Žilina, Bludovice, NJ (ORJ 102)</t>
  </si>
  <si>
    <r>
      <rPr>
        <b/>
        <sz val="10"/>
        <rFont val="Arial CE"/>
      </rPr>
      <t>Příjmy z prodeje ostatního hmotného dlouhodobého majetku</t>
    </r>
    <r>
      <rPr>
        <sz val="9"/>
        <rFont val="Arial CE"/>
      </rPr>
      <t xml:space="preserve"> </t>
    </r>
  </si>
  <si>
    <r>
      <rPr>
        <b/>
        <sz val="10"/>
        <rFont val="Arial CE"/>
      </rPr>
      <t>Ostatní příjmy z prodeje dlouhodobého majetku</t>
    </r>
    <r>
      <rPr>
        <sz val="9"/>
        <rFont val="Arial CE"/>
      </rPr>
      <t xml:space="preserve"> (odbor organizační: metropolitní síť)</t>
    </r>
  </si>
  <si>
    <r>
      <rPr>
        <b/>
        <sz val="10"/>
        <rFont val="Arial CE"/>
      </rPr>
      <t xml:space="preserve">Přijaté dary na pořízení dlouhodobého majetku </t>
    </r>
    <r>
      <rPr>
        <sz val="10"/>
        <rFont val="Arial CE"/>
      </rPr>
      <t>(chodník Na Valech-spoluúčast, komunikace ČSAD r. 2021)</t>
    </r>
  </si>
  <si>
    <t>Přijaté příspěvky na pořízení dlouhodobého majetku</t>
  </si>
  <si>
    <t>Ostatní investiční příjmy j.n.</t>
  </si>
  <si>
    <t xml:space="preserve">             Modernizace kotelny zimního stadionu- bude u dotace na Rekonstrukci střechy</t>
  </si>
  <si>
    <t xml:space="preserve">             Vybudování kotelny v DPS U Jičínky 25</t>
  </si>
  <si>
    <t xml:space="preserve">             Místo pro přecházení Bludovice u České školy</t>
  </si>
  <si>
    <t xml:space="preserve">             Stavební úprava a nástavba objektu SVČ Fokus</t>
  </si>
  <si>
    <t>Třída 4  - Přijaté transfery</t>
  </si>
  <si>
    <t xml:space="preserve">Neinvestiční přijaté transfery z všeobecné pokladní správy státního rozpočtu </t>
  </si>
  <si>
    <t xml:space="preserve">               kompenzační bonus v souvislosti s kriz.opatřeními spojenými s výskytem koronaviru </t>
  </si>
  <si>
    <t xml:space="preserve">               na společné volby do Senátu Parlamentu ČR a zastupitelstev krajů</t>
  </si>
  <si>
    <r>
      <rPr>
        <b/>
        <sz val="10"/>
        <rFont val="Arial CE"/>
      </rPr>
      <t xml:space="preserve">Neinvestiční přijaté transfery ze státního rozpočtu v rámci souhrnného dotačního vztahu </t>
    </r>
    <r>
      <rPr>
        <sz val="10"/>
        <rFont val="Arial CE"/>
      </rPr>
      <t>(2020: příspěvek na výkon státní správy, z toho základní působnost 958935,0949 + matriční působnost 709659,9826 + příspěvek za narozené 520950 + příspěvek za sňatek 433320 + příspěvek za úmrtí 542800 + příspěvek za určení otcovství 39919 + stavební působnost 4236063,649 + pověřený obecní úřad 7723640,937 + rozšířená působnost 23616817,65 + obč.průkazy (5454 ks) + veřejné opatrovnictví 1363000 (47 opatr.) + 1530786 územní plánování + 236555 řidičské průkazy (2057 ks) + zaokrouhleno)                                                                                                                                                                                                                                                                                                                                                                                                                                                                     (2021: ...................................)</t>
    </r>
  </si>
  <si>
    <t xml:space="preserve">Ostatní neinvestiční přijaté transfery ze státního rozpočtu </t>
  </si>
  <si>
    <r>
      <rPr>
        <sz val="10"/>
        <rFont val="Arial CE"/>
      </rPr>
      <t xml:space="preserve">              ostatní </t>
    </r>
    <r>
      <rPr>
        <sz val="9"/>
        <rFont val="Arial CE"/>
      </rPr>
      <t>(minimální podíl melioračních dřevin, aj.)</t>
    </r>
  </si>
  <si>
    <t xml:space="preserve">              Výkon pěstounské péče (ÚZ 13010)</t>
  </si>
  <si>
    <t xml:space="preserve">              Výkon sociálněprávní ochrany dětí (ÚZ 13011)</t>
  </si>
  <si>
    <t xml:space="preserve">              Na výkon sociální práce mimo SPOD (ÚZ 13015)</t>
  </si>
  <si>
    <t xml:space="preserve">                                                        ÚZ 13351</t>
  </si>
  <si>
    <t xml:space="preserve">              MMR IROP SR NIV-EÚ bytového domu Revoluční 36 (ÚZ 17015)</t>
  </si>
  <si>
    <t xml:space="preserve">              MMR IROP EU NIV-EÚ bytového domu Revoluční 36 (ÚZ 17016)</t>
  </si>
  <si>
    <t xml:space="preserve">              Mze-zmírnění dopadů kůrovcové kalamity v lesích 1.10.2017-31.12.2018 (ÚZ 29030)</t>
  </si>
  <si>
    <t xml:space="preserve">                                                 ÚZ 33063</t>
  </si>
  <si>
    <t xml:space="preserve">                                                 ÚZ 34053</t>
  </si>
  <si>
    <t xml:space="preserve">              Min.kultury-Program regenerace MPR a MPZ</t>
  </si>
  <si>
    <t>Neinvestiční přijaté transfery od obcí</t>
  </si>
  <si>
    <r>
      <rPr>
        <sz val="10"/>
        <rFont val="Arial CE"/>
      </rPr>
      <t xml:space="preserve">z toho: za veřejnoprávní smlouvy s ostatními obcemi na úseku přestupků </t>
    </r>
    <r>
      <rPr>
        <sz val="9"/>
        <rFont val="Arial CE"/>
      </rPr>
      <t>(odbor přestupkových agend)</t>
    </r>
  </si>
  <si>
    <r>
      <rPr>
        <sz val="10"/>
        <rFont val="Arial CE"/>
      </rPr>
      <t xml:space="preserve">             za veřejnopravní smlouvy s ostatními obcemi </t>
    </r>
    <r>
      <rPr>
        <sz val="9"/>
        <rFont val="Arial CE"/>
      </rPr>
      <t>(Městská policie-odchyt psů)</t>
    </r>
  </si>
  <si>
    <t xml:space="preserve">             za poskytování odlehčovací služby Pohoda (ProSenior NJ)</t>
  </si>
  <si>
    <t xml:space="preserve">             na poskytování podpory soc.služeb dle zákona o soc.službách ORJ 541, org.1113</t>
  </si>
  <si>
    <t xml:space="preserve">             na poskytování podpory soc.služeb dle zákona o soc.službách ORJ 541, org.1114</t>
  </si>
  <si>
    <t xml:space="preserve">             za veřejnoprávní smlouvy s ostatními obcemi (odbor životního prostředí - veř.zeleň)</t>
  </si>
  <si>
    <r>
      <rPr>
        <sz val="10"/>
        <rFont val="Arial CE"/>
      </rPr>
      <t xml:space="preserve">             za veřejnoprávní smlouvy s ostatními obcemi </t>
    </r>
    <r>
      <rPr>
        <sz val="9"/>
        <rFont val="Arial CE"/>
      </rPr>
      <t>(</t>
    </r>
    <r>
      <rPr>
        <sz val="10"/>
        <rFont val="Arial CE"/>
      </rPr>
      <t>stavební úřad</t>
    </r>
    <r>
      <rPr>
        <sz val="9"/>
        <rFont val="Arial CE"/>
      </rPr>
      <t>)</t>
    </r>
  </si>
  <si>
    <t xml:space="preserve">Neinvestiční přijaté transfery od krajů </t>
  </si>
  <si>
    <t xml:space="preserve">              pořízení ochranných prostředků a pomůcek pro dopravce veř.dopravy- covid-19 (ÚZ 27009) </t>
  </si>
  <si>
    <t xml:space="preserve">              Okresní a kraj.soutěže typu AaB-SVČ Fokus (ÚZ 133)</t>
  </si>
  <si>
    <t xml:space="preserve">              podpora technických atraktivit v NJ (ÚZ 201)</t>
  </si>
  <si>
    <t xml:space="preserve">              zajištění výkonu regionálních funkcí knihoven-MěKS (ÚZ 345)</t>
  </si>
  <si>
    <r>
      <rPr>
        <sz val="10"/>
        <rFont val="Arial CE"/>
      </rPr>
      <t xml:space="preserve">              poskytování sociálních služeb (ÚZ 13305) - </t>
    </r>
    <r>
      <rPr>
        <sz val="9"/>
        <rFont val="Arial CE"/>
      </rPr>
      <t>pro Prosenior</t>
    </r>
  </si>
  <si>
    <r>
      <rPr>
        <sz val="9"/>
        <rFont val="Arial CE"/>
      </rPr>
      <t>2360100/741/6330/</t>
    </r>
    <r>
      <rPr>
        <b/>
        <sz val="9"/>
        <rFont val="Arial CE"/>
      </rPr>
      <t>4134</t>
    </r>
    <r>
      <rPr>
        <sz val="9"/>
        <rFont val="Arial CE"/>
      </rPr>
      <t>/0/0</t>
    </r>
  </si>
  <si>
    <r>
      <rPr>
        <b/>
        <sz val="10"/>
        <rFont val="Arial CE"/>
      </rPr>
      <t xml:space="preserve">Převody z rozpočtových účtů </t>
    </r>
    <r>
      <rPr>
        <sz val="9"/>
        <rFont val="Arial CE"/>
      </rPr>
      <t>(sociální fond)</t>
    </r>
  </si>
  <si>
    <t>Investiční přijaté transfery ze SF</t>
  </si>
  <si>
    <t xml:space="preserve">              SFŽP -IV- nákup vozidel na alternativní pohon pro město NJ (ÚZ 90992)</t>
  </si>
  <si>
    <t xml:space="preserve">              SZIF-dotace pro JSDH Straník</t>
  </si>
  <si>
    <t xml:space="preserve">              SZIF- IV-SR-Program na rozvoj venkova-proj.Oprava kamenného divadla Skalky (ÚZ 89509)</t>
  </si>
  <si>
    <t xml:space="preserve">              SZIF- IV-EU-Program na rozvoj venkova-proj.Oprava kamenného divadla Skalky (ÚZ 89510)</t>
  </si>
  <si>
    <t>Ostatní investiční přijaté transfery ze státního rozpočtu</t>
  </si>
  <si>
    <t xml:space="preserve">             Zborovská 11 (revitalizace bytového domu) - dle rozhodnutí o poskytnutí dotace</t>
  </si>
  <si>
    <t xml:space="preserve">             Na Lani 212 (revitalizace bytového domu) -  dle rozhodnutí o poskytnutí dotace</t>
  </si>
  <si>
    <t xml:space="preserve">              MMR - Místo pro přecházení na silnici I/57 Bludovice u NJ (ÚZ 17969) </t>
  </si>
  <si>
    <t xml:space="preserve">              MMR IROP SR IV-EÚ bytového domu Revoluční 36 (ÚZ 17968)</t>
  </si>
  <si>
    <t xml:space="preserve">              MMR IROP EU IV-EÚ bytového domu Revoluční 36 (ÚZ 17969)</t>
  </si>
  <si>
    <t xml:space="preserve">              MMR IROP SR IV-Regulační plán MPR NJ (ÚZ 17968)</t>
  </si>
  <si>
    <t xml:space="preserve">              MMR IROP EU IV-Regulační plán MPR NJ (ÚZ 17969)</t>
  </si>
  <si>
    <t xml:space="preserve">              Opatření ke snížení energ.náročnosti VO - EFEKT 2021 (ÚZ 22500) </t>
  </si>
  <si>
    <t xml:space="preserve">                                          ÚZ 33502</t>
  </si>
  <si>
    <t xml:space="preserve">                                          ÚZ 34544</t>
  </si>
  <si>
    <t>Investiční přijaté transfery od krajů</t>
  </si>
  <si>
    <t xml:space="preserve">             Huckelovy vily (ÚZ 201) - dotace</t>
  </si>
  <si>
    <t xml:space="preserve">             Podpora technických atraktivit v NJ (ÚZ 201)</t>
  </si>
  <si>
    <t xml:space="preserve">             Rozšíření průmyslové zóny 2.etapa - dotace MSK (ÚZ 201)</t>
  </si>
  <si>
    <t xml:space="preserve">             Cyklostezka NJ-Hostašovice - úsek vojenská vlečka (ÚZ 719)</t>
  </si>
  <si>
    <r>
      <rPr>
        <b/>
        <sz val="10"/>
        <rFont val="Arial CE"/>
      </rPr>
      <t xml:space="preserve">Změna stavu krátkodobých prostředků na bankovních účtech </t>
    </r>
    <r>
      <rPr>
        <sz val="9"/>
        <rFont val="Arial CE"/>
      </rPr>
      <t>(zapojení konečného zůstatku k 31.12.2020 na účtech města)</t>
    </r>
  </si>
  <si>
    <r>
      <rPr>
        <b/>
        <sz val="10"/>
        <rFont val="Arial CE"/>
      </rPr>
      <t xml:space="preserve">Aktivní krátkodobé operace řízení likvidity - příjmy </t>
    </r>
    <r>
      <rPr>
        <sz val="9"/>
        <rFont val="Arial CE"/>
      </rPr>
      <t>(zhodnocování volných finančních zdrojů města)</t>
    </r>
  </si>
  <si>
    <r>
      <rPr>
        <b/>
        <sz val="10"/>
        <rFont val="Arial CE"/>
      </rPr>
      <t>Dlouhodobé přijaté půjčené prostředky</t>
    </r>
    <r>
      <rPr>
        <sz val="9"/>
        <rFont val="Arial CE"/>
      </rPr>
      <t xml:space="preserve"> (investiční úvěr na akce: Revitalizace K Archívu 2+Revitalizace Zborovská 11+Revitalizace Na Lani 212)</t>
    </r>
  </si>
  <si>
    <t>Změna stavu dlouhodobých prostředků na bankovních účtech</t>
  </si>
  <si>
    <t>Operace z peněžních účtů organizace nemající charakter příjmů a výdajů vládního sektoru</t>
  </si>
  <si>
    <t xml:space="preserve">            splátky úvěru do DSO regionu Novojičínska - Kanalizace Žilina-Loučka</t>
  </si>
  <si>
    <t xml:space="preserve">            DPH - přenesená daňová povinnost</t>
  </si>
  <si>
    <t>Výdaje</t>
  </si>
  <si>
    <t>ORJ 1xx - Odbor správy majetku</t>
  </si>
  <si>
    <t>102 - Vodní hospodářství</t>
  </si>
  <si>
    <r>
      <rPr>
        <b/>
        <sz val="10"/>
        <rFont val="Arial CE"/>
      </rPr>
      <t>Pitná voda</t>
    </r>
    <r>
      <rPr>
        <sz val="9"/>
        <rFont val="Arial CE"/>
      </rPr>
      <t xml:space="preserve"> (účet 2310800)</t>
    </r>
  </si>
  <si>
    <t>0387/2310/5151</t>
  </si>
  <si>
    <t xml:space="preserve">           dovoz pitné vody </t>
  </si>
  <si>
    <t>0387/2310/5169</t>
  </si>
  <si>
    <r>
      <rPr>
        <sz val="10"/>
        <rFont val="Arial CE"/>
      </rPr>
      <t xml:space="preserve">           </t>
    </r>
    <r>
      <rPr>
        <sz val="9"/>
        <rFont val="Arial CE"/>
      </rPr>
      <t xml:space="preserve">PD k opravám, pasport vodovodů </t>
    </r>
  </si>
  <si>
    <t>0387/2310/5171</t>
  </si>
  <si>
    <r>
      <rPr>
        <sz val="10"/>
        <rFont val="Arial CE"/>
      </rPr>
      <t xml:space="preserve">           </t>
    </r>
    <r>
      <rPr>
        <sz val="9"/>
        <rFont val="Arial CE"/>
      </rPr>
      <t>opravy a udržba</t>
    </r>
  </si>
  <si>
    <r>
      <rPr>
        <b/>
        <sz val="10"/>
        <rFont val="Arial CE"/>
      </rPr>
      <t xml:space="preserve">Odvádění a čištění odpadních vod a nakládání s kaly </t>
    </r>
    <r>
      <rPr>
        <sz val="9"/>
        <rFont val="Arial CE"/>
      </rPr>
      <t>(účet 2310800)</t>
    </r>
  </si>
  <si>
    <t>0387/2321/5151</t>
  </si>
  <si>
    <t xml:space="preserve">            studená voda </t>
  </si>
  <si>
    <t>0387/2321/5169</t>
  </si>
  <si>
    <t xml:space="preserve">            revize, poplatky, PD k opravám, pasport kanalizace</t>
  </si>
  <si>
    <t>0387/2321/5171</t>
  </si>
  <si>
    <t xml:space="preserve">            opravy a údržba</t>
  </si>
  <si>
    <r>
      <rPr>
        <sz val="10"/>
        <rFont val="Arial CE"/>
      </rPr>
      <t xml:space="preserve">            Plán financování obnovy </t>
    </r>
    <r>
      <rPr>
        <sz val="9"/>
        <rFont val="Arial CE"/>
      </rPr>
      <t>(účet 2310441) - opr. a udržování (rekonstrukce - obnova kanallizačních šachet ul. Slezská a Na Prachárně)</t>
    </r>
  </si>
  <si>
    <r>
      <rPr>
        <b/>
        <sz val="10"/>
        <rFont val="Arial CE"/>
      </rPr>
      <t xml:space="preserve">Úpravy drobných vodních toků </t>
    </r>
    <r>
      <rPr>
        <sz val="10"/>
        <rFont val="Arial CE"/>
      </rPr>
      <t>(účet 231 0800)</t>
    </r>
  </si>
  <si>
    <t>0387/2333/5169</t>
  </si>
  <si>
    <t xml:space="preserve">            revize, poplatky, PD k opravám</t>
  </si>
  <si>
    <t>0387/2333/5171</t>
  </si>
  <si>
    <t>110 - Doprava</t>
  </si>
  <si>
    <r>
      <rPr>
        <b/>
        <sz val="10"/>
        <rFont val="Arial CE"/>
      </rPr>
      <t xml:space="preserve">Silnice </t>
    </r>
    <r>
      <rPr>
        <sz val="8"/>
        <rFont val="Arial CE"/>
      </rPr>
      <t>(účet 2310800)</t>
    </r>
  </si>
  <si>
    <t>z toho: Investice celkem</t>
  </si>
  <si>
    <t>0517/2212/6351</t>
  </si>
  <si>
    <t xml:space="preserve">                  parkovací automaty - obnova (TSM)</t>
  </si>
  <si>
    <t xml:space="preserve">                  dvoumístné vozidlo o celkové hmotnosti 3,5 t se sklápěcí korbou (TSM)</t>
  </si>
  <si>
    <t xml:space="preserve">                  dřevěné prodejní stánky (TSM)</t>
  </si>
  <si>
    <t>0517/2212/5331</t>
  </si>
  <si>
    <r>
      <rPr>
        <sz val="10"/>
        <rFont val="Arial CE"/>
      </rPr>
      <t xml:space="preserve">             veřejně prospěšné práce </t>
    </r>
    <r>
      <rPr>
        <sz val="9"/>
        <rFont val="Arial CE"/>
      </rPr>
      <t>(TSM)</t>
    </r>
  </si>
  <si>
    <r>
      <rPr>
        <sz val="10"/>
        <rFont val="Arial CE"/>
      </rPr>
      <t xml:space="preserve">             oprava a údržba místních komunikací </t>
    </r>
    <r>
      <rPr>
        <sz val="9"/>
        <rFont val="Arial CE"/>
      </rPr>
      <t>(TSM)</t>
    </r>
  </si>
  <si>
    <t>0517/2212/5139</t>
  </si>
  <si>
    <t xml:space="preserve">             nákup materiálu jinde nezařazený</t>
  </si>
  <si>
    <t>0386/2212/5171</t>
  </si>
  <si>
    <t xml:space="preserve">             oprava a údržba místních komunikací - město</t>
  </si>
  <si>
    <t>0386/2212/5169</t>
  </si>
  <si>
    <r>
      <rPr>
        <sz val="10"/>
        <rFont val="Arial CE"/>
      </rPr>
      <t xml:space="preserve">             </t>
    </r>
    <r>
      <rPr>
        <sz val="10"/>
        <rFont val="Arial CE"/>
      </rPr>
      <t>služby -  PD k opravám, revize, poplatky</t>
    </r>
  </si>
  <si>
    <r>
      <rPr>
        <sz val="10"/>
        <rFont val="Arial CE"/>
      </rPr>
      <t xml:space="preserve">             </t>
    </r>
    <r>
      <rPr>
        <sz val="10"/>
        <rFont val="Arial CE"/>
      </rPr>
      <t>služby -  pasport místních komunikací</t>
    </r>
  </si>
  <si>
    <t>0386/2212/5164</t>
  </si>
  <si>
    <r>
      <rPr>
        <sz val="10"/>
        <rFont val="Arial CE"/>
      </rPr>
      <t xml:space="preserve">             </t>
    </r>
    <r>
      <rPr>
        <sz val="10"/>
        <rFont val="Arial CE"/>
      </rPr>
      <t>nájemné</t>
    </r>
  </si>
  <si>
    <r>
      <rPr>
        <b/>
        <sz val="10"/>
        <rFont val="Arial CE"/>
      </rPr>
      <t xml:space="preserve">Ostatní záležitosti pozemních komunikací </t>
    </r>
    <r>
      <rPr>
        <sz val="9"/>
        <rFont val="Arial CE"/>
      </rPr>
      <t>(účet 2310800)</t>
    </r>
  </si>
  <si>
    <t>0386/2219/5169</t>
  </si>
  <si>
    <t xml:space="preserve">             služby - PD k opravám, revize, poplatky</t>
  </si>
  <si>
    <t>0386/2219/5171</t>
  </si>
  <si>
    <t xml:space="preserve">             opravy a udržování chodníků</t>
  </si>
  <si>
    <t>0386/2219/5362</t>
  </si>
  <si>
    <t xml:space="preserve">             platby daní a poplatků, sankce</t>
  </si>
  <si>
    <t>0517/2219/5331</t>
  </si>
  <si>
    <t xml:space="preserve">             parkoviště (TSM)</t>
  </si>
  <si>
    <r>
      <rPr>
        <b/>
        <sz val="10"/>
        <rFont val="Arial CE"/>
      </rPr>
      <t>Provoz veřejné silniční dopravy</t>
    </r>
    <r>
      <rPr>
        <sz val="9"/>
        <rFont val="Arial CE"/>
      </rPr>
      <t xml:space="preserve"> (účet 2310800)</t>
    </r>
  </si>
  <si>
    <t>0386/2221/5169</t>
  </si>
  <si>
    <t>z toho: služby - revize, poplatky, PD k opravám</t>
  </si>
  <si>
    <t>0386/2221/5171</t>
  </si>
  <si>
    <t xml:space="preserve">            opravy autobusových přístřešků</t>
  </si>
  <si>
    <t>120 - Majetkoprávní záležitosti</t>
  </si>
  <si>
    <t>Komunální služby a územní rozvoj j.n.</t>
  </si>
  <si>
    <t>0092/3639/6130</t>
  </si>
  <si>
    <r>
      <rPr>
        <sz val="10"/>
        <rFont val="Arial CE"/>
      </rPr>
      <t xml:space="preserve">z toho: investice - výkupy pozemků </t>
    </r>
    <r>
      <rPr>
        <sz val="9"/>
        <rFont val="Arial CE"/>
      </rPr>
      <t>(ostatní 0,5+Orlita 0,9+Jednota 0,2)</t>
    </r>
  </si>
  <si>
    <t>0002/3639/5122</t>
  </si>
  <si>
    <r>
      <rPr>
        <sz val="10"/>
        <rFont val="Arial CE"/>
      </rPr>
      <t xml:space="preserve">            věcná břemena (</t>
    </r>
    <r>
      <rPr>
        <sz val="9"/>
        <rFont val="Arial CE"/>
      </rPr>
      <t>účet 2310440)</t>
    </r>
  </si>
  <si>
    <r>
      <rPr>
        <sz val="10"/>
        <rFont val="Arial CE"/>
      </rPr>
      <t xml:space="preserve">            věcná břemena (</t>
    </r>
    <r>
      <rPr>
        <sz val="9"/>
        <rFont val="Arial CE"/>
      </rPr>
      <t>účet 2310800)</t>
    </r>
  </si>
  <si>
    <t>0092/3639/5021</t>
  </si>
  <si>
    <t xml:space="preserve">            majetkoprávní - ostatní osobní výdaje (dohoda)</t>
  </si>
  <si>
    <t>0092/3639/5166</t>
  </si>
  <si>
    <t xml:space="preserve">            majetkoprávní - sociální pojištění</t>
  </si>
  <si>
    <t>0092/3639/5169</t>
  </si>
  <si>
    <t xml:space="preserve">            majetkoprávní - zdravotní pojištění</t>
  </si>
  <si>
    <t>0092/3639/5164</t>
  </si>
  <si>
    <t xml:space="preserve">            majetkoprávní - nájemné</t>
  </si>
  <si>
    <t xml:space="preserve">            majetkoprávní - znalecké posudky</t>
  </si>
  <si>
    <t xml:space="preserve">            majetkoprávní - posudky a geometrické plány</t>
  </si>
  <si>
    <t>0092/3639/5179</t>
  </si>
  <si>
    <t xml:space="preserve">            majetkoprávní - ostatní nákupy jinde nezařazené (kauce - veřejná dražba)</t>
  </si>
  <si>
    <t>0092/3639/5361</t>
  </si>
  <si>
    <t xml:space="preserve">            majetkoprávní - nákup kolků</t>
  </si>
  <si>
    <t>0092/3639/5362</t>
  </si>
  <si>
    <t xml:space="preserve">            majetkoprávní - správní poplatky</t>
  </si>
  <si>
    <t xml:space="preserve">139 - Komunální služby </t>
  </si>
  <si>
    <r>
      <rPr>
        <b/>
        <sz val="10"/>
        <rFont val="Arial CE"/>
      </rPr>
      <t>Rozhlas a televize</t>
    </r>
    <r>
      <rPr>
        <sz val="9"/>
        <rFont val="Arial CE"/>
      </rPr>
      <t xml:space="preserve"> (účet 2310800) </t>
    </r>
  </si>
  <si>
    <t>0513/3341/5171</t>
  </si>
  <si>
    <t xml:space="preserve">            opravy a udržování</t>
  </si>
  <si>
    <t>0513/3341/5362</t>
  </si>
  <si>
    <t xml:space="preserve">            poplatky</t>
  </si>
  <si>
    <r>
      <rPr>
        <b/>
        <sz val="10"/>
        <rFont val="Arial CE"/>
      </rPr>
      <t xml:space="preserve">Využití volného času dětí a mládeže </t>
    </r>
    <r>
      <rPr>
        <sz val="9"/>
        <rFont val="Arial CE"/>
      </rPr>
      <t>(účet 2310800)</t>
    </r>
  </si>
  <si>
    <t>0382/3421/5137</t>
  </si>
  <si>
    <t xml:space="preserve">             Dětská hřiště - drobný hmotný dlouhodobý majetek</t>
  </si>
  <si>
    <t>0382/3421/5139</t>
  </si>
  <si>
    <t xml:space="preserve">             Dětská hřiště - nákup materiálu</t>
  </si>
  <si>
    <t>0382/3421/5169</t>
  </si>
  <si>
    <t xml:space="preserve">             Dětská hřiště -ostatní služby (revize, PD k opravám)</t>
  </si>
  <si>
    <t>0382/3421/5171</t>
  </si>
  <si>
    <t xml:space="preserve">             Dětská hřiště - opravy a údržba </t>
  </si>
  <si>
    <t>0517/3421/5331</t>
  </si>
  <si>
    <t xml:space="preserve">             Dětská hřiště - příspěvek na údržbu a opravy TSM </t>
  </si>
  <si>
    <r>
      <rPr>
        <b/>
        <sz val="10"/>
        <rFont val="Arial CE"/>
      </rPr>
      <t xml:space="preserve">Nebytové hospodářství </t>
    </r>
    <r>
      <rPr>
        <sz val="9"/>
        <rFont val="Arial CE"/>
      </rPr>
      <t>(účet 2310800)</t>
    </r>
  </si>
  <si>
    <t>0382/3613/5137</t>
  </si>
  <si>
    <t xml:space="preserve">             drobný hmotný dlouhodobý majetek</t>
  </si>
  <si>
    <t>0382/3613/5139</t>
  </si>
  <si>
    <t xml:space="preserve">              nákup materiálu jinde nezařazeného</t>
  </si>
  <si>
    <t>0382/3613/5151</t>
  </si>
  <si>
    <t xml:space="preserve">              voda</t>
  </si>
  <si>
    <t>0382/3613/5154</t>
  </si>
  <si>
    <t xml:space="preserve">              elektrická energie</t>
  </si>
  <si>
    <t>0382/3613/5169</t>
  </si>
  <si>
    <t xml:space="preserve">              nákup služeb</t>
  </si>
  <si>
    <t xml:space="preserve">              nákup služeb - nátěry lam, košů, laviček v MPR</t>
  </si>
  <si>
    <t>0382/3613/5171</t>
  </si>
  <si>
    <t xml:space="preserve">              opravy a údržba</t>
  </si>
  <si>
    <r>
      <rPr>
        <b/>
        <sz val="10"/>
        <rFont val="Arial CE"/>
      </rPr>
      <t xml:space="preserve">Veřejné osvětlení (VO) </t>
    </r>
    <r>
      <rPr>
        <sz val="9"/>
        <rFont val="Arial CE"/>
      </rPr>
      <t>(účet 2310800)</t>
    </r>
  </si>
  <si>
    <t>0382/3631/5169</t>
  </si>
  <si>
    <t xml:space="preserve">             nákup služeb</t>
  </si>
  <si>
    <t>0382/3631/5171</t>
  </si>
  <si>
    <t xml:space="preserve">             opravy a údržba VO</t>
  </si>
  <si>
    <t>0517/3631/5331</t>
  </si>
  <si>
    <t xml:space="preserve">             příspěvek TSM</t>
  </si>
  <si>
    <t>0382/3631/5154</t>
  </si>
  <si>
    <t xml:space="preserve">             elektrická energie </t>
  </si>
  <si>
    <r>
      <rPr>
        <b/>
        <sz val="10"/>
        <rFont val="Arial CE"/>
      </rPr>
      <t xml:space="preserve">Pohřebnictví </t>
    </r>
    <r>
      <rPr>
        <sz val="10"/>
        <rFont val="Arial CE"/>
      </rPr>
      <t xml:space="preserve">(účet 2310800) </t>
    </r>
  </si>
  <si>
    <t>z toho: investice celkem = inv. příspěvky TSM</t>
  </si>
  <si>
    <t>0517/3632/6351</t>
  </si>
  <si>
    <t xml:space="preserve">                    Oplocení hřbitova v městské části Žilina</t>
  </si>
  <si>
    <t xml:space="preserve">                    Zastřešení prostoru před márnicí na hřbitově v Novém Jičíně </t>
  </si>
  <si>
    <t xml:space="preserve">                    Upgrade softwaru pro pasportizaci hřbitovů </t>
  </si>
  <si>
    <t xml:space="preserve">                    Oprava kamenné zdi</t>
  </si>
  <si>
    <t xml:space="preserve">                    Projektová dokumentace ke GO smuteční síně a márnice</t>
  </si>
  <si>
    <t>0517/3632/5331</t>
  </si>
  <si>
    <t xml:space="preserve">             příspěvek TSM - údržba</t>
  </si>
  <si>
    <t>0382/3632/5169</t>
  </si>
  <si>
    <t xml:space="preserve">             nákup služeb - pasport ozelenění hřbitova</t>
  </si>
  <si>
    <t>0382/3632/5171</t>
  </si>
  <si>
    <t xml:space="preserve">             opravy a údržba hřbitova</t>
  </si>
  <si>
    <r>
      <rPr>
        <b/>
        <sz val="10"/>
        <rFont val="Arial CE"/>
      </rPr>
      <t>Komunální služby a územní rozvoj j.n.</t>
    </r>
    <r>
      <rPr>
        <sz val="9"/>
        <rFont val="Arial CE"/>
      </rPr>
      <t xml:space="preserve"> </t>
    </r>
  </si>
  <si>
    <t>0382/3639/6121</t>
  </si>
  <si>
    <r>
      <rPr>
        <sz val="10"/>
        <rFont val="Arial CE"/>
      </rPr>
      <t xml:space="preserve">z toho: investice celkem - zápočet oplocení p. Perútka </t>
    </r>
    <r>
      <rPr>
        <sz val="9"/>
        <rFont val="Arial CE"/>
      </rPr>
      <t>(účet 2310440)</t>
    </r>
  </si>
  <si>
    <t>0382/3639/5139</t>
  </si>
  <si>
    <r>
      <rPr>
        <sz val="10"/>
        <rFont val="Arial CE"/>
      </rPr>
      <t xml:space="preserve">            přípojky na televizní kabelové rozvody Straník - materiál</t>
    </r>
    <r>
      <rPr>
        <sz val="9"/>
        <rFont val="Arial CE"/>
      </rPr>
      <t xml:space="preserve"> (účet 231 0800)</t>
    </r>
  </si>
  <si>
    <r>
      <rPr>
        <b/>
        <sz val="10"/>
        <rFont val="Arial CE"/>
      </rPr>
      <t xml:space="preserve">Ostatní záležitosti bydlení, komunálních služeb a územního rozvoje </t>
    </r>
    <r>
      <rPr>
        <sz val="9"/>
        <rFont val="Arial CE"/>
      </rPr>
      <t>(účet 2310800)</t>
    </r>
  </si>
  <si>
    <t>0517/3699/5331</t>
  </si>
  <si>
    <r>
      <rPr>
        <sz val="10"/>
        <rFont val="Arial CE"/>
      </rPr>
      <t xml:space="preserve">z toho: mobiliář </t>
    </r>
    <r>
      <rPr>
        <sz val="9"/>
        <rFont val="Arial CE"/>
      </rPr>
      <t>(TSM 200)</t>
    </r>
  </si>
  <si>
    <t xml:space="preserve">ORJ 6XX - Odbor rozvoje a investic </t>
  </si>
  <si>
    <t>602 - Vodní hospodářství</t>
  </si>
  <si>
    <t>4387/2310/6121</t>
  </si>
  <si>
    <t xml:space="preserve">                      Vodovod Loučka, Císařská </t>
  </si>
  <si>
    <t>5380/2310/6121</t>
  </si>
  <si>
    <t xml:space="preserve">                      Akumulační nádrž na vodu Straník PD</t>
  </si>
  <si>
    <t>5387/2310/6121</t>
  </si>
  <si>
    <t xml:space="preserve">                      Vodovod Žilina, Pstruží potok - Životice </t>
  </si>
  <si>
    <t>6387/2310/6121</t>
  </si>
  <si>
    <t xml:space="preserve">                      Vodovod Bludovice, Záhumenní </t>
  </si>
  <si>
    <t>5410/2321/6121</t>
  </si>
  <si>
    <t xml:space="preserve">                      Kanalizace Žilina, U Mlýna PD - ukončeno 8/2020</t>
  </si>
  <si>
    <t>5430/2321/6121</t>
  </si>
  <si>
    <r>
      <rPr>
        <sz val="10"/>
        <rFont val="Arial CE"/>
      </rPr>
      <t xml:space="preserve">                      </t>
    </r>
    <r>
      <rPr>
        <sz val="10"/>
        <rFont val="Arial CE"/>
      </rPr>
      <t xml:space="preserve">Zatrubnění dešťové kanalizace Žilina p. č. 951 </t>
    </r>
  </si>
  <si>
    <t>5434/2321/6121</t>
  </si>
  <si>
    <t xml:space="preserve">                      Jednotná kanalizace Žilina, Příčná </t>
  </si>
  <si>
    <t>8387/2321/6121</t>
  </si>
  <si>
    <t xml:space="preserve">                      Kanalizace Žilina, Okružní PD</t>
  </si>
  <si>
    <t>9387/2321/6121</t>
  </si>
  <si>
    <t xml:space="preserve">                      Kanalizace Trlicova - aktualizace PD</t>
  </si>
  <si>
    <t>XXXX/2321/6121</t>
  </si>
  <si>
    <t xml:space="preserve">                      Odvodnění lokality Loučka, Na Lani (cyklostezka, kryté stání) PD</t>
  </si>
  <si>
    <r>
      <rPr>
        <b/>
        <sz val="10"/>
        <rFont val="Arial CE"/>
      </rPr>
      <t xml:space="preserve">Úpravy drobných vodních toků </t>
    </r>
    <r>
      <rPr>
        <sz val="9"/>
        <rFont val="Arial CE"/>
      </rPr>
      <t>(účet 2310800)</t>
    </r>
  </si>
  <si>
    <t>5412/2333/6121</t>
  </si>
  <si>
    <t xml:space="preserve">                      Úprava Stranického potoka 3. etapa - ukončeno 3/2020</t>
  </si>
  <si>
    <t>610 - Doprava</t>
  </si>
  <si>
    <r>
      <rPr>
        <b/>
        <sz val="10"/>
        <rFont val="Arial CE"/>
      </rPr>
      <t xml:space="preserve">Silnice </t>
    </r>
    <r>
      <rPr>
        <sz val="9"/>
        <rFont val="Arial CE"/>
      </rPr>
      <t>(účet 2310800)</t>
    </r>
  </si>
  <si>
    <t xml:space="preserve">                     Velkoplošné opravy MK nad 500 000 Kč - služby</t>
  </si>
  <si>
    <t xml:space="preserve">                     Velkoplošné opravy MK nad 500 000 Kč </t>
  </si>
  <si>
    <t>4385/2212/6121</t>
  </si>
  <si>
    <t xml:space="preserve">                     Rondel Gen. Hlaďo - K Nemocnici PD</t>
  </si>
  <si>
    <t>5376/2212/6121</t>
  </si>
  <si>
    <t xml:space="preserve">                     Příjezdová  komunikace areál ČSAD</t>
  </si>
  <si>
    <t>5377/2212/6121</t>
  </si>
  <si>
    <t xml:space="preserve">                     Přechod včetně rondelu K Nemocnici, Pod Skalkou, B. Martinů PD</t>
  </si>
  <si>
    <t>5378/2212/6121</t>
  </si>
  <si>
    <t xml:space="preserve">                     Příjezdová  komunikace ČOV Kojetín PD</t>
  </si>
  <si>
    <t>5379/2212/6121</t>
  </si>
  <si>
    <t xml:space="preserve">                     Rozšíření komunikace Kojetín p. č. 625/1 (Bala) </t>
  </si>
  <si>
    <t>5390/2212/6121</t>
  </si>
  <si>
    <t xml:space="preserve">                     Most - propustek Straník č. p. 86 </t>
  </si>
  <si>
    <t>5391/2212/6121</t>
  </si>
  <si>
    <r>
      <rPr>
        <sz val="10"/>
        <rFont val="Arial CE"/>
      </rPr>
      <t xml:space="preserve">                     M</t>
    </r>
    <r>
      <rPr>
        <sz val="10"/>
        <rFont val="Arial CE"/>
      </rPr>
      <t>ost Jiráskova, pod gymnáziem PD</t>
    </r>
  </si>
  <si>
    <t>5397/2212/6121</t>
  </si>
  <si>
    <t xml:space="preserve">                     Komunikace Žilina, Za Školou p. č. 616/2</t>
  </si>
  <si>
    <t>5414/2212/6121</t>
  </si>
  <si>
    <t xml:space="preserve">                     Komunikace  Žilina, Potoční</t>
  </si>
  <si>
    <t>5432/2212/6121</t>
  </si>
  <si>
    <t xml:space="preserve">                     Přechod SVČ Fokus, K Nemocnici </t>
  </si>
  <si>
    <t xml:space="preserve"> </t>
  </si>
  <si>
    <t>5433/2212/6121</t>
  </si>
  <si>
    <t xml:space="preserve">                     Lávka Novosady PD</t>
  </si>
  <si>
    <t>8386/2212/6121</t>
  </si>
  <si>
    <t xml:space="preserve">                     Most Revoluční u domu č. p. 105 </t>
  </si>
  <si>
    <t>9386/2212/6121</t>
  </si>
  <si>
    <t xml:space="preserve">                     Most Loučka, V Kútě PD</t>
  </si>
  <si>
    <t>9388/2212/6121</t>
  </si>
  <si>
    <t xml:space="preserve">                     Stacionární místo pro radar Bludovice </t>
  </si>
  <si>
    <t>XXXX/2212/6121</t>
  </si>
  <si>
    <t xml:space="preserve">                     Most Dolní Brána (u Laposu) </t>
  </si>
  <si>
    <t xml:space="preserve">                     Komunikace - propojení Hoblíkova - Žižkova PD</t>
  </si>
  <si>
    <t xml:space="preserve">                     Komunikace K Archivu PD</t>
  </si>
  <si>
    <t xml:space="preserve">                     Rekonstrukce komunikace Straník - Kojetín PD</t>
  </si>
  <si>
    <t xml:space="preserve">                     Velkoplošné opravy chodníků nad 500 000 Kč - služby</t>
  </si>
  <si>
    <t xml:space="preserve">                     Velkoplošné opravy chodníků nad 500 000 Kč </t>
  </si>
  <si>
    <t>0507/2219/6121</t>
  </si>
  <si>
    <t xml:space="preserve">                    Chodníkové těleso Žilina, Pstruží potok - Životice (opěrná zeď) 4. etapa</t>
  </si>
  <si>
    <t>2384/2219/6121</t>
  </si>
  <si>
    <t xml:space="preserve">                    Laudonovo nádvoří </t>
  </si>
  <si>
    <t>2386/2219/6121</t>
  </si>
  <si>
    <t xml:space="preserve">                    Cyklostezka NJ - Hostašovice, vlečka </t>
  </si>
  <si>
    <t>5370/2219/6121</t>
  </si>
  <si>
    <t xml:space="preserve">                    Čerťák 3. etapa</t>
  </si>
  <si>
    <t>5371/2219/6121</t>
  </si>
  <si>
    <t xml:space="preserve">                    Cykloboxy PD</t>
  </si>
  <si>
    <t>5372/2219/6121</t>
  </si>
  <si>
    <t xml:space="preserve">                    Prodloužení turistické trasy Čerťák PD</t>
  </si>
  <si>
    <t>5373/2219/6121</t>
  </si>
  <si>
    <t xml:space="preserve">                    Parkoviště Žilina p. č. 673/2 (u kostela)</t>
  </si>
  <si>
    <t>5374/2219/6121</t>
  </si>
  <si>
    <t xml:space="preserve">                    Parkoviště Straník, hřbitov</t>
  </si>
  <si>
    <t>5375/2219/6121</t>
  </si>
  <si>
    <t xml:space="preserve">                    Chodníkové těleso, opěrná zeď Revoluční I/57 </t>
  </si>
  <si>
    <t>5385/2219/6121</t>
  </si>
  <si>
    <t xml:space="preserve">                    Chodníkové těleso Loučka, Na Drážkách</t>
  </si>
  <si>
    <t>5393/2219/6121</t>
  </si>
  <si>
    <t xml:space="preserve">                    Chodníkové těleso Na Valech - ukončeno 03/2020</t>
  </si>
  <si>
    <t>5404/2219/6121</t>
  </si>
  <si>
    <t xml:space="preserve">                    Rozšíření cyklostezky Bludovice</t>
  </si>
  <si>
    <t>5406/2219/6121</t>
  </si>
  <si>
    <t xml:space="preserve">                    Parkovací stání Dlouhá (úsek Palackého - Budovatelů)</t>
  </si>
  <si>
    <t>5417/2219/6121</t>
  </si>
  <si>
    <t xml:space="preserve">                    Chodníkové těleso k autobusové zastávce Bocheta </t>
  </si>
  <si>
    <t>5419/2219/6121</t>
  </si>
  <si>
    <t xml:space="preserve">                    Parkoviště Dlouhá č. o. 8 - 14, 2. etapa </t>
  </si>
  <si>
    <t>5420/2219/6121</t>
  </si>
  <si>
    <t xml:space="preserve">                    Rozšíření odstavných ploch Vančurova  č. o. 2 -10 PD</t>
  </si>
  <si>
    <t>5421/2219/6121</t>
  </si>
  <si>
    <t xml:space="preserve">                    Parkoviště B. Martinů - krátkodobé stání</t>
  </si>
  <si>
    <t>5431/2219/6121</t>
  </si>
  <si>
    <t xml:space="preserve">                    Chodníkové těleso u silnice I/57 p. č. 700/1 Bludovice </t>
  </si>
  <si>
    <t>7385/2219/6121</t>
  </si>
  <si>
    <t xml:space="preserve">                    Kontejnerová stání </t>
  </si>
  <si>
    <t>8384/2219/6121</t>
  </si>
  <si>
    <t xml:space="preserve">                    Parkoviště Restaurace Na Skalkách </t>
  </si>
  <si>
    <t>XXXX/2219/6121</t>
  </si>
  <si>
    <t xml:space="preserve">                    Společná stezka pro chodce a cyklisty, Rybníčky  PD</t>
  </si>
  <si>
    <t xml:space="preserve">                    Parkoviště Hoblíkova PD</t>
  </si>
  <si>
    <t xml:space="preserve">                    Parkoviště Budovatelů, bytové domy č. o. 5, 7, 9  PD</t>
  </si>
  <si>
    <t xml:space="preserve">                    Parkovací stání Dlouhá, bytové domy č. o. 42 - 48 PD</t>
  </si>
  <si>
    <t xml:space="preserve">                    Parkoviště Dlouhá (výměníková stanice - bytový dům č. o. 40) PD</t>
  </si>
  <si>
    <t xml:space="preserve">                    Parkoviště Luční p. č.  218/9 PD</t>
  </si>
  <si>
    <t xml:space="preserve">                    Parkovací stání Revoluční p. č. 673/13 PD</t>
  </si>
  <si>
    <t xml:space="preserve">                    Parkoviště Smetanovy sady, bytové domy č. o. 20, 22, 24 PD</t>
  </si>
  <si>
    <t xml:space="preserve">                    Zpevněné plochy a mobiliář  Tyršova </t>
  </si>
  <si>
    <t xml:space="preserve">                    Regenerace panelového sídliště Nerudova PD</t>
  </si>
  <si>
    <t xml:space="preserve">                    Chodníkové těleso U Stadionu  PD</t>
  </si>
  <si>
    <t xml:space="preserve">                    Zpevněné plochy okolo Beskydského divadla PD</t>
  </si>
  <si>
    <t>5398/2221/6121</t>
  </si>
  <si>
    <t xml:space="preserve">                    Autobusová zastávká Žilina, U Partyzána </t>
  </si>
  <si>
    <t>5407/2221/6121</t>
  </si>
  <si>
    <t xml:space="preserve">                    Autobusová zastávka Žilina, U Požární zbrojnice</t>
  </si>
  <si>
    <t>5422/2221/6121</t>
  </si>
  <si>
    <t xml:space="preserve">                    Autobusová zastávká Pod Svincem - ukončeno 09/2020</t>
  </si>
  <si>
    <t>XXXX/2221/6121</t>
  </si>
  <si>
    <t xml:space="preserve">                    Autobusová zastávka Straník na pozemku p. č. 191/45</t>
  </si>
  <si>
    <t xml:space="preserve">615 - Oddělení rozvoje - plány, marketing, Zdravé město </t>
  </si>
  <si>
    <t>Komunální služby - nebytové prostory  - oddělení investic (účet 2310800)</t>
  </si>
  <si>
    <t>1388/3613/5169</t>
  </si>
  <si>
    <t xml:space="preserve">                    Studie - oddělení investic</t>
  </si>
  <si>
    <t>Komunální služby a rozvoj - plány, propagace, marketing, Zdravé město (účet 2310800)</t>
  </si>
  <si>
    <t>1388/3639/5021</t>
  </si>
  <si>
    <t xml:space="preserve">                    Dohody (odměny) Architektonická soutěž Hala NJ</t>
  </si>
  <si>
    <t>1388/3639/5139</t>
  </si>
  <si>
    <t xml:space="preserve">                    Ostatní materiál</t>
  </si>
  <si>
    <t>1388/3639/5164</t>
  </si>
  <si>
    <t xml:space="preserve">                   Jarní škola NSZM - nájmy místností</t>
  </si>
  <si>
    <t>1388/3639/5166</t>
  </si>
  <si>
    <t xml:space="preserve">                    Konzultační služby (z toho městský architekt 460 000 Kč)</t>
  </si>
  <si>
    <t>1388/3639/5169</t>
  </si>
  <si>
    <t xml:space="preserve">                    Rozvojové plány, studie, propagace, marketing, Zdravé město, particip.rozpočet, administrace projektů, architektonické soutěže (víceúčelová sportovní hala), SPRM, rozvojové studie (revitalizace Horního nádraží, cykloopatření B. Martinů, urbanistická studie sportovní areál), pořízení sčítačů pro monitoring cyklodopravy, Jarní škola Zdravých měst   </t>
  </si>
  <si>
    <t>1388/3639/5175</t>
  </si>
  <si>
    <t xml:space="preserve">                   Pohoštění</t>
  </si>
  <si>
    <t>1388/3639/5222</t>
  </si>
  <si>
    <t xml:space="preserve">                   Mládež kraji</t>
  </si>
  <si>
    <t>1388/3639/5229</t>
  </si>
  <si>
    <t xml:space="preserve">                   Členský poplatek národní síť zdravých měst a MAS Lašsko</t>
  </si>
  <si>
    <t>1388/3639/6122</t>
  </si>
  <si>
    <t xml:space="preserve">                   Mobilní zastřešení Straník - participativní rozpočet</t>
  </si>
  <si>
    <t xml:space="preserve">639 - Komunální služby a územní rozvoj </t>
  </si>
  <si>
    <r>
      <rPr>
        <b/>
        <sz val="10"/>
        <rFont val="Arial CE"/>
      </rPr>
      <t xml:space="preserve">Sportovní zařízení v majetku obce </t>
    </r>
    <r>
      <rPr>
        <sz val="9"/>
        <rFont val="Arial CE"/>
      </rPr>
      <t>(účet 2310800)</t>
    </r>
  </si>
  <si>
    <t>XXXX/3412/6121</t>
  </si>
  <si>
    <t xml:space="preserve">                   Skatepark ve sportovním areálu U Stadionu PD</t>
  </si>
  <si>
    <t xml:space="preserve">                   Tenisová hala na ul. B. Martinů PD</t>
  </si>
  <si>
    <t>5368/3613/6121</t>
  </si>
  <si>
    <t xml:space="preserve">                   Čítárna</t>
  </si>
  <si>
    <t>5369/3613/6121</t>
  </si>
  <si>
    <t xml:space="preserve">                   Úprava Smetanových sadů PD</t>
  </si>
  <si>
    <t>5424/3613/6121</t>
  </si>
  <si>
    <t xml:space="preserve">                   Oplocení vč. ochranné bariéry Školy života Žilina, Beskydská PD</t>
  </si>
  <si>
    <t>6389/3613/6121</t>
  </si>
  <si>
    <t xml:space="preserve">                   Kryté stání Loučka - opatření proti vodě, přeložka VO</t>
  </si>
  <si>
    <t>XXXX/3613/6121</t>
  </si>
  <si>
    <t xml:space="preserve">                   Sociálně-provozní objekt ve sport.areálu U Stadionu PD</t>
  </si>
  <si>
    <t>5362/3631/5169</t>
  </si>
  <si>
    <t xml:space="preserve">                   VO Generel</t>
  </si>
  <si>
    <t>0541/3631/6121</t>
  </si>
  <si>
    <t xml:space="preserve">                   VO Nádražní - ukončeno 8/2020</t>
  </si>
  <si>
    <t>0542/3631/6121</t>
  </si>
  <si>
    <t xml:space="preserve">                   VO Purkyňova</t>
  </si>
  <si>
    <t>5435/3631/6121</t>
  </si>
  <si>
    <t xml:space="preserve">                   Opatření ke snížení energ.náročnosti VO - EFEKT 2021</t>
  </si>
  <si>
    <t>4395/3631/6121</t>
  </si>
  <si>
    <t xml:space="preserve">                   VO Bludovice, pneuservis - ukončeno 6/2020</t>
  </si>
  <si>
    <t>5359/3631/6121</t>
  </si>
  <si>
    <t xml:space="preserve">                   VO Štefanikova ČSOB</t>
  </si>
  <si>
    <t>5360/3631/6121</t>
  </si>
  <si>
    <t xml:space="preserve">                   VO Hřbitovní</t>
  </si>
  <si>
    <t>5363/3631/6121</t>
  </si>
  <si>
    <t xml:space="preserve">                   VO cyklostezka průmyslová zóna PD</t>
  </si>
  <si>
    <t>5364/3631/6121</t>
  </si>
  <si>
    <t xml:space="preserve">                   VO Smetanovy sady a Skalky </t>
  </si>
  <si>
    <t>5365/3631/6121</t>
  </si>
  <si>
    <t xml:space="preserve">                   VO Skalky - parkoviště </t>
  </si>
  <si>
    <t>5366/3631/6121</t>
  </si>
  <si>
    <t xml:space="preserve">                   VO Štefanikova ČS (okolo ČSOB)</t>
  </si>
  <si>
    <t>5367/3631/6121</t>
  </si>
  <si>
    <t xml:space="preserve">                   VO Loučka - Křenová, Jičínská, Za Potokem</t>
  </si>
  <si>
    <t>6383/3631/6121</t>
  </si>
  <si>
    <t xml:space="preserve">                   VO K Archivu PD</t>
  </si>
  <si>
    <r>
      <rPr>
        <b/>
        <sz val="10"/>
        <rFont val="Arial CE"/>
      </rPr>
      <t>Hřbitovy</t>
    </r>
    <r>
      <rPr>
        <sz val="9"/>
        <rFont val="Arial CE"/>
      </rPr>
      <t xml:space="preserve"> (účet 2310800)</t>
    </r>
  </si>
  <si>
    <t>5361/3632/5171</t>
  </si>
  <si>
    <t xml:space="preserve">                   Sanace čestných hrobů</t>
  </si>
  <si>
    <t>5361/3632/6121</t>
  </si>
  <si>
    <r>
      <rPr>
        <b/>
        <sz val="10"/>
        <rFont val="Arial CE"/>
      </rPr>
      <t>Výstavba a údržba místních inženýrských sítí (IS)</t>
    </r>
    <r>
      <rPr>
        <sz val="9"/>
        <rFont val="Arial CE"/>
      </rPr>
      <t xml:space="preserve"> (účet 2310800)</t>
    </r>
  </si>
  <si>
    <t>0538/3633/6121</t>
  </si>
  <si>
    <t xml:space="preserve">                   Rozšíření průmyslové zóny PD</t>
  </si>
  <si>
    <t>0539/3633/6121</t>
  </si>
  <si>
    <t xml:space="preserve">                   IS Žilina, Za Školou</t>
  </si>
  <si>
    <t>5425/3633/6121</t>
  </si>
  <si>
    <t xml:space="preserve">                   IS RD Bocheta PD 4. etapa</t>
  </si>
  <si>
    <t>641 - Oddělení rozvoje - dotace ČOV, topení Kojetín, kotlíkové dotace</t>
  </si>
  <si>
    <t>1388/2321/6371</t>
  </si>
  <si>
    <t xml:space="preserve">                    Dotace ČOV</t>
  </si>
  <si>
    <t>1388/3634/6371</t>
  </si>
  <si>
    <t xml:space="preserve">                    Dotace na ekologické vytápění Kojetín</t>
  </si>
  <si>
    <t>1388/3713/6342</t>
  </si>
  <si>
    <t xml:space="preserve">                    Kotlíkové dotace MSK</t>
  </si>
  <si>
    <r>
      <rPr>
        <b/>
        <sz val="10"/>
        <rFont val="Arial CE"/>
      </rPr>
      <t xml:space="preserve">Vnitřní obchod </t>
    </r>
    <r>
      <rPr>
        <sz val="9"/>
        <rFont val="Arial CE"/>
      </rPr>
      <t>(nákup materiálu 16, zpracování dat 3, ostatní služby 366, věcné dary 10, neinvestiční transfery neziskovým organizacím 80, reklamní tabule MPR 200)</t>
    </r>
  </si>
  <si>
    <r>
      <rPr>
        <b/>
        <sz val="10"/>
        <rFont val="Arial CE"/>
      </rPr>
      <t>Rozhlas a televize</t>
    </r>
    <r>
      <rPr>
        <b/>
        <sz val="9"/>
        <rFont val="Arial CE"/>
      </rPr>
      <t xml:space="preserve"> </t>
    </r>
    <r>
      <rPr>
        <sz val="9"/>
        <rFont val="Arial CE"/>
      </rPr>
      <t>(TV Polar, záznamy ze ZM)</t>
    </r>
  </si>
  <si>
    <r>
      <rPr>
        <b/>
        <sz val="10"/>
        <rFont val="Arial CE"/>
      </rPr>
      <t xml:space="preserve">Ostatní záležitosti kultury, církví a sdělovacích prostředků </t>
    </r>
    <r>
      <rPr>
        <sz val="9"/>
        <rFont val="Arial CE"/>
      </rPr>
      <t>(odměny za užití duševního vlastnictví 20)</t>
    </r>
  </si>
  <si>
    <t>ORJ 011 - Návštěvnické centrum Nový Jičín - město klobouků</t>
  </si>
  <si>
    <r>
      <rPr>
        <b/>
        <sz val="10"/>
        <rFont val="Arial CE"/>
      </rPr>
      <t xml:space="preserve">Vnitřní obchod  </t>
    </r>
    <r>
      <rPr>
        <b/>
        <sz val="9"/>
        <rFont val="Arial CE"/>
      </rPr>
      <t xml:space="preserve">- </t>
    </r>
    <r>
      <rPr>
        <sz val="9"/>
        <rFont val="Arial CE"/>
      </rPr>
      <t xml:space="preserve">opravy a údržba 25, materiál 38, služby 64, příspěvek TSM celkem (jarmarky, vánoční strom, výzdoba,…) 454, pohoštění 5, DHM 100, stroje, přístroje, zařízení 540.  </t>
    </r>
  </si>
  <si>
    <r>
      <rPr>
        <b/>
        <sz val="10"/>
        <rFont val="Arial CE"/>
      </rPr>
      <t>Cestovní ruch</t>
    </r>
    <r>
      <rPr>
        <b/>
        <sz val="9"/>
        <rFont val="Arial CE"/>
      </rPr>
      <t xml:space="preserve"> </t>
    </r>
    <r>
      <rPr>
        <sz val="9"/>
        <rFont val="Arial CE"/>
      </rPr>
      <t xml:space="preserve">(platy 3600, dohody 360, soc.poj. 982 080, zdrav. poj. 356 400, náhrada mezd za nemoc 20, platby daní a popl. Stát. rozp. 6,5, knihy, tisk 6, drobný hmotný maj. 480, materiál (kalendáře, upom. Př., tiskoviny,…) 640, materiál DPH 374,5, poštovné 4, telefony 10, pronájem 277, služby zprac. dat. 30, nákup služeb (prop. inz., služby) 1170, nákup služeb DPH (služby spojené s kelímky NICKNACK) 170 976, opravy a údržba 80, cestovné 10, pohoštění 80, ost.nák.j.n. 4,5, neinvest. transféry 140, neinvest. přísp. Pivobraní 170. </t>
    </r>
  </si>
  <si>
    <r>
      <rPr>
        <b/>
        <sz val="10"/>
        <rFont val="Arial CE"/>
      </rPr>
      <t>Ost.záležitosti kultury, církví a sdělovacích prostředků</t>
    </r>
    <r>
      <rPr>
        <sz val="10"/>
        <rFont val="Arial CE"/>
      </rPr>
      <t xml:space="preserve"> (</t>
    </r>
    <r>
      <rPr>
        <sz val="9"/>
        <rFont val="Arial CE"/>
      </rPr>
      <t xml:space="preserve">platby za autorská práva - OSA, Integram) </t>
    </r>
  </si>
  <si>
    <r>
      <rPr>
        <b/>
        <sz val="10"/>
        <rFont val="Arial CE"/>
      </rPr>
      <t>Mezinárodní spolupráce</t>
    </r>
    <r>
      <rPr>
        <sz val="9"/>
        <rFont val="Arial CE"/>
      </rPr>
      <t xml:space="preserve"> - materiál 55, materiál DPH 5, PHM 5, nájemné 20, služby 280, cestovné 40, pohoštění 110.</t>
    </r>
  </si>
  <si>
    <t>Bezpečnost silničního provozu (BESIP)</t>
  </si>
  <si>
    <t xml:space="preserve">             DHM 6, materiál 3, nájemné 42, služby 10, opravy a udržování 7, pohoštění 2, věcné dary 6 </t>
  </si>
  <si>
    <r>
      <rPr>
        <b/>
        <sz val="10"/>
        <rFont val="Arial CE"/>
      </rPr>
      <t xml:space="preserve">Ostatní záležitosti v silniční dopravě - </t>
    </r>
    <r>
      <rPr>
        <sz val="10"/>
        <rFont val="Arial CE"/>
      </rPr>
      <t>odvod ekologické daně 12/2019</t>
    </r>
  </si>
  <si>
    <r>
      <rPr>
        <b/>
        <sz val="10"/>
        <rFont val="Arial CE"/>
      </rPr>
      <t>Dopravní obslužnost</t>
    </r>
    <r>
      <rPr>
        <sz val="10"/>
        <rFont val="Arial CE"/>
      </rPr>
      <t xml:space="preserve"> - veřejná doprava</t>
    </r>
  </si>
  <si>
    <t>z toho: územní dopravní obslužnost dle smlouvy s MSK</t>
  </si>
  <si>
    <r>
      <rPr>
        <sz val="10"/>
        <rFont val="Arial CE"/>
      </rPr>
      <t xml:space="preserve">             příspěvek na MHD</t>
    </r>
    <r>
      <rPr>
        <sz val="9"/>
        <rFont val="Arial CE"/>
      </rPr>
      <t xml:space="preserve"> (ARRIVA) - dle smlouvy </t>
    </r>
  </si>
  <si>
    <r>
      <rPr>
        <sz val="10"/>
        <rFont val="Arial CE"/>
      </rPr>
      <t xml:space="preserve">             příspěvek na ochranné chem prostředky a pomůcky pro dopravce veř.dopravy </t>
    </r>
    <r>
      <rPr>
        <sz val="9"/>
        <rFont val="Arial CE"/>
      </rPr>
      <t>(ARRIVA) - z MSK (úz 27009)</t>
    </r>
  </si>
  <si>
    <r>
      <rPr>
        <sz val="10"/>
        <rFont val="Arial CE"/>
      </rPr>
      <t xml:space="preserve">             kompenzace ztráty dopravci za rozšíření tarifu "město" 2020: </t>
    </r>
    <r>
      <rPr>
        <sz val="10"/>
        <rFont val="Arial CE"/>
      </rPr>
      <t xml:space="preserve">dokrytí ztráty za provozování skibusu: </t>
    </r>
  </si>
  <si>
    <t xml:space="preserve">                dokrytí ztráty za provozovaní autobusového spojení Hranice na Moravě </t>
  </si>
  <si>
    <r>
      <rPr>
        <b/>
        <sz val="10"/>
        <rFont val="Arial CE"/>
      </rPr>
      <t xml:space="preserve">Bezpečnost silničního provozu - </t>
    </r>
    <r>
      <rPr>
        <sz val="10"/>
        <rFont val="Arial CE"/>
      </rPr>
      <t>znalecké posudky při řešení dopravních deliktů+tlumočení</t>
    </r>
  </si>
  <si>
    <r>
      <rPr>
        <b/>
        <sz val="10"/>
        <rFont val="Arial CE"/>
      </rPr>
      <t xml:space="preserve">Činnost místní správy - </t>
    </r>
    <r>
      <rPr>
        <sz val="10"/>
        <rFont val="Arial CE"/>
      </rPr>
      <t>ostatní platy (refundace vč.pojist.), konzult.a porad.služby, náhrady svědkům</t>
    </r>
  </si>
  <si>
    <t>ORJ 317 - Odbor správních agend</t>
  </si>
  <si>
    <t>Volby do zastupitelstev krajů</t>
  </si>
  <si>
    <t xml:space="preserve">Volby do Poslanecké sněmovny </t>
  </si>
  <si>
    <t>414 - Školství</t>
  </si>
  <si>
    <t>Předškolní zařízení</t>
  </si>
  <si>
    <t xml:space="preserve">příspěvky a dotace vlastní: na provoz MŠ </t>
  </si>
  <si>
    <t xml:space="preserve">                                            na údržbu MŠ </t>
  </si>
  <si>
    <t xml:space="preserve">                                            na investice</t>
  </si>
  <si>
    <r>
      <rPr>
        <sz val="10"/>
        <rFont val="Arial CE"/>
      </rPr>
      <t xml:space="preserve">             v tom:  </t>
    </r>
    <r>
      <rPr>
        <b/>
        <i/>
        <sz val="10"/>
        <rFont val="Arial CE"/>
      </rPr>
      <t>MŠ Sady</t>
    </r>
    <r>
      <rPr>
        <sz val="10"/>
        <rFont val="Arial CE"/>
      </rPr>
      <t xml:space="preserve"> (org. 305)</t>
    </r>
  </si>
  <si>
    <t xml:space="preserve">                               - příspěvek na provoz, včetně energií 850, včetně odpisů z nemovitého majetku </t>
  </si>
  <si>
    <t xml:space="preserve">                              </t>
  </si>
  <si>
    <r>
      <rPr>
        <sz val="10"/>
        <rFont val="Arial CE"/>
      </rPr>
      <t xml:space="preserve">                               - příspěvek na údržbu </t>
    </r>
    <r>
      <rPr>
        <sz val="9"/>
        <rFont val="Arial CE"/>
      </rPr>
      <t>(oprava střešních svodů MŠ Revoluční a zásaků vody do kanalizace, oprava venkovního schodiště - zahradad Sm.sady, orpava chodníků na zaahradě MŠ Revoluční, malování a nátěry, oprava terasy MŠ Revoluční ) při zapojení FI 100</t>
    </r>
  </si>
  <si>
    <r>
      <rPr>
        <sz val="10"/>
        <rFont val="Arial CE"/>
      </rPr>
      <t xml:space="preserve">                               - příspěvek na investice</t>
    </r>
    <r>
      <rPr>
        <sz val="9"/>
        <rFont val="Arial CE"/>
      </rPr>
      <t xml:space="preserve"> (revitalizace zahrady MŠ Smetanovy sady, elektroinstalace MŠ Jiráskova-havarijní stav, rekonstrukce vzduchotechniky MŠ Jiráskova)</t>
    </r>
  </si>
  <si>
    <r>
      <rPr>
        <b/>
        <i/>
        <sz val="10"/>
        <rFont val="Arial CE"/>
      </rPr>
      <t xml:space="preserve">                          MŠ Máj</t>
    </r>
    <r>
      <rPr>
        <sz val="10"/>
        <rFont val="Arial CE"/>
      </rPr>
      <t xml:space="preserve"> (org. 307)</t>
    </r>
  </si>
  <si>
    <t xml:space="preserve">                               - příspěvek na provoz, včetně energií 1270, včetně odpisů z nemovitého majetku </t>
  </si>
  <si>
    <r>
      <rPr>
        <sz val="10"/>
        <rFont val="Arial CE"/>
      </rPr>
      <t xml:space="preserve">                               - příspěvek na údržbu </t>
    </r>
    <r>
      <rPr>
        <sz val="9"/>
        <rFont val="Arial CE"/>
      </rPr>
      <t>(malování a nátěry, oprava plotu, výměna podlahových krytin, PD sanace sušárny a prádelny MŠ Vančurova, zajištění dešťové mřížky okapů u MŠ Jubilejní, oprava výtahu) při zapojení FR a FI 170</t>
    </r>
  </si>
  <si>
    <r>
      <rPr>
        <sz val="10"/>
        <rFont val="Arial CE"/>
      </rPr>
      <t xml:space="preserve">                               - příspěvek na investice</t>
    </r>
    <r>
      <rPr>
        <sz val="9"/>
        <rFont val="Arial CE"/>
      </rPr>
      <t xml:space="preserve"> (myčka ) zapojení FI 50</t>
    </r>
  </si>
  <si>
    <r>
      <rPr>
        <sz val="10"/>
        <rFont val="Arial CE"/>
      </rPr>
      <t xml:space="preserve">                          </t>
    </r>
    <r>
      <rPr>
        <b/>
        <i/>
        <sz val="10"/>
        <rFont val="Arial CE"/>
      </rPr>
      <t>MŠ Trojlístek</t>
    </r>
    <r>
      <rPr>
        <sz val="10"/>
        <rFont val="Arial CE"/>
      </rPr>
      <t xml:space="preserve"> (org. 309)</t>
    </r>
  </si>
  <si>
    <r>
      <rPr>
        <sz val="10"/>
        <rFont val="Arial CE"/>
      </rPr>
      <t xml:space="preserve">                               - příspěvek na údržbu </t>
    </r>
    <r>
      <rPr>
        <sz val="9"/>
        <rFont val="Arial CE"/>
      </rPr>
      <t>(oprava plotu MŠ Kom - poslední etapa, oprava kuchyněk a parapetů MŠ Máchova, oprava výtahu MŠ Máchova, výměna podlahových krytin, malování a nátěry, oprava sprchy MŠ Beskydská, ochranný val proti zatečení MŠ Beskydská)</t>
    </r>
  </si>
  <si>
    <r>
      <rPr>
        <sz val="10"/>
        <rFont val="Arial CE"/>
      </rPr>
      <t xml:space="preserve">                               - příspěvek na investice </t>
    </r>
    <r>
      <rPr>
        <sz val="9"/>
        <rFont val="Arial CE"/>
      </rPr>
      <t xml:space="preserve">(PD rekonstrukce elektroinstalace MŠ Máchova, myčka) </t>
    </r>
    <r>
      <rPr>
        <sz val="10"/>
        <rFont val="Arial CE"/>
      </rPr>
      <t>zapojení FI 50</t>
    </r>
  </si>
  <si>
    <t>Základní školy</t>
  </si>
  <si>
    <t xml:space="preserve">rezerva+vyhodnocení žáků </t>
  </si>
  <si>
    <t xml:space="preserve">příspěvky vlastní: na provoz ZŠ </t>
  </si>
  <si>
    <t xml:space="preserve">                             na údržbu ZŠ </t>
  </si>
  <si>
    <t xml:space="preserve">                             na investice</t>
  </si>
  <si>
    <r>
      <rPr>
        <sz val="10"/>
        <rFont val="Arial CE"/>
      </rPr>
      <t xml:space="preserve">              v tom:  </t>
    </r>
    <r>
      <rPr>
        <b/>
        <i/>
        <sz val="10"/>
        <rFont val="Arial CE"/>
      </rPr>
      <t xml:space="preserve">ZŠ Jubilejní </t>
    </r>
    <r>
      <rPr>
        <sz val="10"/>
        <rFont val="Arial CE"/>
      </rPr>
      <t xml:space="preserve">celkem (org. 321) </t>
    </r>
  </si>
  <si>
    <t xml:space="preserve">                              - příspěvek na provoz, včetně energií 3700, včetně odpisů z nemovitého majetku </t>
  </si>
  <si>
    <r>
      <rPr>
        <sz val="10"/>
        <rFont val="Arial CE"/>
      </rPr>
      <t xml:space="preserve">                              - přísp.na údržbu</t>
    </r>
    <r>
      <rPr>
        <sz val="9"/>
        <rFont val="Arial CE"/>
      </rPr>
      <t xml:space="preserve"> (Jubilejní: malování a nátěry, stabilizace střešního pláště proti větru, ZŠ Dlouhá: PD sanace havraijní stav ve ŠJ, malování a nátěry, vnitřní obložení stěn šatny, úprava podlahy v tělocvičně)</t>
    </r>
  </si>
  <si>
    <r>
      <rPr>
        <sz val="10"/>
        <rFont val="Arial CE"/>
      </rPr>
      <t xml:space="preserve">                              - příspěvek na investice </t>
    </r>
    <r>
      <rPr>
        <sz val="9"/>
        <rFont val="Arial CE"/>
      </rPr>
      <t xml:space="preserve">(Jubilejní: rek. školního hřiště, zpracování žádosti, rekonstukce učeben dílen, náklady související s dotací IROP, plynový kotel ve ŠJ, krouhač zeleniny, objednávkový systém ŠJ, Dlouhá: PD rekonstrukce výtahu a bezbariérovosti budovy) při </t>
    </r>
    <r>
      <rPr>
        <sz val="10"/>
        <rFont val="Arial CE"/>
      </rPr>
      <t>zapojení FI 300</t>
    </r>
  </si>
  <si>
    <r>
      <rPr>
        <sz val="10"/>
        <rFont val="Arial CE"/>
      </rPr>
      <t xml:space="preserve">              v tom:  </t>
    </r>
    <r>
      <rPr>
        <b/>
        <i/>
        <sz val="10"/>
        <rFont val="Arial CE"/>
      </rPr>
      <t xml:space="preserve">ZŠ Komenského 66 </t>
    </r>
    <r>
      <rPr>
        <sz val="10"/>
        <rFont val="Arial CE"/>
      </rPr>
      <t>(org. 322)</t>
    </r>
  </si>
  <si>
    <t xml:space="preserve">                              - příspěvek na provoz, včetně energií 1700, včetně odpisů z nemovitého majetku </t>
  </si>
  <si>
    <r>
      <rPr>
        <sz val="10"/>
        <rFont val="Arial CE"/>
      </rPr>
      <t xml:space="preserve">                              - příspěvek na údržbu </t>
    </r>
    <r>
      <rPr>
        <sz val="9"/>
        <rFont val="Arial CE"/>
      </rPr>
      <t>(malování a nátěry, čištění fasády, výměna plechových podhledů v přízemí, oprava výtahu, zapojení FR a FI 320)</t>
    </r>
  </si>
  <si>
    <r>
      <rPr>
        <sz val="10"/>
        <rFont val="Arial CE"/>
      </rPr>
      <t xml:space="preserve">                              - příspěvek na investice </t>
    </r>
    <r>
      <rPr>
        <sz val="9"/>
        <rFont val="Arial CE"/>
      </rPr>
      <t xml:space="preserve">(spoluúčast města na projektu IROP, modernizace odborné učebny F, Ch, Z,) </t>
    </r>
  </si>
  <si>
    <r>
      <rPr>
        <sz val="10"/>
        <rFont val="Arial CE"/>
      </rPr>
      <t xml:space="preserve">                          </t>
    </r>
    <r>
      <rPr>
        <b/>
        <i/>
        <sz val="10"/>
        <rFont val="Arial CE"/>
      </rPr>
      <t>ZŠ Komenského 68</t>
    </r>
    <r>
      <rPr>
        <sz val="10"/>
        <rFont val="Arial CE"/>
      </rPr>
      <t xml:space="preserve"> (org. 323)</t>
    </r>
  </si>
  <si>
    <t xml:space="preserve">                              - příspěvek na provoz, včetně energií 1400, včetně odpisů z nemovitého majetku </t>
  </si>
  <si>
    <r>
      <rPr>
        <sz val="10"/>
        <rFont val="Arial CE"/>
      </rPr>
      <t xml:space="preserve">                              - příspěvek na údržbu </t>
    </r>
    <r>
      <rPr>
        <sz val="9"/>
        <rFont val="Arial CE"/>
      </rPr>
      <t>(oprava elektroinstalace-poslední etapa,</t>
    </r>
    <r>
      <rPr>
        <sz val="9"/>
        <rFont val="Arial CE"/>
      </rPr>
      <t>oprava ZTI</t>
    </r>
    <r>
      <rPr>
        <sz val="9"/>
        <rFont val="Arial CE"/>
      </rPr>
      <t>, malování a nátěry, oprava podlah) při zapojení FR 45</t>
    </r>
  </si>
  <si>
    <r>
      <rPr>
        <sz val="10"/>
        <rFont val="Arial CE"/>
      </rPr>
      <t xml:space="preserve">                             - příspěvek na investice</t>
    </r>
    <r>
      <rPr>
        <sz val="9"/>
        <rFont val="Arial CE"/>
      </rPr>
      <t xml:space="preserve"> (spoluúčast na projektu  IROP Digitalizace k Hitech.výuce, konvektomat) -při zapojení FI 160</t>
    </r>
  </si>
  <si>
    <r>
      <rPr>
        <sz val="10"/>
        <rFont val="Arial CE"/>
      </rPr>
      <t xml:space="preserve">                         </t>
    </r>
    <r>
      <rPr>
        <b/>
        <i/>
        <sz val="10"/>
        <rFont val="Arial CE"/>
      </rPr>
      <t xml:space="preserve">ZŠ Tyršova </t>
    </r>
    <r>
      <rPr>
        <sz val="10"/>
        <rFont val="Arial CE"/>
      </rPr>
      <t>(org. 325)</t>
    </r>
  </si>
  <si>
    <t xml:space="preserve">                             - příspěvek na provoz (vč. Montessori 250), vč.energií 2000, vč.odpisů z nem.majetku</t>
  </si>
  <si>
    <r>
      <rPr>
        <sz val="10"/>
        <rFont val="Arial CE"/>
      </rPr>
      <t xml:space="preserve">                             - příspěvek na údržbu</t>
    </r>
    <r>
      <rPr>
        <sz val="9"/>
        <rFont val="Arial CE"/>
      </rPr>
      <t xml:space="preserve"> (malování a nátěry)</t>
    </r>
  </si>
  <si>
    <t xml:space="preserve">                             - příspěvek na investice (myčka, server a diskové pole) </t>
  </si>
  <si>
    <t>Střediska volného času</t>
  </si>
  <si>
    <r>
      <rPr>
        <sz val="10"/>
        <rFont val="Arial CE"/>
      </rPr>
      <t xml:space="preserve">z toho: </t>
    </r>
    <r>
      <rPr>
        <b/>
        <i/>
        <sz val="10"/>
        <rFont val="Arial CE"/>
      </rPr>
      <t>SVČ Fokus</t>
    </r>
  </si>
  <si>
    <t xml:space="preserve">                  - příspěvek na provoz, včetně energií 670, včetně odpisů z nemovitého majetku </t>
  </si>
  <si>
    <t xml:space="preserve">                  - příspěvek na údržbu (oprava podlah v posilovně)</t>
  </si>
  <si>
    <r>
      <rPr>
        <sz val="10"/>
        <rFont val="Arial CE"/>
      </rPr>
      <t xml:space="preserve">                  - příspěvek na investice </t>
    </r>
    <r>
      <rPr>
        <sz val="9"/>
        <rFont val="Arial CE"/>
      </rPr>
      <t xml:space="preserve">(revitalizace projektu ITI+spoluúčast+zateplení nástavby části budovy (876 tis.Kč) , zrcadlová stěna, PD na ohřev teplé vody) zapojení FI 140 </t>
    </r>
  </si>
  <si>
    <r>
      <rPr>
        <b/>
        <sz val="10"/>
        <rFont val="Arial CE"/>
      </rPr>
      <t>Ostatní tělovýchovná činnost</t>
    </r>
    <r>
      <rPr>
        <sz val="10"/>
        <rFont val="Arial CE"/>
      </rPr>
      <t xml:space="preserve"> </t>
    </r>
  </si>
  <si>
    <t>416 - Kultura</t>
  </si>
  <si>
    <r>
      <rPr>
        <b/>
        <sz val="10"/>
        <rFont val="Arial CE"/>
      </rPr>
      <t xml:space="preserve">Divadelní činnost - </t>
    </r>
    <r>
      <rPr>
        <b/>
        <i/>
        <sz val="10"/>
        <rFont val="Arial CE"/>
      </rPr>
      <t>Beskydské divadlo</t>
    </r>
    <r>
      <rPr>
        <b/>
        <sz val="9"/>
        <rFont val="Arial CE"/>
      </rPr>
      <t xml:space="preserve"> </t>
    </r>
    <r>
      <rPr>
        <sz val="9"/>
        <rFont val="Arial CE"/>
      </rPr>
      <t>(org. 504)</t>
    </r>
  </si>
  <si>
    <t xml:space="preserve">z toho: příspěvek na provoz, včetně energií 2000, včetně odpisů z nemovitého majetku </t>
  </si>
  <si>
    <r>
      <rPr>
        <sz val="10"/>
        <rFont val="Arial CE"/>
      </rPr>
      <t xml:space="preserve">             příspěvek na údržbu </t>
    </r>
    <r>
      <rPr>
        <sz val="9"/>
        <rFont val="Arial CE"/>
      </rPr>
      <t xml:space="preserve">(zesílení stropních desek ve výchovní části přístavby vč.stav. úprav, oprava vzduchotechniky) při zapojení FI 200 </t>
    </r>
  </si>
  <si>
    <t xml:space="preserve">          - příspěvek na investice </t>
  </si>
  <si>
    <t>Ostatní záležitosti kultury</t>
  </si>
  <si>
    <r>
      <rPr>
        <sz val="10"/>
        <rFont val="Arial CE"/>
      </rPr>
      <t xml:space="preserve">z toho: osadní výbory </t>
    </r>
    <r>
      <rPr>
        <sz val="9"/>
        <rFont val="Arial CE"/>
      </rPr>
      <t>(Žilina, Straník, Bludovice, Kojetín, Loučka)</t>
    </r>
  </si>
  <si>
    <t xml:space="preserve">             kronika, služby, materiál, pohoštění, dar, ocenění osobností, ples, poplatky OSA a INTEGRAM atd.)</t>
  </si>
  <si>
    <t>Zachování a obnova kulturních památek</t>
  </si>
  <si>
    <r>
      <rPr>
        <sz val="10"/>
        <rFont val="Arial CE"/>
      </rPr>
      <t>z toho: dohody (</t>
    </r>
    <r>
      <rPr>
        <sz val="9"/>
        <rFont val="Arial CE"/>
      </rPr>
      <t>odborné texty na tabulky)</t>
    </r>
  </si>
  <si>
    <t xml:space="preserve">             Instalace a vytvoření tabulek s QR kódy ke kulturním památkám (domy a sochy)</t>
  </si>
  <si>
    <t xml:space="preserve">             Propagace v rámci EHD (vlajky a jiné), postřiky hradebních zdí, vč. likvidace náletů </t>
  </si>
  <si>
    <t xml:space="preserve">             Drobné opravy poškození, očištění soch a restaurování křížů, Kaple v Janáčkových sadech-úprava po fixaci maleb, oprva hradební zdi (ve dvoře HoteluPraha)</t>
  </si>
  <si>
    <t>Pořízení, zachování a obnova hodnot místního historického povědomí</t>
  </si>
  <si>
    <r>
      <rPr>
        <sz val="10"/>
        <rFont val="Arial CE"/>
      </rPr>
      <t xml:space="preserve">z toho: </t>
    </r>
    <r>
      <rPr>
        <sz val="9"/>
        <rFont val="Arial CE"/>
      </rPr>
      <t xml:space="preserve"> oprava křížů a kaplí </t>
    </r>
  </si>
  <si>
    <r>
      <rPr>
        <sz val="10"/>
        <rFont val="Arial CE"/>
      </rPr>
      <t xml:space="preserve">            elektrická energie </t>
    </r>
    <r>
      <rPr>
        <sz val="9"/>
        <rFont val="Arial CE"/>
      </rPr>
      <t xml:space="preserve">(zvonění kaple Kojetín, Bludovice) </t>
    </r>
  </si>
  <si>
    <t>Zájmová činnost v kultuře</t>
  </si>
  <si>
    <t>z toho: Osvětová beseda Straník</t>
  </si>
  <si>
    <r>
      <rPr>
        <sz val="10"/>
        <rFont val="Arial CE"/>
      </rPr>
      <t xml:space="preserve">z toho: </t>
    </r>
    <r>
      <rPr>
        <b/>
        <i/>
        <sz val="10"/>
        <rFont val="Arial CE"/>
      </rPr>
      <t>Městské kulturní středisko</t>
    </r>
    <r>
      <rPr>
        <b/>
        <sz val="10"/>
        <rFont val="Arial CE"/>
      </rPr>
      <t xml:space="preserve"> </t>
    </r>
    <r>
      <rPr>
        <sz val="9"/>
        <rFont val="Arial CE"/>
      </rPr>
      <t>(org. 501)</t>
    </r>
  </si>
  <si>
    <t xml:space="preserve">           -  příspěvek na provoz MěKS a Kina Květen, vč.energií 1350, vč.odpisů z nem.majetku 175 </t>
  </si>
  <si>
    <t xml:space="preserve">                                     včetně Novojičínského kulturního léta a Slavností města </t>
  </si>
  <si>
    <r>
      <rPr>
        <sz val="10"/>
        <rFont val="Arial CE"/>
      </rPr>
      <t xml:space="preserve">          -  příspěvek na investice </t>
    </r>
    <r>
      <rPr>
        <sz val="9"/>
        <rFont val="Arial CE"/>
      </rPr>
      <t>auto)</t>
    </r>
  </si>
  <si>
    <r>
      <rPr>
        <sz val="10"/>
        <rFont val="Arial CE"/>
      </rPr>
      <t xml:space="preserve">           -  příspěvek na údržbu </t>
    </r>
    <r>
      <rPr>
        <sz val="9"/>
        <rFont val="Arial CE"/>
      </rPr>
      <t xml:space="preserve">(oprava vstupu knihovny a části budovy garáže proti vzlínání vlhkosti, oprava asfaltové plochy před pódiem amfiteátru Skalky,oprava správního domku-pouze PD, přečalounění sedaček v kině, oprava digitálního projektoru , oprava plechového krytu v chodníkovém tělese u kina, oprava proskleného vnitřního prostoru kina) při zapojení FI 600 </t>
    </r>
  </si>
  <si>
    <t>Ostatní záležitosti kultury, církví a sdělovacích prostředků</t>
  </si>
  <si>
    <t>z toho: výdaje na občanské záležitosti (včetně vítání občánků a jubileí)</t>
  </si>
  <si>
    <t>441 - Dotace, návratné finanční výpomoci a dary cizím subjektům</t>
  </si>
  <si>
    <t>Dotace, návratné finanční výpomoci a dary cizím subjektům</t>
  </si>
  <si>
    <t>z toho: podpora celoroční činnosti v kulturní oblasti (org. 1121)</t>
  </si>
  <si>
    <t xml:space="preserve">            podpora jednorázových kulturních akcí (org. 1122)</t>
  </si>
  <si>
    <t xml:space="preserve">            podpora sportovní činnosti dospělých nad 20 let (org. 1131)</t>
  </si>
  <si>
    <t xml:space="preserve">            podpora sportovní činnosti dětí a mládeže do 20 let (org. 1132)</t>
  </si>
  <si>
    <t xml:space="preserve">            podpora jednorázových sportovních akcí (org. 1133)</t>
  </si>
  <si>
    <t xml:space="preserve">            podpora provozu, údržby a oprava sportovišť a sportovních zařízení (org. 1134)</t>
  </si>
  <si>
    <t xml:space="preserve">            podpora ostatního sportu mládeže do 20 let (org. 1136)</t>
  </si>
  <si>
    <t xml:space="preserve">            podpora výkonostního sportu dospělých nad 20 let (org. 1137)</t>
  </si>
  <si>
    <t xml:space="preserve">            podpora celoroční činnosti v oblasti využití volného času (org. 1141)</t>
  </si>
  <si>
    <t xml:space="preserve">            podpora jednorázových akcí v oblasti využití volného času (org. 1142)</t>
  </si>
  <si>
    <t xml:space="preserve">            podpora na zachování a obnovu kulturních památek (org. 1150)</t>
  </si>
  <si>
    <r>
      <rPr>
        <sz val="10"/>
        <rFont val="Arial CE"/>
      </rPr>
      <t xml:space="preserve">            mimořádné dotace a dary (org. 1180): </t>
    </r>
    <r>
      <rPr>
        <sz val="9"/>
        <rFont val="Arial CE"/>
      </rPr>
      <t>MŠ Beruška 165, ZŠ Galaxie 220 a MŠ Bludovice 33,816 -všechny 3 subjekty na úhradu režijních nákladů na stravování dětí včetně dovozu, ZO ČSOP Bartošovice 90 záchrana handicapovaných zvířat, Česká křesťanská akademie 15, rezerva 100</t>
    </r>
  </si>
  <si>
    <t>ORJ 018 - Městská policie</t>
  </si>
  <si>
    <t xml:space="preserve">Bezpečnost a veřejný pořádek </t>
  </si>
  <si>
    <r>
      <rPr>
        <sz val="10"/>
        <rFont val="Arial CE"/>
      </rPr>
      <t>z toho</t>
    </r>
    <r>
      <rPr>
        <b/>
        <sz val="10"/>
        <rFont val="Arial CE"/>
      </rPr>
      <t xml:space="preserve"> provoz:</t>
    </r>
    <r>
      <rPr>
        <sz val="10"/>
        <rFont val="Arial CE"/>
      </rPr>
      <t xml:space="preserve"> platy</t>
    </r>
    <r>
      <rPr>
        <sz val="9"/>
        <rFont val="Arial CE"/>
      </rPr>
      <t xml:space="preserve"> 16 000, zák.odvody 3 968 + 1 440 ochr.pomůcky 0, zdrav.pomůcky 2, výstroj 275, knihy, časopisy a tisk 1, DHM 151, materiál 127,5 včetně prevence kriminality, elektř.10, PHM 240, služby pošt 1, telekomunikace 242, nájemné 30, konzultace  porad.služby 3, školení 27, konference 2, služby 579, opravy a udrž. 283, služby zpracování dat 80, cestovné 7, neinv.přísp.a náhrady-prac.úrazy 50, kolky 10, náhrady za nemoc 100,</t>
    </r>
    <r>
      <rPr>
        <sz val="10"/>
        <rFont val="Arial CE"/>
      </rPr>
      <t xml:space="preserve"> správní poplatky 6, </t>
    </r>
    <r>
      <rPr>
        <b/>
        <sz val="10"/>
        <rFont val="Arial CE"/>
      </rPr>
      <t xml:space="preserve">investice: </t>
    </r>
    <r>
      <rPr>
        <sz val="9"/>
        <rFont val="Arial CE"/>
      </rPr>
      <t>radiostanice</t>
    </r>
  </si>
  <si>
    <t>ORJ 019 - Odbor organizační</t>
  </si>
  <si>
    <r>
      <rPr>
        <b/>
        <sz val="10"/>
        <rFont val="Arial CE"/>
      </rPr>
      <t xml:space="preserve">Ochrana obyvatelstva </t>
    </r>
    <r>
      <rPr>
        <sz val="9"/>
        <rFont val="Arial CE"/>
      </rPr>
      <t>(letáky+uživat.příručky 1, DHM 80, zpracování dat-data hosting, GSM přenosy 25, systém varování před povodněmi-hladinoměry dle servisní smlouvy 23, opravy a udržování systému varování před povodněmi 40)</t>
    </r>
  </si>
  <si>
    <r>
      <rPr>
        <b/>
        <sz val="10"/>
        <rFont val="Arial CE"/>
      </rPr>
      <t xml:space="preserve">Činnost ost. orgánů státní správy v oblasti civil.nouzového hospod. </t>
    </r>
    <r>
      <rPr>
        <sz val="9"/>
        <rFont val="Arial CE"/>
      </rPr>
      <t>(čerpá se jen při živelních pohromách: přikrývky 50, písek+pytle+... 70, zabezpečení chodu evak.středisek 3, teplo 3, elektrická energie 4, PHM 10, služby: ubytovací,stravovací,dopravní,... 60)</t>
    </r>
  </si>
  <si>
    <r>
      <rPr>
        <b/>
        <sz val="10"/>
        <rFont val="Arial CE"/>
      </rPr>
      <t xml:space="preserve">Ostatní správa v oblasti krizového řízení </t>
    </r>
    <r>
      <rPr>
        <sz val="9"/>
        <rFont val="Arial CE"/>
      </rPr>
      <t>(PHM do elektrocentrály 1, služby 2, materiál 1, knihy+učební pomůcky+tisk 1) - čerpá se jen v mimořádných událostech</t>
    </r>
  </si>
  <si>
    <r>
      <rPr>
        <b/>
        <sz val="10"/>
        <rFont val="Arial CE"/>
      </rPr>
      <t xml:space="preserve">Požární ochrana - profesionální část </t>
    </r>
    <r>
      <rPr>
        <sz val="9"/>
        <rFont val="Arial CE"/>
      </rPr>
      <t>(příspěvek HZS MSK dle smlouvy zvýšené o inflaci-předpoklad 2,7 %)</t>
    </r>
  </si>
  <si>
    <r>
      <rPr>
        <b/>
        <sz val="10"/>
        <rFont val="Arial CE"/>
      </rPr>
      <t xml:space="preserve">Požární ochrana - dobrovolná část </t>
    </r>
    <r>
      <rPr>
        <sz val="9"/>
        <rFont val="Arial CE"/>
      </rPr>
      <t>(pro hasiče Straník: OOPP 6, DHM - hadice a proudnice, svítilny na přilby 250, materiál 5, PHM 18, služby+internet 3,6, školení 3, nákup služeb-technické prohlídky vozidel, měření emisí, výměna pneu,... 10, opravy a udržování-příprava na STK, drobné opravy vozového parku 35, cestovné 2)</t>
    </r>
  </si>
  <si>
    <t xml:space="preserve">Činnost místní správy </t>
  </si>
  <si>
    <r>
      <rPr>
        <sz val="9"/>
        <rFont val="Arial CE"/>
      </rP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100, léky a zdrav.materiál 32,5, knihy+učební pomůcky+tisk 100, Novojičínský zpravodaj 500, drobný hmotný majetek-nábytek a vybavení velké zas.míst. 1600, náb. kanc úředníci 500, mobily, skartovačky, kan.židle, skříně, police 380, podlah.krytiny 200, zařiz. předm. WC radnice 30, vybavení kuchyňky Div. 8 50, materiál-kancelářský, hygienický, čistící, doručovací, ikebana, automobily-mazadla, nemrznoucí směsi,... 1075, voda 350, teplo 2100, elektr.energie 1500, pevná paliva 1, PHM 150, služby pošt 1700, telekomun.71, nájemné 126, právní služby 435,6, služby BOZP 72,6, bezplatné právní služby pro veřejnost 50, psychologické poradenství k výběrovým řízením 20, zpracování dat 260, služby vč. úklidu,servisu kopírek, vozidel, nové logo města, elektrorevize, servis vozidel 3215, opravy a udržování - malování, nátěry oken a dveří 870, výměna dlažby ve vchodu Radnice 400, oprava kanalizace garáže Div. 8 100, výměna oken Úzká 1000, oprava soc. zařízení radnice 1500, velká zas. místnost + kancelář tajemníka 700, ostatní opravy 1000, pohoštění 200, ostatní nákupy (čl. přísp. auditorů a tajemníků) 4,5, kolky 1, daně a poplatky vč. dálničních známek 21, ostatní výdaje 2.</t>
    </r>
  </si>
  <si>
    <r>
      <rPr>
        <sz val="9"/>
        <rFont val="Arial CE"/>
      </rPr>
      <t>z toho</t>
    </r>
    <r>
      <rPr>
        <b/>
        <sz val="9"/>
        <rFont val="Arial CE"/>
      </rPr>
      <t xml:space="preserve"> investice: </t>
    </r>
    <r>
      <rPr>
        <sz val="9"/>
        <rFont val="Arial CE"/>
      </rPr>
      <t>činnost místní správy-</t>
    </r>
    <r>
      <rPr>
        <b/>
        <sz val="9"/>
        <rFont val="Arial CE"/>
      </rPr>
      <t>org.381:</t>
    </r>
    <r>
      <rPr>
        <sz val="9"/>
        <rFont val="Arial CE"/>
      </rPr>
      <t xml:space="preserve"> PD na zpracování vstupu do budovy na ul. Div. 1 (vestibul a kantýna) 150, projekt na paternoster 100, PD na sociální zař. Divadelní 8 80, studie využitelnosti dvorní části radnice 150</t>
    </r>
  </si>
  <si>
    <r>
      <rPr>
        <u/>
        <sz val="9"/>
        <rFont val="Arial CE"/>
      </rPr>
      <t xml:space="preserve">Úsek informatiky </t>
    </r>
    <r>
      <rPr>
        <sz val="9"/>
        <rFont val="Arial CE"/>
      </rPr>
      <t xml:space="preserve">- </t>
    </r>
    <r>
      <rPr>
        <b/>
        <sz val="9"/>
        <rFont val="Arial CE"/>
      </rPr>
      <t>provoz - org.3381</t>
    </r>
    <r>
      <rPr>
        <sz val="9"/>
        <rFont val="Arial CE"/>
      </rPr>
      <t xml:space="preserve"> (v tom: drobný hmotný majetek-nové PC a LCD monitory, notebooky, kopírky, tiskárny, nákup a instalace nového plátna do auly, web kamera - nový HW, Free wifi Div. 8, drobné síťové prvky, UPS, nový plotr 870, materiál 365, nájemné 40, školení 20, služby zpracování dat 3912,4, ost.služby-znalecké posudky, osvědčení 50, opravy a udržování 580, nákup softwaru 140.</t>
    </r>
  </si>
  <si>
    <r>
      <rPr>
        <u/>
        <sz val="9"/>
        <rFont val="Arial CE"/>
      </rPr>
      <t>Úsek informatiky</t>
    </r>
    <r>
      <rPr>
        <b/>
        <sz val="9"/>
        <rFont val="Arial CE"/>
      </rPr>
      <t xml:space="preserve"> </t>
    </r>
    <r>
      <rPr>
        <sz val="9"/>
        <rFont val="Arial CE"/>
      </rPr>
      <t xml:space="preserve">- </t>
    </r>
    <r>
      <rPr>
        <b/>
        <sz val="9"/>
        <rFont val="Arial CE"/>
      </rPr>
      <t>investice - org.3381</t>
    </r>
    <r>
      <rPr>
        <sz val="9"/>
        <rFont val="Arial CE"/>
      </rPr>
      <t xml:space="preserve"> programové vybavení- antivir, SW TC zálohování 101, vyvolávací systém - rozšíření 20, eko webové stránky 0, rozvoj GIS 350, nový IS 2000; elektronická úřední deska 600.</t>
    </r>
  </si>
  <si>
    <r>
      <rPr>
        <sz val="10"/>
        <rFont val="Arial CE"/>
      </rPr>
      <t>Chata Jičínka-</t>
    </r>
    <r>
      <rPr>
        <b/>
        <sz val="10"/>
        <rFont val="Arial CE"/>
      </rPr>
      <t>org.4381</t>
    </r>
    <r>
      <rPr>
        <sz val="10"/>
        <rFont val="Arial CE"/>
      </rPr>
      <t xml:space="preserve"> </t>
    </r>
    <r>
      <rPr>
        <sz val="9"/>
        <rFont val="Arial CE"/>
      </rPr>
      <t xml:space="preserve">(v tom: drobný hmotný majetek 50, materiál 10, voda 15, elektr.energie 140, PHM 1, služby-praní, odpady,... 50, opravy a udržování 50, místní poplatky 17, </t>
    </r>
    <r>
      <rPr>
        <b/>
        <sz val="9"/>
        <rFont val="Arial CE"/>
      </rPr>
      <t>investice:</t>
    </r>
    <r>
      <rPr>
        <sz val="9"/>
        <rFont val="Arial CE"/>
      </rPr>
      <t xml:space="preserve"> další etapa - úprava stropu, podlah, elektronistalace, zpevnění základů)</t>
    </r>
  </si>
  <si>
    <r>
      <rPr>
        <sz val="10"/>
        <rFont val="Arial CE"/>
      </rPr>
      <t>Mobilní telefony-</t>
    </r>
    <r>
      <rPr>
        <b/>
        <sz val="10"/>
        <rFont val="Arial CE"/>
      </rPr>
      <t>org.7381</t>
    </r>
  </si>
  <si>
    <r>
      <rPr>
        <sz val="10"/>
        <rFont val="Arial CE"/>
      </rPr>
      <t>Pevné telefony-</t>
    </r>
    <r>
      <rPr>
        <b/>
        <sz val="10"/>
        <rFont val="Arial CE"/>
      </rPr>
      <t>org.8381</t>
    </r>
  </si>
  <si>
    <r>
      <rPr>
        <sz val="10"/>
        <rFont val="Arial CE"/>
      </rPr>
      <t>Dotace na OSPOD-</t>
    </r>
    <r>
      <rPr>
        <b/>
        <sz val="10"/>
        <rFont val="Arial CE"/>
      </rPr>
      <t>org. 1385</t>
    </r>
    <r>
      <rPr>
        <sz val="10"/>
        <rFont val="Arial CE"/>
      </rPr>
      <t xml:space="preserve"> </t>
    </r>
    <r>
      <rPr>
        <sz val="9"/>
        <rFont val="Arial CE"/>
      </rPr>
      <t xml:space="preserve">(v tom: knihy 6, DHM 46, materiál 17, PHM 23, služby telekomunikací 12, zpracování dat 72,6, ostatní služby 24) </t>
    </r>
  </si>
  <si>
    <r>
      <rPr>
        <b/>
        <sz val="10"/>
        <rFont val="Arial CE"/>
      </rPr>
      <t>Pojištění funkčně nespecifikované</t>
    </r>
    <r>
      <rPr>
        <sz val="9"/>
        <rFont val="Arial CE"/>
      </rPr>
      <t xml:space="preserve"> (pojištění 1300, náhrady za nezpůsobenou újmu 50)</t>
    </r>
  </si>
  <si>
    <t>ORJ 919 - Odbor kancelář vedení města</t>
  </si>
  <si>
    <r>
      <rPr>
        <b/>
        <sz val="10"/>
        <rFont val="Arial CE"/>
      </rPr>
      <t>Zastupitelstva obcí</t>
    </r>
    <r>
      <rPr>
        <sz val="9"/>
        <rFont val="Arial CE"/>
      </rPr>
      <t xml:space="preserve"> (ost.platy-refundace mzdy 25, odměny členů ZM 7150, zák.odvody 942,4+643,5, refund.zák.odvodů 12, školení a vzdělávání pro uvolněné ZM 8, parkovné 0,5, cestovné (ubytování a doprava) 15, pohoštění 75, poplatky na konference 5, ošatné-svatby 40, dary 30)</t>
    </r>
  </si>
  <si>
    <r>
      <rPr>
        <sz val="9"/>
        <rFont val="Arial CE"/>
      </rPr>
      <t>z toho provoz: činnost místní správy-</t>
    </r>
    <r>
      <rPr>
        <b/>
        <sz val="9"/>
        <rFont val="Arial CE"/>
      </rPr>
      <t>org.381</t>
    </r>
    <r>
      <rPr>
        <sz val="9"/>
        <rFont val="Arial CE"/>
      </rPr>
      <t xml:space="preserve"> v tom: platy 85000, ost.platy 10, dohody 1300, refundace 10, zák.odvody 21402,4+7767+490+1, školení a vzdělávání 1000, nákup ostatních služeb 2400, cestovné 250, poplatky na konference 20, ostatní (ošatné ceremoniářky,matrikářky,hudebníci) 260, náhrady 40, náhrady mezd v nemoci 700.</t>
    </r>
  </si>
  <si>
    <r>
      <rPr>
        <sz val="10"/>
        <rFont val="Arial CE"/>
      </rPr>
      <t>Dotace na OSPOD-</t>
    </r>
    <r>
      <rPr>
        <b/>
        <sz val="10"/>
        <rFont val="Arial CE"/>
      </rPr>
      <t>org. 1385</t>
    </r>
    <r>
      <rPr>
        <sz val="10"/>
        <rFont val="Arial CE"/>
      </rPr>
      <t xml:space="preserve"> </t>
    </r>
    <r>
      <rPr>
        <sz val="9"/>
        <rFont val="Arial CE"/>
      </rPr>
      <t>v tom: platy 5600,dohody 24, zák.odvody 1406+506,16, školení 120, cestovné 13</t>
    </r>
  </si>
  <si>
    <r>
      <rPr>
        <b/>
        <sz val="10"/>
        <rFont val="Arial CE"/>
      </rPr>
      <t>Sociální fond</t>
    </r>
    <r>
      <rPr>
        <sz val="10"/>
        <rFont val="Arial CE"/>
      </rPr>
      <t xml:space="preserve"> </t>
    </r>
    <r>
      <rPr>
        <sz val="9"/>
        <rFont val="Arial CE"/>
      </rPr>
      <t xml:space="preserve">(nájemné-aktivity odborů 60,7 , stravování 2269,8, nákup ost. služeb - akce odborové org. 160 , rekreace zaměstnanců 1165,5, pohoštění-setkání zaměstnanců+bývalých zaměstnanců 100 , ošatné uvolnění ZM+pověření neuvolnění ZM 90 , dary obyvatelstvu při úmrtí zaměstnance nebo člena rodiny 100, jubilea 94, penzijní a životní pojištění zaměstn. 1860 + investice z ORJ 019 ze zůstatku SF 300) </t>
    </r>
  </si>
  <si>
    <t>Převody vlastním fondům v rozpočtech územní úrovně</t>
  </si>
  <si>
    <t>528 - Sociální věci</t>
  </si>
  <si>
    <t>Dopravní obslužnost mimo veřejnou službu - BST (org. 5555)</t>
  </si>
  <si>
    <r>
      <rPr>
        <b/>
        <sz val="10"/>
        <rFont val="Arial CE"/>
      </rPr>
      <t xml:space="preserve">Nebytové hospodářství </t>
    </r>
    <r>
      <rPr>
        <sz val="9"/>
        <rFont val="Arial CE"/>
      </rPr>
      <t>(Sokolovská 9: drobný hmotný majetek 2, materiál 1, služby 1)</t>
    </r>
  </si>
  <si>
    <r>
      <rPr>
        <b/>
        <sz val="10"/>
        <rFont val="Arial CE"/>
      </rPr>
      <t xml:space="preserve">Pohřebnictví </t>
    </r>
    <r>
      <rPr>
        <sz val="9"/>
        <rFont val="Arial CE"/>
      </rPr>
      <t>(úhrada sociálních pohřbů)</t>
    </r>
  </si>
  <si>
    <t xml:space="preserve">Ostatní sociální péče a pomoc dětem a mládeži </t>
  </si>
  <si>
    <t>z toho: věcné dary/nákup materiálu (státní příspěvek na výkon OSPOD) ÚZ 13011, org. 1385</t>
  </si>
  <si>
    <t xml:space="preserve">             terapeutické pobyty pro děti ze sociálně znevýhodněného prostředí</t>
  </si>
  <si>
    <t xml:space="preserve">             odvod výživného 2019</t>
  </si>
  <si>
    <r>
      <rPr>
        <b/>
        <sz val="10"/>
        <rFont val="Arial CE"/>
      </rPr>
      <t xml:space="preserve">Ostatní sociální péče a pomoc rodině a manželství </t>
    </r>
    <r>
      <rPr>
        <sz val="10"/>
        <rFont val="Arial CE"/>
      </rPr>
      <t>(výkon pěstounské péče)</t>
    </r>
  </si>
  <si>
    <t xml:space="preserve">             nákup služeb (státní příspěvek na výkon pěstounské péče) ÚZ 13010</t>
  </si>
  <si>
    <t>Sociální rehabilitace</t>
  </si>
  <si>
    <r>
      <rPr>
        <b/>
        <sz val="10"/>
        <rFont val="Arial CE"/>
      </rPr>
      <t xml:space="preserve">             </t>
    </r>
    <r>
      <rPr>
        <sz val="10"/>
        <rFont val="Arial CE"/>
      </rPr>
      <t>neinvestiční transfery krajům (smlouva o závazku vůči MSK) ÚZ 00030</t>
    </r>
  </si>
  <si>
    <t>Ostatní sociální péče a pomoc ostatním skupinám obyvatelstva</t>
  </si>
  <si>
    <t>z toho: nákup služeb - Komunitní plánování (org. 0439)</t>
  </si>
  <si>
    <t xml:space="preserve">             komunitní plánování  II. - Efektivní systém plánování soc.služeb v NJ (org.1441)</t>
  </si>
  <si>
    <t>Podpora samostatného bydlení</t>
  </si>
  <si>
    <t xml:space="preserve">             neinvestiční transfery krajům (smlouva o závazku vůči MSK) ÚZ 00030</t>
  </si>
  <si>
    <t>Sociálně aktivizační služby pro rodiny s dětmi</t>
  </si>
  <si>
    <t>Azylové domy, nízkoprahová denní centra a noclehárny</t>
  </si>
  <si>
    <t>Ostatní služby a činnosti v oblasti sociální prevence</t>
  </si>
  <si>
    <t>z toho:   Klub seniorů Nový Jičín (org. 383)</t>
  </si>
  <si>
    <t xml:space="preserve">             Klub seniorů Straník (org. 2383)</t>
  </si>
  <si>
    <t xml:space="preserve">             Klub seniorů Loučka (org. 3383)</t>
  </si>
  <si>
    <t xml:space="preserve">             Kavárničky - setkání seniorů v DPS (org. 3393)</t>
  </si>
  <si>
    <r>
      <rPr>
        <b/>
        <sz val="10"/>
        <rFont val="Arial CE"/>
      </rPr>
      <t xml:space="preserve">Záležitosti soc. věcí a politiky nezaměstn. j.n. </t>
    </r>
    <r>
      <rPr>
        <sz val="9"/>
        <rFont val="Arial CE"/>
      </rPr>
      <t xml:space="preserve">(nákup tiskopisů receptů a žádanek na omamné látky, průkazy BST) </t>
    </r>
  </si>
  <si>
    <t xml:space="preserve">Rezerva </t>
  </si>
  <si>
    <t>541 - Dotace, návratné finanční výpomoci a dary cizím subjektům</t>
  </si>
  <si>
    <t>Dotace, návratné finanční výpomoci a dary cizím subjektům celkem:</t>
  </si>
  <si>
    <t>z toho: podpora celoroční činnosti v oblasti sociální (org. 1111)</t>
  </si>
  <si>
    <t xml:space="preserve">             podpora jednorázových akcí v oblasti sociální (org. 1112)</t>
  </si>
  <si>
    <t xml:space="preserve">             podpora sociálních služeb dle zákona o soc.službách (org. 1113)</t>
  </si>
  <si>
    <t xml:space="preserve">             podpora občanů města v pobytových soc. zařízeních (org. 1114)</t>
  </si>
  <si>
    <t xml:space="preserve">             podpora domácí hospicové péče (org. 1115)</t>
  </si>
  <si>
    <t xml:space="preserve">             podpora dobrovolnictví dle zákona o dobrovolnické službě (org. 1116)</t>
  </si>
  <si>
    <t xml:space="preserve">             dary obyvatelstvu - dobrovolní dárci krve (org. 1180)</t>
  </si>
  <si>
    <t xml:space="preserve">             individuální dotace a dary (org. 1180)</t>
  </si>
  <si>
    <t>ORJ 029 - ProSenior Nový Jičín</t>
  </si>
  <si>
    <t>Osobní asistence, pečovatelská služba a podpora samostatného bydlení</t>
  </si>
  <si>
    <r>
      <rPr>
        <sz val="9"/>
        <rFont val="Arial CE"/>
      </rPr>
      <t xml:space="preserve">z toho </t>
    </r>
    <r>
      <rPr>
        <b/>
        <sz val="9"/>
        <rFont val="Arial CE"/>
      </rPr>
      <t>Pečovatelská služba (org.390)</t>
    </r>
    <r>
      <rPr>
        <sz val="9"/>
        <rFont val="Arial CE"/>
      </rPr>
      <t xml:space="preserve">: platy 3920+650, dohody 60, zákonné odvody 972+158, 355+75, potraviny 1, ochranné osobní pomůcky 40, léky+zdrav.mater.3, prádlo+oděv 2, knihy+tisk 1,5, DHM  50, materiál  72,1, elektř. 50, PHM 120, služby telekomunikací 18, mobily 12, pevné linky 2, školení a vzdělávání 50, zpracování dat 18, služby 50, opravy a udržování 90, cestovné 20, účastnické poplatky na konference 8, ostatní nákupy 0, neinvestiční transfery spolkům 2,9, náhrady mezd v době nemoci 35     </t>
    </r>
  </si>
  <si>
    <r>
      <rPr>
        <sz val="9"/>
        <rFont val="Arial CE"/>
      </rPr>
      <t xml:space="preserve">z toho </t>
    </r>
    <r>
      <rPr>
        <b/>
        <sz val="9"/>
        <rFont val="Arial CE"/>
      </rPr>
      <t>Denní stacionář=Domovinka (org.1391)</t>
    </r>
    <r>
      <rPr>
        <sz val="9"/>
        <rFont val="Arial CE"/>
      </rPr>
      <t>: platy 900 310, dohody 10, zákonné odvody221+81 80+28, ochr.os.pomůcky 8, prádlo+oděv 1,5, knihy+tisk 1, DHM 10, materiál 12, elektrická energie 10, služby telekomunikací 1,3, školení a vzdělávání 10, zpracování dat 5, služby 33, opravy a údržba 5, cestovné 1, účastn.popl.na konferencích 0,5, náhrady mezd v době nemoci   11</t>
    </r>
  </si>
  <si>
    <r>
      <rPr>
        <sz val="9"/>
        <rFont val="Arial CE"/>
      </rPr>
      <t xml:space="preserve">z toho </t>
    </r>
    <r>
      <rPr>
        <b/>
        <sz val="9"/>
        <rFont val="Arial CE"/>
      </rPr>
      <t>Pohoda (org.1393)</t>
    </r>
    <r>
      <rPr>
        <sz val="9"/>
        <rFont val="Arial CE"/>
      </rPr>
      <t xml:space="preserve">: platy 2 800+604, dohody 200, zákonné odvody 685+150 250+54,5, OOP+oděvy 20+5, DHM 40, materiál 36, elektř.12, telef. 1,3, školení a vzdělávání 18, zpracování dat 15, služby 6, opravy a údržba 7, cestovné 1, poplatky na konference 0,5, náhrady v době nemoci  25                                               </t>
    </r>
  </si>
  <si>
    <t xml:space="preserve">Ozdravování hospodářských zvířat </t>
  </si>
  <si>
    <r>
      <rPr>
        <b/>
        <sz val="10"/>
        <rFont val="Arial CE"/>
      </rPr>
      <t xml:space="preserve">Pěstební činnost </t>
    </r>
    <r>
      <rPr>
        <sz val="9"/>
        <rFont val="Arial CE"/>
      </rPr>
      <t>(znovuzalesnění po kůrovci) - TSM: 0</t>
    </r>
  </si>
  <si>
    <t>Správa v lesním hospodářství</t>
  </si>
  <si>
    <r>
      <rPr>
        <b/>
        <sz val="10"/>
        <rFont val="Arial CE"/>
      </rPr>
      <t xml:space="preserve">Celospolečenské funkce lesů </t>
    </r>
    <r>
      <rPr>
        <sz val="9"/>
        <rFont val="Arial CE"/>
      </rPr>
      <t>(cesty a svážnice+oprava kamenného divadla)</t>
    </r>
  </si>
  <si>
    <t xml:space="preserve">Ostatní záležitosti lesního hospodářství </t>
  </si>
  <si>
    <r>
      <rPr>
        <b/>
        <sz val="10"/>
        <rFont val="Arial CE"/>
      </rPr>
      <t xml:space="preserve">Ostatní správa ve vodním hospodářství </t>
    </r>
    <r>
      <rPr>
        <sz val="9"/>
        <rFont val="Arial CE"/>
      </rPr>
      <t>(havárie)</t>
    </r>
  </si>
  <si>
    <r>
      <rPr>
        <b/>
        <sz val="10"/>
        <rFont val="Arial CE"/>
      </rPr>
      <t>Sběr a svoz nebezpečných odpadů</t>
    </r>
    <r>
      <rPr>
        <b/>
        <sz val="9"/>
        <rFont val="Arial CE"/>
      </rPr>
      <t xml:space="preserve"> </t>
    </r>
    <r>
      <rPr>
        <sz val="9"/>
        <rFont val="Arial CE"/>
      </rPr>
      <t>(TSM: 50)</t>
    </r>
  </si>
  <si>
    <t xml:space="preserve">Sběr a svoz komunálních odpadů </t>
  </si>
  <si>
    <t>z toho: TSM - příspěvek na provoz</t>
  </si>
  <si>
    <t xml:space="preserve">            ostatní provoz město</t>
  </si>
  <si>
    <r>
      <rPr>
        <sz val="10"/>
        <rFont val="Arial CE"/>
      </rPr>
      <t xml:space="preserve">z toho: TSM příspěvek na investice </t>
    </r>
    <r>
      <rPr>
        <sz val="8"/>
        <rFont val="Arial CE"/>
      </rPr>
      <t>(</t>
    </r>
    <r>
      <rPr>
        <sz val="9"/>
        <rFont val="Arial CE"/>
      </rPr>
      <t>auto, vany, PD zprůjezdnění, unimobuňka)</t>
    </r>
  </si>
  <si>
    <r>
      <rPr>
        <b/>
        <sz val="10"/>
        <rFont val="Arial CE"/>
      </rPr>
      <t xml:space="preserve">Monitoring půdy a podzemní vody </t>
    </r>
    <r>
      <rPr>
        <sz val="9"/>
        <rFont val="Arial CE"/>
      </rPr>
      <t xml:space="preserve">(sledování vrtů na Kojetíně) </t>
    </r>
  </si>
  <si>
    <r>
      <rPr>
        <b/>
        <sz val="10"/>
        <rFont val="Arial CE"/>
      </rPr>
      <t>Chráněné části přírody</t>
    </r>
    <r>
      <rPr>
        <sz val="9"/>
        <rFont val="Arial CE"/>
      </rPr>
      <t xml:space="preserve"> (památné stromy, významné krajinné prvky)</t>
    </r>
  </si>
  <si>
    <t>Rekultivace půdy</t>
  </si>
  <si>
    <t>Péče o vzhled obcí a veřejnou zeleň</t>
  </si>
  <si>
    <t>z toho: akce + Zelené město 150</t>
  </si>
  <si>
    <r>
      <rPr>
        <sz val="10"/>
        <rFont val="Arial CE"/>
      </rPr>
      <t xml:space="preserve">             údržba zeleně - </t>
    </r>
    <r>
      <rPr>
        <sz val="9"/>
        <rFont val="Arial CE"/>
      </rPr>
      <t>TSM</t>
    </r>
  </si>
  <si>
    <t xml:space="preserve">                                     - ostatní (OŽP)</t>
  </si>
  <si>
    <r>
      <rPr>
        <sz val="10"/>
        <rFont val="Arial CE"/>
      </rPr>
      <t xml:space="preserve">             příspěvek na investice TSM pro rok 2021 </t>
    </r>
    <r>
      <rPr>
        <sz val="8"/>
        <rFont val="Arial CE"/>
      </rPr>
      <t xml:space="preserve">(nakladač, demolice skladu, revitalizace středista veřejné zeleně, demolice regulačních stanic) </t>
    </r>
  </si>
  <si>
    <t>Ekologická výchova a osvěta</t>
  </si>
  <si>
    <r>
      <rPr>
        <b/>
        <sz val="10"/>
        <rFont val="Arial CE"/>
      </rPr>
      <t xml:space="preserve">Ostatní ekologické záležitosti </t>
    </r>
    <r>
      <rPr>
        <sz val="9"/>
        <rFont val="Arial CE"/>
      </rPr>
      <t>(zpracování Adaptační strategie na změnu klimatu)</t>
    </r>
  </si>
  <si>
    <t xml:space="preserve">ORJ 037 - Odbor bytový </t>
  </si>
  <si>
    <r>
      <rPr>
        <b/>
        <sz val="10"/>
        <rFont val="Arial"/>
      </rPr>
      <t>Střední odborné školy</t>
    </r>
    <r>
      <rPr>
        <sz val="10"/>
        <rFont val="Arial"/>
      </rPr>
      <t xml:space="preserve"> </t>
    </r>
    <r>
      <rPr>
        <sz val="9"/>
        <rFont val="Arial"/>
      </rPr>
      <t>(EDUCA) - běžné opravy 100, zápočet investic a nájmu 275</t>
    </r>
  </si>
  <si>
    <t>Sportovní zařízení v majetku obce</t>
  </si>
  <si>
    <r>
      <rPr>
        <b/>
        <i/>
        <sz val="10"/>
        <rFont val="Arial"/>
      </rPr>
      <t xml:space="preserve">   </t>
    </r>
    <r>
      <rPr>
        <b/>
        <i/>
        <u/>
        <sz val="10"/>
        <rFont val="Arial"/>
      </rPr>
      <t>Sportovní hala s bazénem:</t>
    </r>
    <r>
      <rPr>
        <i/>
        <sz val="10"/>
        <rFont val="Arial"/>
      </rPr>
      <t xml:space="preserve"> org. 0515, 1515, 2515, 3515</t>
    </r>
  </si>
  <si>
    <t>z toho: investice celkem</t>
  </si>
  <si>
    <r>
      <rPr>
        <sz val="10"/>
        <rFont val="Arial"/>
      </rPr>
      <t xml:space="preserve">             - venkovní </t>
    </r>
    <r>
      <rPr>
        <b/>
        <sz val="10"/>
        <rFont val="Arial"/>
      </rPr>
      <t>bazén</t>
    </r>
    <r>
      <rPr>
        <sz val="10"/>
        <rFont val="Arial"/>
      </rPr>
      <t xml:space="preserve"> org. 2515 (vybudování kamenného koberce) </t>
    </r>
  </si>
  <si>
    <t xml:space="preserve">             - generální úprava dámských a pánských sprch  (finance převedeny z 5171)</t>
  </si>
  <si>
    <t xml:space="preserve">             - podlaha basketbalové haly - PD + realizace (za předpokladu dotace MŠMT a spoluúčast města)</t>
  </si>
  <si>
    <t xml:space="preserve">             - zpracování PD rekonstrukce vnitřního bazénu</t>
  </si>
  <si>
    <t>z toho: opravy a udržování celkem (znal.posudky,služby+opravy+údržba)</t>
  </si>
  <si>
    <t xml:space="preserve">             - v tom: výměna žaluzie v přívodním tunelu vzduchotechniky s předehřevem vzduchu</t>
  </si>
  <si>
    <t xml:space="preserve">                          nepředvídané opravy</t>
  </si>
  <si>
    <t xml:space="preserve">                          PD - střecha dešťové svody</t>
  </si>
  <si>
    <t xml:space="preserve">                          oprava tobogánu - venkovní bazén</t>
  </si>
  <si>
    <t xml:space="preserve">                          oprava dětského brouzdaliště - venkovní bazén</t>
  </si>
  <si>
    <t xml:space="preserve">                          dohoda o narovnání Ridera Stavební, a.s.</t>
  </si>
  <si>
    <t>z toho: provoz celkem</t>
  </si>
  <si>
    <r>
      <rPr>
        <sz val="10"/>
        <rFont val="Arial"/>
      </rPr>
      <t xml:space="preserve">          - dotace Basketbalovému klubu, z.s. (provoz+energie)          AÚ 437  </t>
    </r>
    <r>
      <rPr>
        <sz val="8"/>
        <rFont val="Arial"/>
      </rPr>
      <t>navyšeno o 600 tis. - koberec</t>
    </r>
  </si>
  <si>
    <t xml:space="preserve">          - elektřina - přečerpávací šachta</t>
  </si>
  <si>
    <t xml:space="preserve">          - SBI - zabezpečovací systém MP</t>
  </si>
  <si>
    <r>
      <rPr>
        <b/>
        <i/>
        <sz val="10"/>
        <rFont val="Arial"/>
      </rPr>
      <t xml:space="preserve">   </t>
    </r>
    <r>
      <rPr>
        <b/>
        <i/>
        <u/>
        <sz val="10"/>
        <rFont val="Arial"/>
      </rPr>
      <t>Zimní stadión</t>
    </r>
    <r>
      <rPr>
        <b/>
        <i/>
        <sz val="10"/>
        <rFont val="Arial"/>
      </rPr>
      <t>: org. 0522</t>
    </r>
  </si>
  <si>
    <t xml:space="preserve">             - rekonstrukce střechy - realizace rekonstrukce (příslib ZM 3.6.2019  = 56 mil. Kč)</t>
  </si>
  <si>
    <t xml:space="preserve">             - Cvičná brankářská střelnice pro hokejisty - PD a realizace</t>
  </si>
  <si>
    <t xml:space="preserve">             - dotace Hokejovému klubu, z.s. (provoz+energie)         AÚ 437</t>
  </si>
  <si>
    <t xml:space="preserve">             - SBI - zabezpečovací systém MP</t>
  </si>
  <si>
    <t xml:space="preserve">             - dodání mantinelů minihokej, stacionárních laviček, boxy na sezení do kabin (inventář položka 6122)</t>
  </si>
  <si>
    <t xml:space="preserve">z toho: opravy a udržování celkem </t>
  </si>
  <si>
    <t xml:space="preserve">            - nepředvídatelné výdaje </t>
  </si>
  <si>
    <t xml:space="preserve">            - oprava venkovních schodů a opěrné zídky </t>
  </si>
  <si>
    <t xml:space="preserve">            - oprava kanalizační přípojky - 60 m</t>
  </si>
  <si>
    <t>Bytové hospodářství</t>
  </si>
  <si>
    <t xml:space="preserve">             Bytový dům K archívu 2, NJ - PD pro realizaci </t>
  </si>
  <si>
    <t xml:space="preserve">             Pořízení EPS v DPS Revoluční 6 (požární hlásiče s napojením na pult centrální ochrany na MP)</t>
  </si>
  <si>
    <t xml:space="preserve">             Na Lani 212 -  2019 = PD na revitalizaci bytového domu,  2020 = realizace akce</t>
  </si>
  <si>
    <t xml:space="preserve">             Jičínská  272 - PD na revitalizaci bytového domu </t>
  </si>
  <si>
    <t xml:space="preserve">             Jičínská  275 - PD na revitalizaci bytového domu </t>
  </si>
  <si>
    <t xml:space="preserve">             Zborovská 11 revitalizace bytového domu, relizace akce včetně zasklení lodžií vč. dozorů - dotace 5.992.790,43</t>
  </si>
  <si>
    <t xml:space="preserve">             Na Lani 212  revitalizace bytového domu,  realizace akce vč. Dozorů- dotace 3.605.622,22</t>
  </si>
  <si>
    <t xml:space="preserve">             Bytový dům K Archivu 2, NJ - realizace dle PD (2021-2022) vč. dozorů (úvěr)</t>
  </si>
  <si>
    <t xml:space="preserve">                             Trlicova 59 - PD revitalizace bytového domu</t>
  </si>
  <si>
    <t xml:space="preserve">             Masarykovo 15 - (bývalý bytový podnik) - zpracování PD na vybudování cca 5 bytů  a střechy dle studie</t>
  </si>
  <si>
    <t xml:space="preserve">z toho: opravy a údržba celkem  </t>
  </si>
  <si>
    <t xml:space="preserve">             Bytový fond města - společné opravy:  </t>
  </si>
  <si>
    <t xml:space="preserve">                          - generální opravy volných bytů (vrácené byty zdevastované nebo po exekucích) - Rámcová smlouva 23 mil.Kč/4 roky</t>
  </si>
  <si>
    <t xml:space="preserve">                          - generální opravy bytů v MPR</t>
  </si>
  <si>
    <t xml:space="preserve">                          - výměna bytových vodoměrů teplé a studené vody </t>
  </si>
  <si>
    <r>
      <rPr>
        <sz val="10"/>
        <rFont val="Arial"/>
      </rPr>
      <t xml:space="preserve">             </t>
    </r>
    <r>
      <rPr>
        <b/>
        <i/>
        <sz val="10"/>
        <rFont val="Arial"/>
      </rPr>
      <t>úsek 1 (p. Najvarová):</t>
    </r>
    <r>
      <rPr>
        <sz val="10"/>
        <rFont val="Arial"/>
      </rPr>
      <t xml:space="preserve">  - navýšeno o úsek Pavelky</t>
    </r>
  </si>
  <si>
    <t xml:space="preserve">                          - běžná údržba a opravy, výměny zař. předmětů </t>
  </si>
  <si>
    <t xml:space="preserve">                          - akce úsek 1 celkem:</t>
  </si>
  <si>
    <t xml:space="preserve">                             Suvorovova 120+122 - výmalba sp. prostor, oprava omítek chodby a schodiště, výměna PVC na schodišti </t>
  </si>
  <si>
    <t xml:space="preserve">                             Dlouhá 19 - oprava celé střechny (havarijní stav)</t>
  </si>
  <si>
    <r>
      <rPr>
        <sz val="10"/>
        <rFont val="Arial"/>
      </rPr>
      <t xml:space="preserve">             </t>
    </r>
    <r>
      <rPr>
        <b/>
        <i/>
        <sz val="10"/>
        <rFont val="Arial"/>
      </rPr>
      <t>úsek 2 (p. Bartoňová):</t>
    </r>
    <r>
      <rPr>
        <sz val="10"/>
        <rFont val="Arial"/>
      </rPr>
      <t xml:space="preserve"> </t>
    </r>
  </si>
  <si>
    <t xml:space="preserve">                          - akce úsek 2 celkem:</t>
  </si>
  <si>
    <t xml:space="preserve">                             DPS Revoluční 6 - oprava balkónů a soklu dle PD (2019 = dům č. 4, 2020 = domy č. 2 + 6)</t>
  </si>
  <si>
    <t xml:space="preserve">                             DPS Pod Lipami 19 - výměna digestoří ve všech bytech + odvětrání koupelen</t>
  </si>
  <si>
    <t xml:space="preserve">                             DPS Pod Lipami, Revoluční, U Jičínky - porevizní opravy hromosvodů </t>
  </si>
  <si>
    <t xml:space="preserve">                             DPS U Jičínky - oprava střechy (havarijní stav) </t>
  </si>
  <si>
    <t xml:space="preserve">                             DPS Pod Lipami - oprava balkónů havárie (40ks) I. Etapa vč. P</t>
  </si>
  <si>
    <r>
      <rPr>
        <sz val="10"/>
        <rFont val="Arial"/>
      </rPr>
      <t xml:space="preserve">             </t>
    </r>
    <r>
      <rPr>
        <b/>
        <i/>
        <sz val="10"/>
        <rFont val="Arial"/>
      </rPr>
      <t>úsek 3 (p. Pavelka):</t>
    </r>
  </si>
  <si>
    <t xml:space="preserve">                          - běžná údržba, nepředvídatelné opravy</t>
  </si>
  <si>
    <r>
      <rPr>
        <sz val="10"/>
        <rFont val="Arial"/>
      </rPr>
      <t xml:space="preserve">            </t>
    </r>
    <r>
      <rPr>
        <b/>
        <i/>
        <sz val="10"/>
        <rFont val="Arial"/>
      </rPr>
      <t xml:space="preserve"> úsek 4 - MPR (p. Saksová):  </t>
    </r>
  </si>
  <si>
    <t xml:space="preserve">                         - běžná údržba a opravy, výměny zařizovacích předmětů </t>
  </si>
  <si>
    <t xml:space="preserve">                         - akce úsek 4 celkem: </t>
  </si>
  <si>
    <t xml:space="preserve">                                      Dobrovského 5 - oprava pilířů a podloubí</t>
  </si>
  <si>
    <t xml:space="preserve">                                      MN 8/8 - oprava fasády  </t>
  </si>
  <si>
    <t xml:space="preserve">                                      Havlíčkova 8 - izolace spodní stavby proti vodě a vlhkosti</t>
  </si>
  <si>
    <t xml:space="preserve">                                      Havlíčkova 11 - částečná oprava fasády do výšky 1. patra</t>
  </si>
  <si>
    <t xml:space="preserve">                                      Úzká 17 - oprava + nátěr fasády, výměna vchodových dveří</t>
  </si>
  <si>
    <t xml:space="preserve">                                      Resslova 1 - výměna oken a oprava fasády PD </t>
  </si>
  <si>
    <t xml:space="preserve">                                      Opravy obsazených bytů (dle žádostí nájemců) </t>
  </si>
  <si>
    <t xml:space="preserve">             Bytový dům K Archívu 2 - opravy a údržba - org. 7518</t>
  </si>
  <si>
    <t xml:space="preserve">             domovníci (mzdy a odvody, AÚ 0800)</t>
  </si>
  <si>
    <r>
      <rPr>
        <sz val="10"/>
        <rFont val="Arial"/>
      </rPr>
      <t xml:space="preserve">             </t>
    </r>
    <r>
      <rPr>
        <b/>
        <sz val="10"/>
        <rFont val="Arial"/>
      </rPr>
      <t>služby</t>
    </r>
    <r>
      <rPr>
        <sz val="10"/>
        <rFont val="Arial"/>
      </rPr>
      <t xml:space="preserve"> org. 0518 + 7518 (projektové dokumentace na opravy, úklidy,revize,výtahy, hasící technika,odečty,poruch.služba,fekálie,deratizace,čištění kanalizace,komíny, SBI - revize EPS EZS,...)</t>
    </r>
  </si>
  <si>
    <t xml:space="preserve">             příspěvek do fondu oprav v SVJ (kotelny Vančurova 16) (AÚ 0437, pol. 5192)</t>
  </si>
  <si>
    <r>
      <rPr>
        <sz val="10"/>
        <rFont val="Arial"/>
      </rPr>
      <t xml:space="preserve">             náklady na </t>
    </r>
    <r>
      <rPr>
        <b/>
        <sz val="10"/>
        <rFont val="Arial"/>
      </rPr>
      <t>energie</t>
    </r>
    <r>
      <rPr>
        <sz val="10"/>
        <rFont val="Arial"/>
      </rPr>
      <t xml:space="preserve"> v bytových domech (vodné + stočné, teplo + TUV, plyn, elektřina)</t>
    </r>
  </si>
  <si>
    <t xml:space="preserve">             TSM  - požadavky Redmine, OB příspěvek - AÚ 0437, po. 5169</t>
  </si>
  <si>
    <t>Nebytové hospodářství</t>
  </si>
  <si>
    <t>Investice celkem:</t>
  </si>
  <si>
    <t xml:space="preserve">              Hückelovy vily (práce spojené s odstraněním dřevomorky) - dotace 4 mil. Kč - průběžně čerpáno</t>
  </si>
  <si>
    <t xml:space="preserve">              Hückelovy vily - zpracování studií vily J. Hückela, aktualizace vily  A. Hückela, studie areálu, spoluúčast na dotačních titulech</t>
  </si>
  <si>
    <t xml:space="preserve">              Kulturní a společenský dům PD - II.etapa příslib ZM 3.6.2019 = 44 mil. Kč)</t>
  </si>
  <si>
    <t xml:space="preserve">              Kulturní dům - vybudování trafostanice pro KD</t>
  </si>
  <si>
    <t xml:space="preserve">              Výletní lokalita Čerťák (novostavba kiosku a zázemí)</t>
  </si>
  <si>
    <t xml:space="preserve">              MŠ Bludovice - vybudování ČOV</t>
  </si>
  <si>
    <t xml:space="preserve">              Příspěvek na investice TSM (elektroinstalace-dílna oprav, montáž 4 ks sekčních vrat, rok 2021 ) - AÚ 0800, pol. 6331</t>
  </si>
  <si>
    <t xml:space="preserve">              Vybudování Spolkového domu Žilina</t>
  </si>
  <si>
    <t xml:space="preserve">              Hoblíkova - vybudování sestavy kontejnerů  a oprava garáže pro TS NJ vč. IS a zabezpečovacího systému </t>
  </si>
  <si>
    <t xml:space="preserve">              Suvorovova 152 - energetické úspory I. etapa = výměna oken, střecha (úvěr OF)</t>
  </si>
  <si>
    <t xml:space="preserve">              Kryté stání - rekonstrukce vnitřních prostor </t>
  </si>
  <si>
    <t xml:space="preserve">              Hotel Praha - WC u zadního vchodu PD vč.realizace </t>
  </si>
  <si>
    <t>Nákup DHDM pro org. 0518 - pol. 5137</t>
  </si>
  <si>
    <t>Nákup zboží (paragony)- pol. 5139</t>
  </si>
  <si>
    <r>
      <rPr>
        <i/>
        <sz val="10"/>
        <rFont val="Arial"/>
      </rPr>
      <t xml:space="preserve">Náklady na energie - </t>
    </r>
    <r>
      <rPr>
        <sz val="10"/>
        <rFont val="Arial"/>
      </rPr>
      <t>org. 0518, 2518, 8518, 5518</t>
    </r>
  </si>
  <si>
    <t xml:space="preserve">            - vodné a stočné (480+200+120)</t>
  </si>
  <si>
    <t xml:space="preserve">            - dodávka tepla - org. 0518</t>
  </si>
  <si>
    <t xml:space="preserve">            - plyn - org. 0518</t>
  </si>
  <si>
    <t xml:space="preserve">            - elektřina  (1500+20+80+100)</t>
  </si>
  <si>
    <t xml:space="preserve">Nákup ostatních služeb + provoz:  </t>
  </si>
  <si>
    <t>z toho: OV Žilina (PD na úpravu objektu bývalé ČOV na místnost pro zasedání OV)</t>
  </si>
  <si>
    <t xml:space="preserve">            Demolice objektů:  garáž  Žižkova, </t>
  </si>
  <si>
    <t xml:space="preserve">            Slovanská 3 - studie využitelnosti pro ZŠ Tyršova</t>
  </si>
  <si>
    <t xml:space="preserve">            služby + revize org. 0518 - nebytové domy (ČOV apod.)</t>
  </si>
  <si>
    <t xml:space="preserve">            služby + revize org. 2518 Hotel Praha (obsluha kotelny 100 + zpracování PD střecha nad kuchyní 200)převedeno na 3634</t>
  </si>
  <si>
    <t xml:space="preserve">            služby + revize  org. 5518 Kulturní a společenský dům</t>
  </si>
  <si>
    <t xml:space="preserve">            služby + revize org. 8518  Hűckelovy vily    dohody+odvody, revize EZS </t>
  </si>
  <si>
    <t xml:space="preserve">            dohody+odvody - Bludovice, Straník, Kojetín</t>
  </si>
  <si>
    <t xml:space="preserve">            provoz veřejných WC+WC u letního kina (obojí TSM 1550) AÚ 0800</t>
  </si>
  <si>
    <t xml:space="preserve">            TSM - požadavky Redmine, OB příspěvek - AÚ 0800, pol. 5169)</t>
  </si>
  <si>
    <t xml:space="preserve">            Hűckelovy vily - internetové připojení AÚ 0800, pol.5161</t>
  </si>
  <si>
    <t xml:space="preserve">            Hűckelovy vily - elektronické zabezpečení SBI + revize AÚ 0437, pol. 5169</t>
  </si>
  <si>
    <t xml:space="preserve">Opravy a údržba NP celkem </t>
  </si>
  <si>
    <t xml:space="preserve">              Příspěvek na TSM  výměna osvětlení budova TS 100.000 Kč, výměna VO v areálu 386.000 Kč) - AÚ 0800, pol. 6331</t>
  </si>
  <si>
    <t xml:space="preserve">             úsek 5 (p. Saksová):</t>
  </si>
  <si>
    <t xml:space="preserve">                         - běžné opravy a údržba:</t>
  </si>
  <si>
    <t xml:space="preserve">                         - akce úsek 5 celkem:</t>
  </si>
  <si>
    <t xml:space="preserve">                           Masarykovo nám. 15 - jídelna - oprava kuchyně a zázemí, vybudování WC </t>
  </si>
  <si>
    <t xml:space="preserve">                           Msgr. Šrámka 11 - zubní poliklinika - oprava padajících atik staré části budovy</t>
  </si>
  <si>
    <t xml:space="preserve">                           Sokolovská 9:   2020 = generální oprava střechy </t>
  </si>
  <si>
    <t xml:space="preserve">                           MN 15 - jídelna, doplnění o vzduchotechniku</t>
  </si>
  <si>
    <t xml:space="preserve">                           Dobrovského 5 - výměn oken nebytové prostory (čínská restaurace)</t>
  </si>
  <si>
    <t xml:space="preserve">                           Dolní brána 22 - rekonstrukce celé prodejny </t>
  </si>
  <si>
    <t xml:space="preserve">                           Tyršova 8 - oprava podlah, oprava radiátorů Reha komplex</t>
  </si>
  <si>
    <t xml:space="preserve">                           Sokolovská 9 - PD - fasády + sanace domu </t>
  </si>
  <si>
    <r>
      <rPr>
        <sz val="10"/>
        <rFont val="Arial"/>
      </rPr>
      <t xml:space="preserve">             </t>
    </r>
    <r>
      <rPr>
        <b/>
        <i/>
        <sz val="10"/>
        <rFont val="Arial"/>
      </rPr>
      <t>úsek 6 (p. Friedecká):</t>
    </r>
    <r>
      <rPr>
        <sz val="10"/>
        <rFont val="Arial"/>
      </rPr>
      <t xml:space="preserve"> </t>
    </r>
  </si>
  <si>
    <t xml:space="preserve">                          - běžné opravy a údržba:</t>
  </si>
  <si>
    <t xml:space="preserve">                          - akce úsek 6 celkem:</t>
  </si>
  <si>
    <t xml:space="preserve">                                      MŠ Beruška (výměna sklepních oken + 7 ks interiérových dveří)</t>
  </si>
  <si>
    <t xml:space="preserve">                                      Masarykovo nám. 29-NC (oprava sociálního zařízení v přízemí)</t>
  </si>
  <si>
    <t xml:space="preserve">                                      Msgr. Šrámka 13 - oprava el.instalace, odvlhčení objektu)</t>
  </si>
  <si>
    <t xml:space="preserve">                                      Krytá stání Loučka (nepředvídané opravy)</t>
  </si>
  <si>
    <t xml:space="preserve">                                      Hala stolního tenisu (2020 - dílčí klimatizace)</t>
  </si>
  <si>
    <t xml:space="preserve">                                      Hala stolního tenisu zadání PD na odvodnění - havarijní stav</t>
  </si>
  <si>
    <t xml:space="preserve">                                      B. Martinů 4 - stavební úpravy bývalé kotelny na sklad pro TSM)</t>
  </si>
  <si>
    <t xml:space="preserve">                                      Beskydská 274 - zadání PD odvlhčení objektu, výměna vstupních dveří</t>
  </si>
  <si>
    <t xml:space="preserve">                                      Hotel Praha běžná údržba (světlík střecha PD)</t>
  </si>
  <si>
    <t xml:space="preserve">                                      Hűcklovy vily (oprava a údržba do doby rekonstrukce)</t>
  </si>
  <si>
    <t xml:space="preserve">                                      Suvorovova 152 - energetické úspory I. etapa = výměna oken, střecha</t>
  </si>
  <si>
    <t xml:space="preserve">Osadní výbory celkem:                                                                                       </t>
  </si>
  <si>
    <t>Straník 80 (vnitřní elektroinstalace, výmalba)</t>
  </si>
  <si>
    <t>SK Straník 147 (oprava střechy)</t>
  </si>
  <si>
    <t>Bludovice 13 - 2020 = běžné opravy</t>
  </si>
  <si>
    <t>Žilina</t>
  </si>
  <si>
    <t>Kojetín 7 - dílčí oprava objektu dle projektové dokumentace</t>
  </si>
  <si>
    <r>
      <rPr>
        <b/>
        <sz val="10"/>
        <rFont val="Arial"/>
      </rPr>
      <t xml:space="preserve">Lokální zásobování teplem </t>
    </r>
    <r>
      <rPr>
        <sz val="10"/>
        <rFont val="Arial"/>
      </rPr>
      <t>(tepelné hospodářství)</t>
    </r>
  </si>
  <si>
    <t>z toho:  nákup služeb - obsluha a revize kotelny Hotelu Praha + Suvorovova 152, revize  pol. 5169</t>
  </si>
  <si>
    <t>z toho opravy:  nepředvídané opravy havárií teplovodů Smetanovy Sady a Pod Lipami</t>
  </si>
  <si>
    <t xml:space="preserve">             nepředvídané opravy tepelného hospodářství</t>
  </si>
  <si>
    <t xml:space="preserve">             opravy kotelen - sanace, opravy střechy, omítek (dosud hrazeno z 3613)</t>
  </si>
  <si>
    <t xml:space="preserve">z toho: investice celkem </t>
  </si>
  <si>
    <t xml:space="preserve">             Projektové dokumentace 4 kotelen (HP, Suvorovova 152, teplovod Nádražní, teplovod Jičínská) </t>
  </si>
  <si>
    <t xml:space="preserve">             Projektové dokumentace 4 kotelen a teplovodu  (Mendelova, Luční 2,3,4 a teplovod Loučka 6) </t>
  </si>
  <si>
    <t xml:space="preserve">             Energetické posouzení  kotelny</t>
  </si>
  <si>
    <t xml:space="preserve">             Modernizace kotelny Loučka - výměna hořáku a výměna 2 ks kotlů</t>
  </si>
  <si>
    <t xml:space="preserve">             Modernizace kotelny Bulharská - dokončení z roku 2019</t>
  </si>
  <si>
    <t xml:space="preserve">             Modernizace kotelny Vančurova</t>
  </si>
  <si>
    <t xml:space="preserve">             Modernizace kotelny v DPS U Jičínky 25 (dotace)</t>
  </si>
  <si>
    <t xml:space="preserve">             Modernizace kotelny Zimní stadion (dotace)</t>
  </si>
  <si>
    <t xml:space="preserve">             Projektová dokumentace 2 teplovodů Loučka 6, I. Etapa a II. Etapa</t>
  </si>
  <si>
    <t xml:space="preserve">             Modernizace kotelny Poděbradova (org.0516 pol.6122)</t>
  </si>
  <si>
    <t xml:space="preserve">             Modernizace kotelny Dlouhá (org.0516 pol.6122)</t>
  </si>
  <si>
    <t xml:space="preserve">             Modernizace kotelny Trlicova (org.0516 pol.6122)</t>
  </si>
  <si>
    <t xml:space="preserve">             Modernizace kotelny K Nemocnici (org.0516 pol.6122)</t>
  </si>
  <si>
    <t xml:space="preserve">             Modernizace kotelny Hotel Praha (org.0516 pol.6122)</t>
  </si>
  <si>
    <t xml:space="preserve">             Rekonstrukce teplovod ul. Nádražní 21,23,26 v úseku 140 m</t>
  </si>
  <si>
    <t xml:space="preserve">             Rekonstrukce teplovodu na ul.  Jičínská 212 a 221 v úseku 25 m</t>
  </si>
  <si>
    <t xml:space="preserve">             Dodávka 62 ks nerezových zásobníků teplé vody  do kotelen a odběrných předávacích stanic v domech</t>
  </si>
  <si>
    <t>Ostatní záležitosti bydlení, komunálních služeb a územního rozvoje</t>
  </si>
  <si>
    <t xml:space="preserve">             sklad vyklizeného nábytku - Žilina (elektřina 4, služby-vystěhování a likvidace nevyzvednutých věcí 6)</t>
  </si>
  <si>
    <r>
      <rPr>
        <b/>
        <sz val="10"/>
        <rFont val="Arial"/>
      </rPr>
      <t xml:space="preserve">Osobní asistence, pečovatelská služba a podpora samostatného bydlení </t>
    </r>
    <r>
      <rPr>
        <sz val="10"/>
        <rFont val="Arial"/>
      </rPr>
      <t>(DPS-telefony, AÚ 0800)</t>
    </r>
  </si>
  <si>
    <r>
      <rPr>
        <sz val="10"/>
        <rFont val="Arial"/>
      </rPr>
      <t>z toho: opravy a údržba celkem</t>
    </r>
    <r>
      <rPr>
        <sz val="9"/>
        <rFont val="Arial"/>
      </rPr>
      <t xml:space="preserve"> (nejnutnější akce)                                                                                     </t>
    </r>
  </si>
  <si>
    <t xml:space="preserve">            Azylový dům Nový Jičín (odvlhčení, vstupní dveře, brána)</t>
  </si>
  <si>
    <t xml:space="preserve">            Azylový dům Straník (PD - oprava vnitřních prostor)</t>
  </si>
  <si>
    <t>Činnost místní správy</t>
  </si>
  <si>
    <t>z toho: komplexní řízení energetiky - energ. management PORSENA</t>
  </si>
  <si>
    <t xml:space="preserve">           výběr dodavatele elektřiny na komoditní burze</t>
  </si>
  <si>
    <t xml:space="preserve">            Energetické audity (PENB, měření jističů)</t>
  </si>
  <si>
    <t xml:space="preserve">            Optimalizace domovních jističů a VO dle PD</t>
  </si>
  <si>
    <t xml:space="preserve">            Průkazy energetické náročnosti </t>
  </si>
  <si>
    <r>
      <rPr>
        <b/>
        <sz val="10"/>
        <rFont val="Arial CE"/>
      </rPr>
      <t xml:space="preserve">Ostatní správa v průmyslu, stavebnictví, obchodu a službách </t>
    </r>
    <r>
      <rPr>
        <sz val="9"/>
        <rFont val="Arial CE"/>
      </rPr>
      <t>(stavební úřad)</t>
    </r>
  </si>
  <si>
    <r>
      <rPr>
        <sz val="10"/>
        <rFont val="Arial CE"/>
      </rPr>
      <t xml:space="preserve">z toho: konzultační, poradenské a právní služby </t>
    </r>
    <r>
      <rPr>
        <sz val="9"/>
        <rFont val="Arial CE"/>
      </rPr>
      <t>(znalecké posudky)</t>
    </r>
  </si>
  <si>
    <r>
      <rPr>
        <sz val="10"/>
        <rFont val="Arial CE"/>
      </rPr>
      <t xml:space="preserve">             nákup ostatních služeb </t>
    </r>
    <r>
      <rPr>
        <sz val="9"/>
        <rFont val="Arial CE"/>
      </rPr>
      <t>(revize, odborné služby, doprava aj.)</t>
    </r>
  </si>
  <si>
    <t xml:space="preserve">             platby daní a poplatků státnímu rozpočtu</t>
  </si>
  <si>
    <t>vrácení peněžních prostředků (srpávní poplatek z r. 2019)</t>
  </si>
  <si>
    <t>Územní plánování</t>
  </si>
  <si>
    <t>z toho: územní studie</t>
  </si>
  <si>
    <t xml:space="preserve">            územně analytické podklady</t>
  </si>
  <si>
    <t xml:space="preserve">            změny územního plánu města</t>
  </si>
  <si>
    <t xml:space="preserve">            regulační plán (MPR NJ)</t>
  </si>
  <si>
    <t>041 - Dotace, návratné finanční výpomoci a dary cizím subjektům</t>
  </si>
  <si>
    <r>
      <rPr>
        <b/>
        <sz val="10"/>
        <rFont val="Arial CE"/>
      </rPr>
      <t xml:space="preserve">Dotace, návratné finanční výpomoci a dary cizím subjektům </t>
    </r>
    <r>
      <rPr>
        <sz val="9"/>
        <rFont val="Arial CE"/>
      </rPr>
      <t>(estetizace)</t>
    </r>
  </si>
  <si>
    <r>
      <rPr>
        <sz val="9"/>
        <rFont val="Arial CE"/>
      </rPr>
      <t>231410/741/</t>
    </r>
    <r>
      <rPr>
        <b/>
        <sz val="9"/>
        <rFont val="Arial CE"/>
      </rPr>
      <t>2219</t>
    </r>
    <r>
      <rPr>
        <sz val="9"/>
        <rFont val="Arial CE"/>
      </rPr>
      <t>/5329</t>
    </r>
  </si>
  <si>
    <r>
      <rPr>
        <b/>
        <sz val="10"/>
        <rFont val="Arial CE"/>
      </rPr>
      <t xml:space="preserve">Ostatní záležitosti pozemních komunikací </t>
    </r>
    <r>
      <rPr>
        <sz val="9"/>
        <rFont val="Arial CE"/>
      </rPr>
      <t>(členství v DSO Cyklostezka 2020: 50, 2021: 10)</t>
    </r>
  </si>
  <si>
    <r>
      <rPr>
        <sz val="9"/>
        <rFont val="Arial CE"/>
      </rPr>
      <t>231410/741/</t>
    </r>
    <r>
      <rPr>
        <b/>
        <sz val="9"/>
        <rFont val="Arial CE"/>
      </rPr>
      <t>2321</t>
    </r>
    <r>
      <rPr>
        <sz val="9"/>
        <rFont val="Arial CE"/>
      </rPr>
      <t>/5329                                                                                                                                                                                                                                                                                                                                                                                                                                                                                                                         231440/741/</t>
    </r>
    <r>
      <rPr>
        <b/>
        <sz val="9"/>
        <rFont val="Arial CE"/>
      </rPr>
      <t>2321</t>
    </r>
    <r>
      <rPr>
        <sz val="9"/>
        <rFont val="Arial CE"/>
      </rPr>
      <t>/5169</t>
    </r>
  </si>
  <si>
    <r>
      <rPr>
        <b/>
        <sz val="10"/>
        <rFont val="Arial CE"/>
      </rPr>
      <t xml:space="preserve">Odvádění odpadních vod </t>
    </r>
    <r>
      <rPr>
        <sz val="9"/>
        <rFont val="Arial CE"/>
      </rPr>
      <t>(2020: splátky úvěru 605.212,92 Kč (na pol. 8901), úrok z úvěru 12.860,75 Kč, poměrná část 25% na provoz DSO dle mandátní smlouvy 242,5,                                                                                                                                                                                                                                                                              2021: splátky úvěru 605.212,92 Kč, úrok z úvěru 6.808,62 Kč, poměrná část 25% na provoz DSO dle mandátní smlouvy 242,5)</t>
    </r>
  </si>
  <si>
    <r>
      <rPr>
        <b/>
        <sz val="10"/>
        <rFont val="Arial CE"/>
      </rPr>
      <t>Ostatní výdaje z finančního vypořádání</t>
    </r>
    <r>
      <rPr>
        <sz val="9"/>
        <rFont val="Arial CE"/>
      </rPr>
      <t xml:space="preserve"> (dopl.energií 2019 - org. 0322+0323)</t>
    </r>
  </si>
  <si>
    <r>
      <rPr>
        <b/>
        <sz val="10"/>
        <rFont val="Arial CE"/>
      </rPr>
      <t>Ostatní výdaje z finančního vypořádání</t>
    </r>
    <r>
      <rPr>
        <sz val="9"/>
        <rFont val="Arial CE"/>
      </rPr>
      <t xml:space="preserve"> (vyrovnání ztráty 2018-Beskydské divadlo)</t>
    </r>
  </si>
  <si>
    <r>
      <rPr>
        <b/>
        <sz val="10"/>
        <rFont val="Arial CE"/>
      </rPr>
      <t>Ostatní výdaje z finančního vypořádání</t>
    </r>
    <r>
      <rPr>
        <sz val="9"/>
        <rFont val="Arial CE"/>
      </rPr>
      <t xml:space="preserve"> (vyrovnání ztráty 2019-MěKS)</t>
    </r>
  </si>
  <si>
    <r>
      <rPr>
        <b/>
        <sz val="10"/>
        <rFont val="Arial CE"/>
      </rPr>
      <t>Finanční vypořádání Veolia Energie ČR</t>
    </r>
    <r>
      <rPr>
        <b/>
        <sz val="9"/>
        <rFont val="Arial CE"/>
      </rPr>
      <t xml:space="preserve"> </t>
    </r>
    <r>
      <rPr>
        <sz val="9"/>
        <rFont val="Arial CE"/>
      </rPr>
      <t>(dle fakturace skutečně odebraného množství GJ 2016-2018)</t>
    </r>
  </si>
  <si>
    <t>Komunální služby a územní rozvoj</t>
  </si>
  <si>
    <r>
      <rPr>
        <sz val="10"/>
        <rFont val="Arial CE"/>
      </rPr>
      <t xml:space="preserve">z toho: platby daní a poplatků </t>
    </r>
    <r>
      <rPr>
        <sz val="9"/>
        <rFont val="Arial CE"/>
      </rPr>
      <t>(soudní poplatky, realizace exekucí, ...)</t>
    </r>
  </si>
  <si>
    <r>
      <rPr>
        <b/>
        <sz val="10"/>
        <rFont val="Arial CE"/>
      </rPr>
      <t xml:space="preserve">Činnost místní správy </t>
    </r>
    <r>
      <rPr>
        <sz val="9"/>
        <rFont val="Arial CE"/>
      </rPr>
      <t>(2020 i 2021: daňové poradenství+odb.konzultace 200)</t>
    </r>
  </si>
  <si>
    <r>
      <rPr>
        <b/>
        <sz val="10"/>
        <rFont val="Arial CE"/>
      </rPr>
      <t>Výdaje z finančních operací</t>
    </r>
    <r>
      <rPr>
        <b/>
        <sz val="9"/>
        <rFont val="Arial CE"/>
      </rPr>
      <t xml:space="preserve"> </t>
    </r>
    <r>
      <rPr>
        <sz val="9"/>
        <rFont val="Arial CE"/>
      </rPr>
      <t>(bankovní poplatky za vedení účtů a položky)</t>
    </r>
  </si>
  <si>
    <t>Ostatní finanční operace</t>
  </si>
  <si>
    <r>
      <rPr>
        <sz val="10"/>
        <rFont val="Arial CE"/>
      </rPr>
      <t xml:space="preserve">z toho: daň z příjmů právnických osob za obec </t>
    </r>
    <r>
      <rPr>
        <sz val="9"/>
        <rFont val="Arial CE"/>
      </rPr>
      <t>(stejná výše je uvedena i v příjmech na pol. 1122)</t>
    </r>
  </si>
  <si>
    <t xml:space="preserve">             daň z přidané hodnoty za obec </t>
  </si>
  <si>
    <t xml:space="preserve">Finanční vypořádání minulých let </t>
  </si>
  <si>
    <t xml:space="preserve">z toho: vratka části nevyčerpané neinv.dotace 2019 Program na podporu zvýšení kvality soc.služeb poskytovaných v MSK </t>
  </si>
  <si>
    <t xml:space="preserve">            vratka části nevyčerpané neinv.dotace 2019 OP VVV - Šablony I - MŠ Trojlístek</t>
  </si>
  <si>
    <t xml:space="preserve">            vratka části nevyčerpané neinv.dotace 2019 OP VVV - Šablony I - ZŠ+MŠ Jub </t>
  </si>
  <si>
    <t xml:space="preserve">            vratka části nevyčerpané neinv.dotace 2019 OP VVV - Šablony I - ZŠ K68 </t>
  </si>
  <si>
    <t xml:space="preserve">            vratka části nevyčerpané neinv.dotace 2019 Efektivní systém plánování soc.služeb prostř.komunitního plán II</t>
  </si>
  <si>
    <t>Ostatní činnosti j.n.</t>
  </si>
  <si>
    <t xml:space="preserve">z toho: rozpočtová rezerva </t>
  </si>
  <si>
    <r>
      <rPr>
        <sz val="10"/>
        <rFont val="Arial CE"/>
      </rPr>
      <t xml:space="preserve">            členství města ve svazech a sdruž. </t>
    </r>
    <r>
      <rPr>
        <sz val="9"/>
        <rFont val="Arial CE"/>
      </rPr>
      <t>(org.1010): r. 2020: Partnerství pro městskou mobilitu (bývalá Asociace cykloměst) 5, MAS Lašsko 80, Národní síť zdravých měst 44,7735, Svaz měst a obcí 76,89776, Sdružení historických sídel 28,195, EUROREGION SILESIA-CZ 58,74, ...)</t>
    </r>
  </si>
  <si>
    <t>Výsledky hospodaření města Nový Jičín 
za 1. pololetí 2023</t>
  </si>
  <si>
    <r>
      <t xml:space="preserve">Schválený rozpočet                                                         2023                                                                                                                                                                                                                                                                                                                                                                                                                      </t>
    </r>
    <r>
      <rPr>
        <sz val="9"/>
        <rFont val="Arial CE"/>
      </rPr>
      <t xml:space="preserve"> (v Kč)   </t>
    </r>
    <r>
      <rPr>
        <b/>
        <sz val="9"/>
        <rFont val="Arial CE"/>
      </rPr>
      <t xml:space="preserve">        </t>
    </r>
    <r>
      <rPr>
        <b/>
        <sz val="12"/>
        <rFont val="Arial CE"/>
      </rPr>
      <t xml:space="preserve">                                                                                                                                                                  </t>
    </r>
  </si>
  <si>
    <r>
      <t xml:space="preserve">Skutečnost za
rok 2023
</t>
    </r>
    <r>
      <rPr>
        <sz val="9"/>
        <rFont val="Arial CE"/>
      </rPr>
      <t>v Kč</t>
    </r>
  </si>
  <si>
    <t>% plnění
k SR</t>
  </si>
  <si>
    <t>% plnění
k UR</t>
  </si>
  <si>
    <t>% plnění
2023/2022</t>
  </si>
  <si>
    <t>ORJ 6xx - Odbor rozvoje a investic</t>
  </si>
  <si>
    <t>ORJ 011 - Návštěvnické centrum - město klobouků</t>
  </si>
  <si>
    <t>ORJ 03X - Odbor životního prostředí</t>
  </si>
  <si>
    <t>ORJ 04X - Odbor územního plánování a stavebního řádu</t>
  </si>
  <si>
    <r>
      <t xml:space="preserve">Příjem z daně z příjmů fyzických osob placené plátci </t>
    </r>
    <r>
      <rPr>
        <sz val="9"/>
        <rFont val="Arial CE"/>
      </rPr>
      <t>(sdílená část)</t>
    </r>
    <r>
      <rPr>
        <b/>
        <sz val="10"/>
        <rFont val="Arial CE"/>
      </rPr>
      <t xml:space="preserve"> </t>
    </r>
    <r>
      <rPr>
        <sz val="10"/>
        <rFont val="Arial CE"/>
      </rPr>
      <t xml:space="preserve">                                                         </t>
    </r>
  </si>
  <si>
    <r>
      <t xml:space="preserve">Příjem z daně z příjmů fyzických osob placené plátci </t>
    </r>
    <r>
      <rPr>
        <sz val="9"/>
        <rFont val="Arial CE"/>
      </rPr>
      <t xml:space="preserve">(motivační 1,5%)            </t>
    </r>
    <r>
      <rPr>
        <sz val="10"/>
        <rFont val="Arial CE"/>
      </rPr>
      <t xml:space="preserve">                                       </t>
    </r>
  </si>
  <si>
    <r>
      <t>Příjem z daně z příjmů fyzických osob placené poplatníky</t>
    </r>
    <r>
      <rPr>
        <sz val="9"/>
        <rFont val="Arial CE"/>
      </rPr>
      <t xml:space="preserve"> (sdílená) </t>
    </r>
    <r>
      <rPr>
        <i/>
        <sz val="9"/>
        <rFont val="Arial CE"/>
      </rPr>
      <t xml:space="preserve"> </t>
    </r>
    <r>
      <rPr>
        <sz val="9"/>
        <rFont val="Arial CE"/>
      </rPr>
      <t xml:space="preserve">      </t>
    </r>
    <r>
      <rPr>
        <b/>
        <sz val="10"/>
        <rFont val="Arial CE"/>
      </rPr>
      <t xml:space="preserve">                                                   </t>
    </r>
  </si>
  <si>
    <r>
      <t xml:space="preserve">Příjem z daně z příjmů fyzických osob vybírané srážkou </t>
    </r>
    <r>
      <rPr>
        <sz val="9"/>
        <rFont val="Arial CE"/>
      </rPr>
      <t>podle zvláštní sazby daně</t>
    </r>
  </si>
  <si>
    <r>
      <t xml:space="preserve">Příjem z daně z příjmů právnických osob </t>
    </r>
    <r>
      <rPr>
        <sz val="9"/>
        <rFont val="Arial CE"/>
      </rPr>
      <t xml:space="preserve">(sdílená)        </t>
    </r>
    <r>
      <rPr>
        <b/>
        <sz val="10"/>
        <rFont val="Arial CE"/>
      </rPr>
      <t xml:space="preserve">                                                                     </t>
    </r>
    <r>
      <rPr>
        <sz val="9"/>
        <rFont val="Arial CE"/>
      </rPr>
      <t xml:space="preserve"> </t>
    </r>
  </si>
  <si>
    <r>
      <t xml:space="preserve">Příjem z daně z příjmů právnických osob v případech, kdy poplatníkem je obec, s výjimkou daně vybírané srážkou podle zvláštní sazby daně </t>
    </r>
    <r>
      <rPr>
        <sz val="9"/>
        <rFont val="Arial CE"/>
      </rPr>
      <t>(100% za město NJ)</t>
    </r>
  </si>
  <si>
    <r>
      <t xml:space="preserve">Příjem z daně z přidané hodnoty </t>
    </r>
    <r>
      <rPr>
        <sz val="9"/>
        <rFont val="Arial CE"/>
      </rPr>
      <t xml:space="preserve">(sdílená) </t>
    </r>
    <r>
      <rPr>
        <b/>
        <sz val="9"/>
        <rFont val="Arial CE"/>
      </rPr>
      <t xml:space="preserve">           </t>
    </r>
    <r>
      <rPr>
        <b/>
        <sz val="10"/>
        <rFont val="Arial CE"/>
      </rPr>
      <t xml:space="preserve">                                                                                  </t>
    </r>
    <r>
      <rPr>
        <b/>
        <sz val="9"/>
        <rFont val="Arial CE"/>
      </rPr>
      <t xml:space="preserve"> </t>
    </r>
  </si>
  <si>
    <t>Příjem z odvodů za odnětí půdy ze zemědělského půdního fondu podle zákona upravující ochranu zemědělského půdního fondu</t>
  </si>
  <si>
    <t>Příjem z poplatku za odnětí pozemku podle lesního zákona</t>
  </si>
  <si>
    <t>Příjem z poplatku za povolené vypouštění odpadních vod do vod podzemních</t>
  </si>
  <si>
    <t>Příjem z poplatku ze psů</t>
  </si>
  <si>
    <t>Příjem z poplatku za užívání veřejného prostranství</t>
  </si>
  <si>
    <r>
      <t>009/----/</t>
    </r>
    <r>
      <rPr>
        <b/>
        <sz val="10"/>
        <rFont val="Arial CE"/>
      </rPr>
      <t>1343</t>
    </r>
    <r>
      <rPr>
        <sz val="9"/>
        <rFont val="Arial CE"/>
      </rPr>
      <t>/7034</t>
    </r>
  </si>
  <si>
    <t xml:space="preserve">z toho: Odbor obecní živnostenský úřad </t>
  </si>
  <si>
    <r>
      <t xml:space="preserve">           Odbor správy majetku (</t>
    </r>
    <r>
      <rPr>
        <sz val="9"/>
        <rFont val="Arial CE"/>
      </rPr>
      <t>překopy+zábory+MP vyhrazené parkování)</t>
    </r>
  </si>
  <si>
    <r>
      <t xml:space="preserve">           Odbor životního prostředí</t>
    </r>
    <r>
      <rPr>
        <sz val="9"/>
        <rFont val="Arial CE"/>
      </rPr>
      <t xml:space="preserve"> (zvláštní užívání zeleně)</t>
    </r>
  </si>
  <si>
    <t>Příjem z poplatku za obecní systém odpadového hospodářství a příjem z poplatku za odkládání komunálního odpadu z nemovité věci</t>
  </si>
  <si>
    <r>
      <t xml:space="preserve">Příjem z poplatku za povolení k vjezdu s motorovým vozidlem do vybraných míst a částí měst                                                            </t>
    </r>
    <r>
      <rPr>
        <sz val="9"/>
        <rFont val="Arial CE"/>
      </rPr>
      <t>(Návštěvnické centrum NJ - město klobouků: abonentní a rezidentní karty)</t>
    </r>
  </si>
  <si>
    <t>Příjem za zkoušky z odborné způsobilosti od žadatelů o řidičské oprávnění</t>
  </si>
  <si>
    <t>Příjem z úhrad za dobývání nerostů a poplatků za geologické práce</t>
  </si>
  <si>
    <r>
      <t xml:space="preserve">Příjem z odvodů z vybraných činností a služeb jinde neuvedených </t>
    </r>
    <r>
      <rPr>
        <sz val="10"/>
        <rFont val="Arial CE"/>
      </rPr>
      <t>(odvod ekologické daně na SFŽP)</t>
    </r>
  </si>
  <si>
    <t>Příjem ze správních poplatků</t>
  </si>
  <si>
    <t>z toho: Odbor dopravy</t>
  </si>
  <si>
    <r>
      <rPr>
        <sz val="9"/>
        <rFont val="Arial CE"/>
      </rPr>
      <t>009/----/</t>
    </r>
    <r>
      <rPr>
        <b/>
        <sz val="10"/>
        <rFont val="Arial CE"/>
      </rPr>
      <t>1361</t>
    </r>
    <r>
      <rPr>
        <sz val="9"/>
        <rFont val="Arial CE"/>
      </rPr>
      <t>/7006-7037</t>
    </r>
  </si>
  <si>
    <r>
      <t xml:space="preserve">           Obecní živnostenský úřad </t>
    </r>
    <r>
      <rPr>
        <sz val="9"/>
        <rFont val="Arial CE"/>
      </rPr>
      <t>(nové a změnové výpisy z živnost.rejstříku 375, vydání výpisů z živnost. rejstříku 1, vydání povolení k hernímu prostoru 20, osvědčení zemědělský podnikatel 4)</t>
    </r>
  </si>
  <si>
    <t xml:space="preserve">           Odbor územního plánování a stavebního řádu </t>
  </si>
  <si>
    <r>
      <t>317/----/</t>
    </r>
    <r>
      <rPr>
        <b/>
        <sz val="10"/>
        <rFont val="Arial CE"/>
      </rPr>
      <t>1361</t>
    </r>
    <r>
      <rPr>
        <sz val="9"/>
        <rFont val="Arial CE"/>
      </rPr>
      <t>/0214-7063</t>
    </r>
  </si>
  <si>
    <r>
      <t xml:space="preserve">           Odbor správních agend </t>
    </r>
    <r>
      <rPr>
        <sz val="9"/>
        <rFont val="Arial CE"/>
      </rPr>
      <t>(matrika 170, ohlašovna 40, CzechPoint 70, OP+CD 1220)</t>
    </r>
  </si>
  <si>
    <t xml:space="preserve">           Odbor životního prostředí </t>
  </si>
  <si>
    <r>
      <t xml:space="preserve">           Odbor finanční </t>
    </r>
    <r>
      <rPr>
        <sz val="9"/>
        <rFont val="Arial CE"/>
      </rPr>
      <t>(splátkové kalendáře+bezdlužnost)</t>
    </r>
  </si>
  <si>
    <r>
      <t>009/</t>
    </r>
    <r>
      <rPr>
        <b/>
        <sz val="10"/>
        <rFont val="Arial CE"/>
      </rPr>
      <t>1381</t>
    </r>
    <r>
      <rPr>
        <sz val="9"/>
        <rFont val="Arial CE"/>
      </rPr>
      <t>/----/7004</t>
    </r>
  </si>
  <si>
    <t>Příjem z daně z hazardních her s výjimkou dílčí daně z technických her</t>
  </si>
  <si>
    <r>
      <t>009/</t>
    </r>
    <r>
      <rPr>
        <b/>
        <sz val="10"/>
        <rFont val="Arial CE"/>
      </rPr>
      <t>1383</t>
    </r>
    <r>
      <rPr>
        <sz val="9"/>
        <rFont val="Arial CE"/>
      </rPr>
      <t>/----/1170</t>
    </r>
  </si>
  <si>
    <t>Příjem ze zrušeného odvodu z výherních hracích přístrojů</t>
  </si>
  <si>
    <r>
      <t>009/</t>
    </r>
    <r>
      <rPr>
        <b/>
        <sz val="10"/>
        <rFont val="Arial CE"/>
      </rPr>
      <t>1385</t>
    </r>
    <r>
      <rPr>
        <sz val="9"/>
        <rFont val="Arial CE"/>
      </rPr>
      <t>/----/7005</t>
    </r>
  </si>
  <si>
    <t>Příjem z dílčí daně z technických her</t>
  </si>
  <si>
    <r>
      <t xml:space="preserve">Příjem z daně z nemovitých věcí </t>
    </r>
    <r>
      <rPr>
        <sz val="9"/>
        <rFont val="Arial CE"/>
      </rPr>
      <t xml:space="preserve">(výlučná)    </t>
    </r>
    <r>
      <rPr>
        <b/>
        <sz val="10"/>
        <rFont val="Arial CE"/>
      </rPr>
      <t xml:space="preserve">                                                                                                              </t>
    </r>
  </si>
  <si>
    <t>Příjem z poskytování služeb, výrobků, prací, výkonů a práv</t>
  </si>
  <si>
    <r>
      <t xml:space="preserve">           § 1031 pěstební činnost </t>
    </r>
    <r>
      <rPr>
        <sz val="9"/>
        <rFont val="Arial CE"/>
      </rPr>
      <t>(těžba v městských lesích)</t>
    </r>
  </si>
  <si>
    <r>
      <t xml:space="preserve">           § 2143 cestovní ruch</t>
    </r>
    <r>
      <rPr>
        <sz val="9"/>
        <rFont val="Arial CE"/>
      </rPr>
      <t xml:space="preserve"> (Návštěvnické centrum NJ)</t>
    </r>
  </si>
  <si>
    <r>
      <t xml:space="preserve">           § 3412 sportovní zařízení v majetku obce</t>
    </r>
    <r>
      <rPr>
        <sz val="9"/>
        <rFont val="Arial CE"/>
      </rPr>
      <t xml:space="preserve"> (bazé</t>
    </r>
    <r>
      <rPr>
        <sz val="9"/>
        <rFont val="Arial CE"/>
      </rPr>
      <t>n: Basketbalový klub,z.s.-vstupné, nájmy)</t>
    </r>
  </si>
  <si>
    <r>
      <t xml:space="preserve">           § 3412 sportovní zařízení v majetku obce </t>
    </r>
    <r>
      <rPr>
        <sz val="9"/>
        <rFont val="Arial CE"/>
      </rPr>
      <t>(zimní stadión: Hokejový klub, z.s.-vstupné, nájmy)</t>
    </r>
  </si>
  <si>
    <r>
      <t xml:space="preserve">           § 3612 tržby za správu SVJ</t>
    </r>
    <r>
      <rPr>
        <sz val="9"/>
        <rFont val="Arial CE"/>
      </rPr>
      <t xml:space="preserve"> (odbor bytový)</t>
    </r>
  </si>
  <si>
    <r>
      <t xml:space="preserve">           § 4351 </t>
    </r>
    <r>
      <rPr>
        <sz val="10"/>
        <rFont val="Arial CE"/>
      </rPr>
      <t xml:space="preserve">pečovatelská služba, denní stacionář, odlehč. služba Pohoda </t>
    </r>
    <r>
      <rPr>
        <sz val="9"/>
        <rFont val="Arial CE"/>
      </rPr>
      <t>(Prosenior NJ)</t>
    </r>
  </si>
  <si>
    <r>
      <t xml:space="preserve">           § 5311 bezpečnost a veřejný pořádek </t>
    </r>
    <r>
      <rPr>
        <sz val="9"/>
        <rFont val="Arial CE"/>
      </rPr>
      <t>(Městská policie)</t>
    </r>
  </si>
  <si>
    <r>
      <t xml:space="preserve">           § 6171 činnost místní správy </t>
    </r>
    <r>
      <rPr>
        <sz val="9"/>
        <rFont val="Arial CE"/>
      </rPr>
      <t>(kopírování pro veřejnost)</t>
    </r>
  </si>
  <si>
    <r>
      <t xml:space="preserve">Ostatní příjmy z vlastní činnosti </t>
    </r>
    <r>
      <rPr>
        <sz val="9"/>
        <rFont val="Arial CE"/>
      </rPr>
      <t>(Odbor správy majetku: věcná břemena s 21% DPH 4041)</t>
    </r>
  </si>
  <si>
    <r>
      <t xml:space="preserve">Příjem z odvodů příspěvkových organizací </t>
    </r>
    <r>
      <rPr>
        <sz val="9"/>
        <rFont val="Arial CE"/>
      </rPr>
      <t>(z fondu investic: odpisy z nemovitého majetku)</t>
    </r>
    <r>
      <rPr>
        <b/>
        <i/>
        <sz val="9"/>
        <rFont val="Arial CE"/>
      </rPr>
      <t xml:space="preserve">       </t>
    </r>
    <r>
      <rPr>
        <sz val="9"/>
        <rFont val="Arial CE"/>
      </rPr>
      <t xml:space="preserve">      </t>
    </r>
  </si>
  <si>
    <r>
      <t xml:space="preserve">Příjem z pronájmu nebo pachtu pozemků </t>
    </r>
    <r>
      <rPr>
        <sz val="9"/>
        <rFont val="Arial CE"/>
      </rPr>
      <t>(Odbor správy majetku: s 0% DPH 450, s 21% DPH 700 včetně zápočtu oplocení p. Perútka 9,4142)</t>
    </r>
  </si>
  <si>
    <t>Příjem z pronájmů nebo pachtu ostatních nemovitých věcí a jejich částí</t>
  </si>
  <si>
    <r>
      <t xml:space="preserve">              § 2212 vyhrazené parkování formou nájemní smlouvy </t>
    </r>
    <r>
      <rPr>
        <sz val="9"/>
        <rFont val="Arial CE"/>
      </rPr>
      <t>(Odbor správy majetku: v režimu DPH)</t>
    </r>
  </si>
  <si>
    <r>
      <t xml:space="preserve">              § 2310 nájem ostatních nemovitostí </t>
    </r>
    <r>
      <rPr>
        <sz val="9"/>
        <rFont val="Arial CE"/>
      </rPr>
      <t>(Odbor správy majetku)</t>
    </r>
  </si>
  <si>
    <r>
      <t xml:space="preserve">              § 2321 nájem Kanalizace od SmVaK (DSO) </t>
    </r>
    <r>
      <rPr>
        <sz val="9"/>
        <rFont val="Arial CE"/>
      </rPr>
      <t>- účet 2310441 Plán financování obnovy (PFO)</t>
    </r>
  </si>
  <si>
    <r>
      <t xml:space="preserve">              § 3122 nájem EDUCA </t>
    </r>
    <r>
      <rPr>
        <sz val="9"/>
        <rFont val="Arial CE"/>
      </rPr>
      <t>(Odbor bytový)</t>
    </r>
  </si>
  <si>
    <r>
      <t xml:space="preserve">              § 3612 z bytů v majetku města</t>
    </r>
    <r>
      <rPr>
        <sz val="9"/>
        <rFont val="Arial CE"/>
      </rPr>
      <t xml:space="preserve"> (Odbor bytový: nájmy 41780, zálohy na služby 18500, pacht Suvorovova 441)</t>
    </r>
  </si>
  <si>
    <r>
      <t xml:space="preserve">              § 3613 v nebytových prostorech </t>
    </r>
    <r>
      <rPr>
        <sz val="9"/>
        <rFont val="Arial CE"/>
      </rPr>
      <t>(Odbor organizační: Div.8-Policie ČR, Glogar; Dlouhá - Náš-Net)</t>
    </r>
  </si>
  <si>
    <r>
      <t xml:space="preserve">              § 3613 v nebyt.prostorech </t>
    </r>
    <r>
      <rPr>
        <sz val="9"/>
        <rFont val="Arial CE"/>
      </rPr>
      <t>(Odbor správy majetku: s DPH 0% je 100 =nájem plynovodu, s DPH 21%=370 náj. NP)</t>
    </r>
  </si>
  <si>
    <r>
      <t xml:space="preserve">              § 3613 v nebytových prostorech </t>
    </r>
    <r>
      <rPr>
        <sz val="9"/>
        <rFont val="Arial CE"/>
      </rPr>
      <t>(Odbor bytový: nájmy 14000+140 teplovod, zálohy na služby 1500, kryté stání Loučka 240, krátkodobé 40, Hotel Praha 746)</t>
    </r>
  </si>
  <si>
    <r>
      <t xml:space="preserve">              § 3634 v zásobování teplem </t>
    </r>
    <r>
      <rPr>
        <sz val="9"/>
        <rFont val="Arial CE"/>
      </rPr>
      <t>(VEOLIA)</t>
    </r>
  </si>
  <si>
    <r>
      <t xml:space="preserve">              § 4351 v domech s pečovatelskou službou </t>
    </r>
    <r>
      <rPr>
        <sz val="9"/>
        <rFont val="Arial CE"/>
      </rPr>
      <t>(nájmy: krátkodobé 20)</t>
    </r>
  </si>
  <si>
    <r>
      <t xml:space="preserve">              § 4379 v klubech seniorů </t>
    </r>
    <r>
      <rPr>
        <sz val="9"/>
        <rFont val="Arial CE"/>
      </rPr>
      <t xml:space="preserve">(nájmy: dlouhodobé 10/10, krátkodobé 6/5) </t>
    </r>
  </si>
  <si>
    <t>Příjem sankčních plateb přijaté od jiných subjektů</t>
  </si>
  <si>
    <r>
      <t>009/2141/</t>
    </r>
    <r>
      <rPr>
        <b/>
        <sz val="10"/>
        <rFont val="Arial CE"/>
      </rPr>
      <t>2212</t>
    </r>
    <r>
      <rPr>
        <sz val="9"/>
        <rFont val="Arial CE"/>
      </rPr>
      <t>/----,7500</t>
    </r>
  </si>
  <si>
    <r>
      <t xml:space="preserve">z toho:  § 2141 vnitřní obchod </t>
    </r>
    <r>
      <rPr>
        <sz val="9"/>
        <rFont val="Arial CE"/>
      </rPr>
      <t>(Obecní živnostenský úřad: ve správním řízení 5, v blokovém řízení 7)</t>
    </r>
  </si>
  <si>
    <t xml:space="preserve">             § 2223 dopravní přestupky (pokuty)</t>
  </si>
  <si>
    <r>
      <t xml:space="preserve">             § 2223 dopravní přestupky </t>
    </r>
    <r>
      <rPr>
        <sz val="9"/>
        <rFont val="Arial CE"/>
      </rPr>
      <t>(radary)</t>
    </r>
  </si>
  <si>
    <t xml:space="preserve">             § 3612 smluvní pokuta bytové domy </t>
  </si>
  <si>
    <r>
      <t xml:space="preserve">             § 3613 smluvní pokuta nebytové prostory - dodavatelé</t>
    </r>
    <r>
      <rPr>
        <sz val="9"/>
        <rFont val="Arial CE"/>
      </rPr>
      <t xml:space="preserve"> (Odbor bytový)</t>
    </r>
  </si>
  <si>
    <r>
      <t xml:space="preserve">             § 5311 bezpečnost a veřejný pořádek </t>
    </r>
    <r>
      <rPr>
        <sz val="9"/>
        <rFont val="Arial CE"/>
      </rPr>
      <t>(Městská policie: na místě zaplacené 500, na místě nezapl. 150)</t>
    </r>
  </si>
  <si>
    <r>
      <t xml:space="preserve">             § 6171 obecné přestupky - pokuty </t>
    </r>
    <r>
      <rPr>
        <sz val="9"/>
        <rFont val="Arial CE"/>
      </rPr>
      <t>(Odbor přestupkových agend)</t>
    </r>
  </si>
  <si>
    <r>
      <t xml:space="preserve">             § 6171 pokuty </t>
    </r>
    <r>
      <rPr>
        <sz val="9"/>
        <rFont val="Arial CE"/>
      </rPr>
      <t>(Odbor správních agend)</t>
    </r>
  </si>
  <si>
    <r>
      <t>Ostatní příjmy z fin.vypořádání předch.let od jiných veřej.rozpočtů</t>
    </r>
    <r>
      <rPr>
        <b/>
        <sz val="9"/>
        <rFont val="Arial CE"/>
      </rPr>
      <t xml:space="preserve"> </t>
    </r>
    <r>
      <rPr>
        <sz val="9"/>
        <rFont val="Arial CE"/>
      </rPr>
      <t>(volby do Parlamentu ČR-ÚZ 98071)</t>
    </r>
  </si>
  <si>
    <r>
      <t xml:space="preserve">Ostatní přijaté vratky transferů </t>
    </r>
    <r>
      <rPr>
        <sz val="10"/>
        <rFont val="Arial CE"/>
      </rPr>
      <t>(příspěvků a dotací)</t>
    </r>
  </si>
  <si>
    <r>
      <t xml:space="preserve">z toho: § 3111 MŠ vratky příspěvků na energie </t>
    </r>
    <r>
      <rPr>
        <sz val="9"/>
        <rFont val="Arial CE"/>
      </rPr>
      <t>(Sady 110,46612+Máj 18,8406+Trojlístek 9,91998+Bludovice 1,466)</t>
    </r>
  </si>
  <si>
    <r>
      <t xml:space="preserve">            § 3113 ZŠ vratky příspěvků na energie </t>
    </r>
    <r>
      <rPr>
        <sz val="9"/>
        <rFont val="Arial CE"/>
      </rPr>
      <t>(Jub. 126,12893+Kom. 68: 3,83265)</t>
    </r>
  </si>
  <si>
    <t xml:space="preserve">            § 3233 SVČ Fokus vratka příspěvku na energie</t>
  </si>
  <si>
    <t xml:space="preserve">            § 3311 Beskydské divadlo vratka příspěvku na energie</t>
  </si>
  <si>
    <t xml:space="preserve">            § 3392 MěKS vratka příspěvku na energie</t>
  </si>
  <si>
    <t xml:space="preserve">            § 3412 Basketbalový klub z.s.-vratky příspěvků na energie a provoz bazénů</t>
  </si>
  <si>
    <t xml:space="preserve">            § vratky programových dotací (oblast sociální) </t>
  </si>
  <si>
    <t xml:space="preserve">            § vratky program.dotací (kultura)</t>
  </si>
  <si>
    <t xml:space="preserve">            § 3419 vratky programových dotací (oblast sportu)</t>
  </si>
  <si>
    <t xml:space="preserve">            § 3429 vratky program.dotací (oblast volného času)</t>
  </si>
  <si>
    <t xml:space="preserve">            § vratky individuálních dotací (org.1180)</t>
  </si>
  <si>
    <t xml:space="preserve">            § 4171 + § 4183 vratky soc. dávek (přísp.na živobytí 25,360 + přísp.na úpravu bytu 16)</t>
  </si>
  <si>
    <r>
      <t xml:space="preserve">Příjmy z prodeje krátkodobého a drobného dlouhodobého majetku </t>
    </r>
    <r>
      <rPr>
        <sz val="9"/>
        <rFont val="Arial CE"/>
      </rPr>
      <t>(auto 53,2 + notebooky ZM 43,2)</t>
    </r>
  </si>
  <si>
    <r>
      <t xml:space="preserve">Přijaté neinvestiční dary </t>
    </r>
    <r>
      <rPr>
        <sz val="9"/>
        <rFont val="Arial CE"/>
      </rPr>
      <t xml:space="preserve">(Veolia Dalkia ČR-financování kulturních a společenských akcí města) </t>
    </r>
  </si>
  <si>
    <r>
      <rPr>
        <sz val="10"/>
        <rFont val="Arial CE"/>
      </rPr>
      <t xml:space="preserve">         </t>
    </r>
    <r>
      <rPr>
        <b/>
        <sz val="10"/>
        <rFont val="Arial CE"/>
      </rPr>
      <t xml:space="preserve"> </t>
    </r>
    <r>
      <rPr>
        <sz val="10"/>
        <rFont val="Arial CE"/>
      </rPr>
      <t xml:space="preserve"> § 1037 celospolečenské funkce lesů</t>
    </r>
  </si>
  <si>
    <r>
      <t>009/2141/</t>
    </r>
    <r>
      <rPr>
        <b/>
        <sz val="10"/>
        <rFont val="Arial CE"/>
      </rPr>
      <t>2324</t>
    </r>
  </si>
  <si>
    <r>
      <t xml:space="preserve">           § 2141 vnitřní obchod </t>
    </r>
    <r>
      <rPr>
        <sz val="9"/>
        <rFont val="Arial CE"/>
      </rPr>
      <t>(obecní živnostenský úřad: náklady řízení)</t>
    </r>
  </si>
  <si>
    <t xml:space="preserve">           § 2169 stavební úřad</t>
  </si>
  <si>
    <r>
      <t xml:space="preserve">           § 2223 bezpečnost silničního provozu </t>
    </r>
    <r>
      <rPr>
        <sz val="9"/>
        <rFont val="Arial CE"/>
      </rPr>
      <t>(dopravní přestupky: náklady řízení)</t>
    </r>
  </si>
  <si>
    <r>
      <t xml:space="preserve">           § 3612 bytové hospodářství </t>
    </r>
    <r>
      <rPr>
        <sz val="9"/>
        <rFont val="Arial CE"/>
      </rPr>
      <t>(odbor bytový: úhrada nákladů soudních řízení+poplatky z prodlení)</t>
    </r>
  </si>
  <si>
    <r>
      <t xml:space="preserve">           § 3613 nebytové hospodářství </t>
    </r>
    <r>
      <rPr>
        <sz val="9"/>
        <rFont val="Arial CE"/>
      </rPr>
      <t>(odb.bytový: úhrada nákladů soudních řízení+popl.z prodlení,OSM 3,84798)</t>
    </r>
  </si>
  <si>
    <r>
      <t xml:space="preserve">           § 3639 náklady řízení </t>
    </r>
    <r>
      <rPr>
        <sz val="9"/>
        <rFont val="Arial CE"/>
      </rPr>
      <t>(odbor finanční)</t>
    </r>
  </si>
  <si>
    <r>
      <t xml:space="preserve">          </t>
    </r>
    <r>
      <rPr>
        <sz val="10"/>
        <rFont val="Arial CE"/>
      </rPr>
      <t xml:space="preserve"> § 3612 Ukrajina (dle rozhodnutí Kraje z 15.9.2022)  - náhrady nákladů za ubytování </t>
    </r>
  </si>
  <si>
    <r>
      <t xml:space="preserve">           § 3722 sběr a svoz komunálních odpadů </t>
    </r>
    <r>
      <rPr>
        <sz val="9"/>
        <rFont val="Arial CE"/>
      </rPr>
      <t xml:space="preserve">(příspěvek od EKOKOMu)               </t>
    </r>
  </si>
  <si>
    <r>
      <t xml:space="preserve">           § 5311 bezpečnost a veřejný pořádek</t>
    </r>
    <r>
      <rPr>
        <sz val="9"/>
        <rFont val="Arial CE"/>
      </rPr>
      <t xml:space="preserve"> (Městská policie: náhrady)</t>
    </r>
  </si>
  <si>
    <r>
      <t xml:space="preserve">           § 6171 činnost místní správy </t>
    </r>
    <r>
      <rPr>
        <sz val="9"/>
        <rFont val="Arial CE"/>
      </rPr>
      <t>(obecné přestupky: náklady řízení)</t>
    </r>
  </si>
  <si>
    <r>
      <t>741/6171/</t>
    </r>
    <r>
      <rPr>
        <b/>
        <sz val="10"/>
        <rFont val="Arial CE"/>
      </rPr>
      <t>2324</t>
    </r>
    <r>
      <rPr>
        <sz val="9"/>
        <rFont val="Arial CE"/>
      </rPr>
      <t>/0222</t>
    </r>
  </si>
  <si>
    <r>
      <t xml:space="preserve">           § 6171 činnost místní správy</t>
    </r>
    <r>
      <rPr>
        <sz val="10"/>
        <rFont val="Arial CE"/>
      </rPr>
      <t xml:space="preserve"> (odbor finanční: exekuční a soudní náklady)</t>
    </r>
  </si>
  <si>
    <t xml:space="preserve">           § 6409 ostatní činnosti j.n.</t>
  </si>
  <si>
    <r>
      <t xml:space="preserve">           § 3341 kabelová televize Straník-přihlášky</t>
    </r>
    <r>
      <rPr>
        <sz val="9"/>
        <rFont val="Arial CE"/>
      </rPr>
      <t xml:space="preserve"> </t>
    </r>
    <r>
      <rPr>
        <sz val="10"/>
        <rFont val="Arial CE"/>
      </rPr>
      <t>(odbor správy majetku)</t>
    </r>
  </si>
  <si>
    <t xml:space="preserve">           § 3612 bytové hospodářství (odbor bytový)</t>
  </si>
  <si>
    <t>;</t>
  </si>
  <si>
    <t xml:space="preserve">           § 3613 nebytové hospodářství (odbor bytový)</t>
  </si>
  <si>
    <r>
      <t xml:space="preserve">           § 3613 chata Jičínka </t>
    </r>
    <r>
      <rPr>
        <sz val="10"/>
        <rFont val="Arial CE"/>
      </rPr>
      <t>(org. 4381)=účet 2310440, OSM kovošrot 0,310 + ostatní=účet 2310600</t>
    </r>
  </si>
  <si>
    <r>
      <t xml:space="preserve">           § 3632</t>
    </r>
    <r>
      <rPr>
        <sz val="10"/>
        <rFont val="Arial CE"/>
      </rPr>
      <t xml:space="preserve"> pohřebnictví (odbor sociálních věcí - příjmy ze sociálních pohřbů)</t>
    </r>
  </si>
  <si>
    <r>
      <t xml:space="preserve">           § 3639 provoz internetu ve Straníku </t>
    </r>
    <r>
      <rPr>
        <sz val="10"/>
        <rFont val="Arial CE"/>
      </rPr>
      <t>(odbor správy majetku)</t>
    </r>
  </si>
  <si>
    <t xml:space="preserve">           § 4351 domy s pečovatelskou službou (odbor bytový)</t>
  </si>
  <si>
    <r>
      <t xml:space="preserve">           § 4351 neinvestiční příspěvek na poskytování sociálních služeb </t>
    </r>
    <r>
      <rPr>
        <sz val="9"/>
        <rFont val="Arial CE"/>
      </rPr>
      <t>(předpokládaná dotace z MPSV)</t>
    </r>
  </si>
  <si>
    <r>
      <t xml:space="preserve">           §           neinvestiční příspěvek na výkon soc.právní ochrany dětí 2022 </t>
    </r>
    <r>
      <rPr>
        <sz val="9"/>
        <rFont val="Arial CE"/>
      </rPr>
      <t>(předpokládaná dotace z MPSV) - po schválení je rozpočtováno na pol. 4116 (ÚZ 13024)</t>
    </r>
  </si>
  <si>
    <r>
      <t xml:space="preserve">           §           neinvestiční příspěvek pouze na výkon soc.práce mimo soc.právní ochranu dětí </t>
    </r>
    <r>
      <rPr>
        <sz val="9"/>
        <rFont val="Arial CE"/>
      </rPr>
      <t>(předpokládaná dotace z MPSV) - po schválení je rozpočtováno na pol. 4116 (ÚZ 13015)</t>
    </r>
  </si>
  <si>
    <r>
      <t xml:space="preserve">           § 3322-3326 neinvestiční příspěvek na regeneraci MPR a MPZ (z MK ČR) </t>
    </r>
    <r>
      <rPr>
        <sz val="9"/>
        <rFont val="Arial CE"/>
      </rPr>
      <t>s ÚZ 34054</t>
    </r>
  </si>
  <si>
    <r>
      <t xml:space="preserve">           § 6115 neinvest.příspěvek </t>
    </r>
    <r>
      <rPr>
        <sz val="9"/>
        <rFont val="Arial CE"/>
      </rPr>
      <t>(dotace)</t>
    </r>
    <r>
      <rPr>
        <sz val="10"/>
        <rFont val="Arial CE"/>
      </rPr>
      <t xml:space="preserve"> na volby do zastupitelstev územ.samospr.celků (obcí)</t>
    </r>
  </si>
  <si>
    <r>
      <t xml:space="preserve">           § 6118 neinvest.příspěvek </t>
    </r>
    <r>
      <rPr>
        <sz val="9"/>
        <rFont val="Arial CE"/>
      </rPr>
      <t>(dotace)</t>
    </r>
    <r>
      <rPr>
        <sz val="10"/>
        <rFont val="Arial CE"/>
      </rPr>
      <t xml:space="preserve"> na volby prezidenta republiky</t>
    </r>
  </si>
  <si>
    <t xml:space="preserve">           § 4399 ostatní záležitosti soc.věcí a politiky zaměstnanosti</t>
  </si>
  <si>
    <t xml:space="preserve">           § 6171 odbor správy majetku </t>
  </si>
  <si>
    <t xml:space="preserve">           § 6171, § 6409 odbor organizační </t>
  </si>
  <si>
    <r>
      <t>Příjmy z prodeje pozemků s DPH 21%</t>
    </r>
    <r>
      <rPr>
        <b/>
        <sz val="9"/>
        <rFont val="Arial CE"/>
      </rPr>
      <t xml:space="preserve"> </t>
    </r>
    <r>
      <rPr>
        <sz val="9"/>
        <rFont val="Arial CE"/>
      </rPr>
      <t>(v mil. Kč:  směna ČSAD 5, Za Školou 2,688, prům. park 61,567, ost. 0,6) vč. DPH</t>
    </r>
  </si>
  <si>
    <r>
      <t xml:space="preserve">Příjmy z prodeje pozemků s </t>
    </r>
    <r>
      <rPr>
        <b/>
        <sz val="10"/>
        <rFont val="Arial CE"/>
      </rPr>
      <t>DPH 0%</t>
    </r>
  </si>
  <si>
    <t xml:space="preserve">             bytový dům Dolní Brána 26</t>
  </si>
  <si>
    <t xml:space="preserve">             nebytový dům U Jezu - celý areál </t>
  </si>
  <si>
    <t xml:space="preserve">             bytový dům Beskydská 176 (Škola života) - odhad</t>
  </si>
  <si>
    <t xml:space="preserve">             bytový dům Hluboká 188</t>
  </si>
  <si>
    <t xml:space="preserve">             bytový dům 5.května 2, Jungmannova 1</t>
  </si>
  <si>
    <t xml:space="preserve">             sklepy Štefánikova</t>
  </si>
  <si>
    <r>
      <t>Příjmy z prodeje ostatního hmotného dlouhodobého majetku</t>
    </r>
    <r>
      <rPr>
        <sz val="9"/>
        <rFont val="Arial CE"/>
      </rPr>
      <t xml:space="preserve"> </t>
    </r>
  </si>
  <si>
    <r>
      <t>Ostatní příjmy z prodeje dlouhodobého majetku</t>
    </r>
    <r>
      <rPr>
        <sz val="9"/>
        <rFont val="Arial CE"/>
      </rPr>
      <t xml:space="preserve"> (OSM: prodej vodovovodů s 21% DPH)</t>
    </r>
  </si>
  <si>
    <t>Přijaté dary na pořízení dlouhodobého majetku</t>
  </si>
  <si>
    <r>
      <t xml:space="preserve">            </t>
    </r>
    <r>
      <rPr>
        <sz val="10"/>
        <rFont val="Arial CE"/>
      </rPr>
      <t xml:space="preserve"> Stecomtra (na rekonstrukci bytů pro uprychlíky z UKR)</t>
    </r>
  </si>
  <si>
    <r>
      <t xml:space="preserve">             </t>
    </r>
    <r>
      <rPr>
        <sz val="10"/>
        <rFont val="Arial CE"/>
      </rPr>
      <t>ČSAD komunikace</t>
    </r>
  </si>
  <si>
    <t xml:space="preserve">             SFPI - RPS Nerudova 1. etapa </t>
  </si>
  <si>
    <r>
      <t xml:space="preserve">             IROP MMR Jičínská  272 - revitalizaci bytového domu </t>
    </r>
    <r>
      <rPr>
        <sz val="9"/>
        <rFont val="Arial"/>
      </rPr>
      <t>(odbor bytový)</t>
    </r>
  </si>
  <si>
    <r>
      <t xml:space="preserve">             IROP MMR Jičínská  275 - revitalizaci bytového domu </t>
    </r>
    <r>
      <rPr>
        <sz val="9"/>
        <rFont val="Arial"/>
      </rPr>
      <t>(odbor bytový)</t>
    </r>
  </si>
  <si>
    <t xml:space="preserve">             Chodník Loučka ul. Na Drážkách</t>
  </si>
  <si>
    <r>
      <t xml:space="preserve">             Stavební úprava a nástavba objektu SVČ Fokus </t>
    </r>
    <r>
      <rPr>
        <sz val="9"/>
        <rFont val="Arial CE"/>
      </rPr>
      <t>(dotace je určena na úhradu úvěru u této PO)</t>
    </r>
  </si>
  <si>
    <t xml:space="preserve">             Byty Ukrajina</t>
  </si>
  <si>
    <t xml:space="preserve">             MSK Společná stezka pro chodce a cyklisty Rybníčky OSM realizace</t>
  </si>
  <si>
    <r>
      <rPr>
        <sz val="9"/>
        <rFont val="Arial CE"/>
      </rPr>
      <t>741/----/</t>
    </r>
    <r>
      <rPr>
        <b/>
        <sz val="10"/>
        <rFont val="Arial CE"/>
      </rPr>
      <t>4111</t>
    </r>
    <r>
      <rPr>
        <sz val="9"/>
        <rFont val="Arial CE"/>
      </rPr>
      <t>/----/98037</t>
    </r>
  </si>
  <si>
    <t xml:space="preserve">z toho: příspěvek obcím ke zmírnění dopadu zákona o kompenzačním bonusu v roce 2021 </t>
  </si>
  <si>
    <r>
      <rPr>
        <sz val="9"/>
        <rFont val="Arial CE"/>
      </rPr>
      <t>741/----/</t>
    </r>
    <r>
      <rPr>
        <b/>
        <sz val="10"/>
        <rFont val="Arial CE"/>
      </rPr>
      <t>4111</t>
    </r>
    <r>
      <rPr>
        <sz val="9"/>
        <rFont val="Arial CE"/>
      </rPr>
      <t>/----/98043</t>
    </r>
  </si>
  <si>
    <t xml:space="preserve">            příspěvek obcím ke zmírnění dopadu zákona o kompenzačním bonusu v roce 2021 </t>
  </si>
  <si>
    <r>
      <rPr>
        <sz val="9"/>
        <rFont val="Arial CE"/>
      </rPr>
      <t>741/----/</t>
    </r>
    <r>
      <rPr>
        <b/>
        <sz val="10"/>
        <rFont val="Arial CE"/>
      </rPr>
      <t>4111</t>
    </r>
    <r>
      <rPr>
        <sz val="9"/>
        <rFont val="Arial CE"/>
      </rPr>
      <t>/----/98187</t>
    </r>
  </si>
  <si>
    <t xml:space="preserve">            na společné volby do zastupitelstev obcí a Senátu ČR (ÚZ 98187)</t>
  </si>
  <si>
    <r>
      <t xml:space="preserve">Neinvestiční přijaté transfery ze státního rozpočtu v rámci souhrnného dotačního vztahu                                                                                                                                                                          </t>
    </r>
    <r>
      <rPr>
        <sz val="10"/>
        <rFont val="Arial CE"/>
      </rPr>
      <t xml:space="preserve">(příspěvek na výkon státní správy)                                                                                                                                                                                                                                                                                                                                                                                                                                                               </t>
    </r>
  </si>
  <si>
    <r>
      <t xml:space="preserve">z toho: MMR (IROP-SR) Digitalizací k Hi-tech výuce - </t>
    </r>
    <r>
      <rPr>
        <sz val="9"/>
        <rFont val="Arial CE"/>
      </rPr>
      <t>pro ZŠ Komenského 68 (ÚZ 17015, 17016)</t>
    </r>
  </si>
  <si>
    <r>
      <t xml:space="preserve">            MMR (IROP-SR) Energetické úspory Na Lani 212 - z r. 2021 </t>
    </r>
    <r>
      <rPr>
        <sz val="9"/>
        <rFont val="Arial CE"/>
      </rPr>
      <t>(ÚZ 17015, 17016)</t>
    </r>
  </si>
  <si>
    <r>
      <t xml:space="preserve">            MPSV Výkon sociálněprávní ochrany dětí </t>
    </r>
    <r>
      <rPr>
        <sz val="9"/>
        <rFont val="Arial CE"/>
      </rPr>
      <t>(ÚZ 13024)</t>
    </r>
  </si>
  <si>
    <r>
      <t xml:space="preserve">            MPSV Výkon soc.práce mimo sociálně právní ochrany dětí </t>
    </r>
    <r>
      <rPr>
        <sz val="9"/>
        <rFont val="Arial CE"/>
      </rPr>
      <t>(ÚZ 13015)</t>
    </r>
  </si>
  <si>
    <t xml:space="preserve">            Min.zeměd.-Plán národní obnovy (ÚZ 29031)</t>
  </si>
  <si>
    <t xml:space="preserve">            Min.zeměd.-výsadby, OLH, ... (ÚZ 29014)</t>
  </si>
  <si>
    <t xml:space="preserve">            Min.kultury - Oprava střechy na budově radnice (ÚZ 34054)</t>
  </si>
  <si>
    <r>
      <t xml:space="preserve">            Min.kultury - Modernizace automat.knihovn.systému v Městské knihovně-pro MěKS NJ </t>
    </r>
    <r>
      <rPr>
        <sz val="9"/>
        <rFont val="Arial CE"/>
      </rPr>
      <t>(ÚZ 34053)</t>
    </r>
  </si>
  <si>
    <r>
      <t xml:space="preserve">z toho: za veřejnoprávní smlouvy s ostatními obcemi na úseku přestupků </t>
    </r>
    <r>
      <rPr>
        <sz val="9"/>
        <rFont val="Arial CE"/>
      </rPr>
      <t>(odbor přestupkových agend)</t>
    </r>
  </si>
  <si>
    <r>
      <t xml:space="preserve">            za veřejnopravní smlouvy s ostatními obcemi </t>
    </r>
    <r>
      <rPr>
        <sz val="9"/>
        <rFont val="Arial CE"/>
      </rPr>
      <t>(Městská policie-odchyt psů)</t>
    </r>
  </si>
  <si>
    <t xml:space="preserve">            dary od městyse Suchdol n.O. a obce Kunín (na Pivobraní)</t>
  </si>
  <si>
    <t xml:space="preserve">            na poskytování podpory soc.služeb dle zákona o soc.službách ORJ 541, org.1113</t>
  </si>
  <si>
    <t xml:space="preserve">            na poskytování podpory soc.služeb dle zákona o soc.službách ORJ 541, org.1114</t>
  </si>
  <si>
    <t xml:space="preserve">            na poskytování podpory soc.služeb dle zákona o soc.službách ORJ 029, org.1119</t>
  </si>
  <si>
    <t xml:space="preserve">            financování a obnova vodovodu Hodslavice (odbor správy majetku)</t>
  </si>
  <si>
    <t xml:space="preserve">            za veřejnoprávní smlouvy s ostatními obcemi (odbor životního prostředí - veř.zeleň)</t>
  </si>
  <si>
    <r>
      <t xml:space="preserve">            za veřejnoprávní smlouvy s ostatními obcemi </t>
    </r>
    <r>
      <rPr>
        <sz val="9"/>
        <rFont val="Arial CE"/>
      </rPr>
      <t>(</t>
    </r>
    <r>
      <rPr>
        <sz val="10"/>
        <rFont val="Arial CE"/>
      </rPr>
      <t>stavební úřad</t>
    </r>
    <r>
      <rPr>
        <sz val="9"/>
        <rFont val="Arial CE"/>
      </rPr>
      <t>)</t>
    </r>
  </si>
  <si>
    <r>
      <t xml:space="preserve">z toho: Zajištění dočasného nouzového ubytování pro uprchlíky z Ukrajiny </t>
    </r>
    <r>
      <rPr>
        <sz val="9"/>
        <rFont val="Arial CE"/>
      </rPr>
      <t xml:space="preserve">(ÚZ 900)    </t>
    </r>
  </si>
  <si>
    <r>
      <t xml:space="preserve">            Zajištění okresních a krajských přehlídek a soutěží typu A a B - pro SVČ Fokus </t>
    </r>
    <r>
      <rPr>
        <sz val="9"/>
        <rFont val="Arial CE"/>
      </rPr>
      <t>(ÚZ 133)</t>
    </r>
  </si>
  <si>
    <r>
      <t xml:space="preserve">            MŠMT: Zajištění okresních a krajských přehlídek a soutěží typu A a B - pro SVČ Fokus </t>
    </r>
    <r>
      <rPr>
        <sz val="9"/>
        <rFont val="Arial CE"/>
      </rPr>
      <t>(ÚZ 33166)</t>
    </r>
  </si>
  <si>
    <r>
      <t xml:space="preserve">            Podpora turistických informačních center v MSK - pro Návštěvnické centrum NJ </t>
    </r>
    <r>
      <rPr>
        <sz val="9"/>
        <rFont val="Arial CE"/>
      </rPr>
      <t>(ÚZ 672)</t>
    </r>
  </si>
  <si>
    <r>
      <t xml:space="preserve">            Podpora technických atraktivit v NJ - pro Návštěvnické centrum NJ </t>
    </r>
    <r>
      <rPr>
        <sz val="9"/>
        <rFont val="Arial CE"/>
      </rPr>
      <t>(ÚZ 692)</t>
    </r>
  </si>
  <si>
    <r>
      <t xml:space="preserve">            Zajištění výkonu regionálních funkcí knihoven - pro MěKS</t>
    </r>
    <r>
      <rPr>
        <sz val="9"/>
        <rFont val="Arial CE"/>
      </rPr>
      <t xml:space="preserve"> (ÚZ 345)</t>
    </r>
  </si>
  <si>
    <r>
      <t xml:space="preserve">            Poskytování sociálních služeb - pro Prosenior NJ </t>
    </r>
    <r>
      <rPr>
        <sz val="9"/>
        <rFont val="Arial CE"/>
      </rPr>
      <t>(ÚZ 13305)</t>
    </r>
    <r>
      <rPr>
        <sz val="10"/>
        <rFont val="Arial CE"/>
      </rPr>
      <t xml:space="preserve"> </t>
    </r>
  </si>
  <si>
    <r>
      <t>2360100/741/6330/</t>
    </r>
    <r>
      <rPr>
        <b/>
        <sz val="9"/>
        <rFont val="Arial CE"/>
      </rPr>
      <t>4134</t>
    </r>
    <r>
      <rPr>
        <sz val="9"/>
        <rFont val="Arial CE"/>
      </rPr>
      <t>/0/0</t>
    </r>
  </si>
  <si>
    <r>
      <t xml:space="preserve">Převody z rozpočtových účtů </t>
    </r>
    <r>
      <rPr>
        <sz val="9"/>
        <rFont val="Arial CE"/>
      </rPr>
      <t>(sociální fond)</t>
    </r>
  </si>
  <si>
    <t xml:space="preserve">          MMR IROP Chodník k autobusové zastávce Bocheta (ÚZ 17969, Ná107 Z5)</t>
  </si>
  <si>
    <r>
      <t xml:space="preserve">          IROP MMR Jičínská  272 - revitalizaci bytového domu </t>
    </r>
    <r>
      <rPr>
        <sz val="9"/>
        <rFont val="Arial"/>
      </rPr>
      <t>(odbor bytový) (ÚZ 17969 N 107 Z 5)</t>
    </r>
  </si>
  <si>
    <r>
      <t xml:space="preserve">          IROP MMR Jičínská  275 - revitalizaci bytového domu </t>
    </r>
    <r>
      <rPr>
        <sz val="9"/>
        <rFont val="Arial"/>
      </rPr>
      <t>(odbor bytový) (ÚZ 17969 N 107 Z 5)</t>
    </r>
  </si>
  <si>
    <r>
      <t xml:space="preserve">          MMR nákup vozidel pro PS NJ (90%)</t>
    </r>
    <r>
      <rPr>
        <sz val="9"/>
        <rFont val="Arial CE"/>
      </rPr>
      <t xml:space="preserve"> (ÚZ 17969 N107 Z5)</t>
    </r>
  </si>
  <si>
    <t>z toho: Projekt Efektivní veřejná správa</t>
  </si>
  <si>
    <r>
      <t xml:space="preserve">         </t>
    </r>
    <r>
      <rPr>
        <sz val="10"/>
        <rFont val="Arial CE"/>
      </rPr>
      <t xml:space="preserve">  MMR (IROP-SR) Digitalizací k Hi-tech výuce -pro ZŠ Komenského 68 (ÚZ 17968, 17969)</t>
    </r>
  </si>
  <si>
    <r>
      <t xml:space="preserve">         </t>
    </r>
    <r>
      <rPr>
        <sz val="10"/>
        <rFont val="Arial CE"/>
      </rPr>
      <t xml:space="preserve">  MMR (IROP-SR) Energetické úspory Na Lani 212 - z r. 2021 </t>
    </r>
    <r>
      <rPr>
        <sz val="9"/>
        <rFont val="Arial CE"/>
      </rPr>
      <t>(ÚZ 17968, 17969)</t>
    </r>
  </si>
  <si>
    <t xml:space="preserve">            MMR - Místo pro přecházení na silnici I/57 Bludovice u NJ (ÚZ 17969) </t>
  </si>
  <si>
    <t xml:space="preserve">            MMR IROP SR IV-EÚ bytového domu Zborovská 11 (ÚZ 17968, 17969)</t>
  </si>
  <si>
    <r>
      <t xml:space="preserve">          </t>
    </r>
    <r>
      <rPr>
        <sz val="10"/>
        <rFont val="Arial CE"/>
      </rPr>
      <t xml:space="preserve"> MMR Technická infrastruktura (sítě) Za Školou v NJ-Žilině </t>
    </r>
  </si>
  <si>
    <t xml:space="preserve">            MMR-IROP Autobusová zastávka U Partyzána v NJ-Žilině</t>
  </si>
  <si>
    <r>
      <t xml:space="preserve">           </t>
    </r>
    <r>
      <rPr>
        <sz val="10"/>
        <rFont val="Arial CE"/>
      </rPr>
      <t>Opatření ke snížení energ.náročnosti VO-EFEKT 2021 (ÚZ 22500)</t>
    </r>
    <r>
      <rPr>
        <sz val="9"/>
        <rFont val="Arial CE"/>
      </rPr>
      <t xml:space="preserve"> </t>
    </r>
  </si>
  <si>
    <r>
      <t xml:space="preserve">           </t>
    </r>
    <r>
      <rPr>
        <sz val="10"/>
        <rFont val="Arial CE"/>
      </rPr>
      <t xml:space="preserve">Min.kultury - Modernizace automat.knihovního systému v Městské knihovně - pro MěKS NJ </t>
    </r>
    <r>
      <rPr>
        <sz val="9"/>
        <rFont val="Arial CE"/>
      </rPr>
      <t>(ÚZ 34544)</t>
    </r>
  </si>
  <si>
    <r>
      <t xml:space="preserve">z toho: Podpora technických atraktivit v NJ - pro Návštěvnické centrum NJ </t>
    </r>
    <r>
      <rPr>
        <sz val="9"/>
        <rFont val="Arial CE"/>
      </rPr>
      <t>(ÚZ 692)</t>
    </r>
  </si>
  <si>
    <r>
      <t xml:space="preserve">            Rozšíření průmyslové zóny 2.etapa </t>
    </r>
    <r>
      <rPr>
        <sz val="9"/>
        <rFont val="Arial CE"/>
      </rPr>
      <t>(ÚZ 201)</t>
    </r>
  </si>
  <si>
    <r>
      <t xml:space="preserve">            Společná stezka pro chodce a cyklisty Rybníčky </t>
    </r>
    <r>
      <rPr>
        <sz val="9"/>
        <rFont val="Arial CE"/>
      </rPr>
      <t>(ÚZ 719)</t>
    </r>
  </si>
  <si>
    <r>
      <t xml:space="preserve">            Cyklostezka NJ-Hostašovice, úsek vojenská vlečka (ÚZ 720)</t>
    </r>
    <r>
      <rPr>
        <sz val="9"/>
        <rFont val="Arial CE"/>
      </rPr>
      <t>-roky 2021-2022</t>
    </r>
  </si>
  <si>
    <t xml:space="preserve">            Revitalizace veřejného prostranství Horního nádraží (ÚZ 612)</t>
  </si>
  <si>
    <t xml:space="preserve">            Stezka pro chodce a cyklisty B. Martinů PD</t>
  </si>
  <si>
    <r>
      <t xml:space="preserve">Změna stavu krátkodobých prostředků na bankovních účtech </t>
    </r>
    <r>
      <rPr>
        <sz val="9"/>
        <rFont val="Arial CE"/>
      </rPr>
      <t>(zapojení konečných zůstatků k 31.12.2022 na účtech města)</t>
    </r>
  </si>
  <si>
    <r>
      <t>Dlouhodobé přijaté půjčené prostředky</t>
    </r>
    <r>
      <rPr>
        <sz val="9"/>
        <rFont val="Arial CE"/>
      </rPr>
      <t xml:space="preserve"> (investiční úvěr na akce: Revitalizace K Archívu 2+Revitalizace Zborovská 11+Revitalizace Na Lani 212)</t>
    </r>
  </si>
  <si>
    <t>Uhrazené splátky dlouhodobých přijatých půjčených prostředků</t>
  </si>
  <si>
    <r>
      <t xml:space="preserve">Změna stavu dlouhodobých prostředků na bankovních účtech </t>
    </r>
    <r>
      <rPr>
        <sz val="10"/>
        <rFont val="Arial CE"/>
      </rPr>
      <t>(Sberbank)</t>
    </r>
  </si>
  <si>
    <r>
      <t>Pitná voda</t>
    </r>
    <r>
      <rPr>
        <sz val="9"/>
        <rFont val="Arial CE"/>
      </rPr>
      <t xml:space="preserve"> (účet 2310800)</t>
    </r>
  </si>
  <si>
    <r>
      <t xml:space="preserve">           </t>
    </r>
    <r>
      <rPr>
        <sz val="9"/>
        <rFont val="Arial CE"/>
      </rPr>
      <t>PD k opravám, pasport vodovodů (vodovod Straník)</t>
    </r>
  </si>
  <si>
    <r>
      <t xml:space="preserve">           </t>
    </r>
    <r>
      <rPr>
        <sz val="9"/>
        <rFont val="Arial CE"/>
      </rPr>
      <t>opravy a udržba</t>
    </r>
  </si>
  <si>
    <r>
      <t xml:space="preserve">Odvádění a čištění odpadních vod a nakládání s kaly </t>
    </r>
    <r>
      <rPr>
        <sz val="9"/>
        <rFont val="Arial CE"/>
      </rPr>
      <t>(účet 2310800)</t>
    </r>
  </si>
  <si>
    <t xml:space="preserve">                revize, poplatky, PD k opravám</t>
  </si>
  <si>
    <t xml:space="preserve">            opravy a údržba (ul. Žižkova a Nábřežní)</t>
  </si>
  <si>
    <r>
      <rPr>
        <sz val="10"/>
        <rFont val="Arial CE"/>
      </rPr>
      <t xml:space="preserve">            Plán financování obnovy </t>
    </r>
    <r>
      <rPr>
        <sz val="9"/>
        <rFont val="Arial CE"/>
      </rPr>
      <t>(účet 2310441) - opr. a udržování (rekonstrukce - obnova kanalizačních šachet )</t>
    </r>
  </si>
  <si>
    <r>
      <t>Drobné vodní toky</t>
    </r>
    <r>
      <rPr>
        <sz val="9"/>
        <rFont val="Arial CE"/>
      </rPr>
      <t xml:space="preserve"> (účet 2310800)</t>
    </r>
  </si>
  <si>
    <t xml:space="preserve">           služby - čištění vodní toků</t>
  </si>
  <si>
    <t xml:space="preserve">           opravy a udržování</t>
  </si>
  <si>
    <r>
      <t xml:space="preserve">Silnice </t>
    </r>
    <r>
      <rPr>
        <sz val="8"/>
        <rFont val="Arial CE"/>
      </rPr>
      <t>(účet 2310800)</t>
    </r>
  </si>
  <si>
    <t>z toho: investice celkem (TSM)</t>
  </si>
  <si>
    <t xml:space="preserve">                  PD stavebnicový dvůr (rozvod el. energ., kamerový systém)</t>
  </si>
  <si>
    <t xml:space="preserve">                  Komunální technika - kombinace na léto a zimu (zametač a sypač s pluhem)</t>
  </si>
  <si>
    <t xml:space="preserve">                  Tandemový vibrační válec</t>
  </si>
  <si>
    <r>
      <t xml:space="preserve">z toho: veřejně prospěšné práce </t>
    </r>
    <r>
      <rPr>
        <sz val="9"/>
        <rFont val="Arial CE"/>
      </rPr>
      <t>(TSM)</t>
    </r>
  </si>
  <si>
    <r>
      <t xml:space="preserve">             oprava a údržba místních komunikací </t>
    </r>
    <r>
      <rPr>
        <sz val="9"/>
        <rFont val="Arial CE"/>
      </rPr>
      <t>(TSM)</t>
    </r>
  </si>
  <si>
    <t xml:space="preserve">             oprava a údržba místních komunikací - město (MK u Zemědělské střední školy)</t>
  </si>
  <si>
    <t xml:space="preserve">             oprava a údržba mostů (dle mostních prohlídek)</t>
  </si>
  <si>
    <r>
      <t xml:space="preserve">             </t>
    </r>
    <r>
      <rPr>
        <sz val="10"/>
        <rFont val="Arial CE"/>
      </rPr>
      <t>služby - pasport MK 1500, ost. služby 550 (PD ul. Bařiny - opěrná zeď)</t>
    </r>
  </si>
  <si>
    <r>
      <t xml:space="preserve">             </t>
    </r>
    <r>
      <rPr>
        <sz val="10"/>
        <rFont val="Arial CE"/>
      </rPr>
      <t>služby - mostní prohlídky 50, mostní listy 300</t>
    </r>
  </si>
  <si>
    <t>0386/2212/6121</t>
  </si>
  <si>
    <r>
      <t xml:space="preserve">             </t>
    </r>
    <r>
      <rPr>
        <sz val="10"/>
        <rFont val="Arial CE"/>
      </rPr>
      <t>investice - Sjezd na parkoviště u Lidlu</t>
    </r>
  </si>
  <si>
    <t>5459/2212/6121</t>
  </si>
  <si>
    <r>
      <t xml:space="preserve">             </t>
    </r>
    <r>
      <rPr>
        <sz val="10"/>
        <rFont val="Arial CE"/>
      </rPr>
      <t>investice - Přechody Dukelská, Anenská (ul. K. Schwarze)</t>
    </r>
  </si>
  <si>
    <r>
      <t xml:space="preserve">Ostatní záležitosti pozemních komunikací </t>
    </r>
    <r>
      <rPr>
        <sz val="9"/>
        <rFont val="Arial CE"/>
      </rPr>
      <t>(účet 2310800)</t>
    </r>
  </si>
  <si>
    <t>z toho: TSM celkem</t>
  </si>
  <si>
    <t>0517/2219/6351</t>
  </si>
  <si>
    <t xml:space="preserve">             Dohoda o narovnání se spol. WSA doprava a parkování s.r.o. (nákup parkovacích automatů)</t>
  </si>
  <si>
    <t xml:space="preserve">             Stavba chodníkového tělesa v areálu TSM</t>
  </si>
  <si>
    <t>0386/2219/6121</t>
  </si>
  <si>
    <t xml:space="preserve">             Zpřístupnění lesoparku na Skalkách - chodník od jihu </t>
  </si>
  <si>
    <t xml:space="preserve">             Parkoviště Žilina, u kostela (p.č. 673/2)</t>
  </si>
  <si>
    <t>5447/2219/6121</t>
  </si>
  <si>
    <t xml:space="preserve">             Parkoviště Dlouhá (výměníková stanice, BD č.o. 40)</t>
  </si>
  <si>
    <t>5465/2219/6121</t>
  </si>
  <si>
    <t xml:space="preserve">             Parkoviště MŠ Máj (KSD 36)</t>
  </si>
  <si>
    <t xml:space="preserve">             Kontejnerová stání</t>
  </si>
  <si>
    <t>0386/2219/5164</t>
  </si>
  <si>
    <t xml:space="preserve">     nájemné (užití pozemku, DZ) </t>
  </si>
  <si>
    <t xml:space="preserve">     služby - PD k opravám</t>
  </si>
  <si>
    <t xml:space="preserve">     opravy a údržba chodníků</t>
  </si>
  <si>
    <r>
      <t>Provoz veřejné silniční dopravy</t>
    </r>
    <r>
      <rPr>
        <sz val="9"/>
        <rFont val="Arial CE"/>
      </rPr>
      <t xml:space="preserve"> (účet 2310800)</t>
    </r>
  </si>
  <si>
    <t>0386/2221/6121</t>
  </si>
  <si>
    <t xml:space="preserve">             Přístřešek na autobusové zastávce  na ul. Gregorova u zdravotního střediska </t>
  </si>
  <si>
    <t xml:space="preserve">             služby - revize, poplatky</t>
  </si>
  <si>
    <t xml:space="preserve">             opravy autobusových přístřešků</t>
  </si>
  <si>
    <t>z toho: investice - výkupy pozemků</t>
  </si>
  <si>
    <r>
      <t xml:space="preserve">    věcná břemena (</t>
    </r>
    <r>
      <rPr>
        <sz val="9"/>
        <rFont val="Arial CE"/>
      </rPr>
      <t>účet 2310440)</t>
    </r>
  </si>
  <si>
    <r>
      <t xml:space="preserve">    věcná břemena (</t>
    </r>
    <r>
      <rPr>
        <sz val="9"/>
        <rFont val="Arial CE"/>
      </rPr>
      <t>účet 2310800)</t>
    </r>
  </si>
  <si>
    <t xml:space="preserve">    majetkoprávní - nájemné</t>
  </si>
  <si>
    <t xml:space="preserve">    majetkoprávní - znalecké posudky</t>
  </si>
  <si>
    <t xml:space="preserve">    majetkoprávní - posudky a geometrické plány</t>
  </si>
  <si>
    <t xml:space="preserve">    majetkoprávní - nákup kolků</t>
  </si>
  <si>
    <t xml:space="preserve">    majetkoprávní - správní poplatky</t>
  </si>
  <si>
    <r>
      <t>Rozhlas a televize</t>
    </r>
    <r>
      <rPr>
        <sz val="9"/>
        <rFont val="Arial CE"/>
      </rPr>
      <t xml:space="preserve"> (účet 2310800) </t>
    </r>
  </si>
  <si>
    <t xml:space="preserve">            platby poplatky </t>
  </si>
  <si>
    <t>0513/3341/6121</t>
  </si>
  <si>
    <t xml:space="preserve">  investice: Bezdrát - umístění nových hlásičů  (ul. Za Školou, Na Samotě, Na Výsluní)</t>
  </si>
  <si>
    <r>
      <t xml:space="preserve">Využití volného času dětí a mládeže </t>
    </r>
    <r>
      <rPr>
        <sz val="9"/>
        <rFont val="Arial CE"/>
      </rPr>
      <t>(účet 2310800)</t>
    </r>
  </si>
  <si>
    <t xml:space="preserve">             Dětská hřiště - příspěvek na údržbu a opravy (TSM)</t>
  </si>
  <si>
    <t xml:space="preserve">             Dětská hřiště  - drobný hmotný dlouhodobý majetek</t>
  </si>
  <si>
    <t xml:space="preserve">                                      - nákup materiálu j.n.</t>
  </si>
  <si>
    <t xml:space="preserve">                                      - služby, revize, kontroly</t>
  </si>
  <si>
    <t xml:space="preserve">                                      - opravy a údržba</t>
  </si>
  <si>
    <t>0382/3421/6121</t>
  </si>
  <si>
    <t xml:space="preserve"> investice:  Dětské hřiště Skalky - pískoviště</t>
  </si>
  <si>
    <r>
      <t xml:space="preserve">Nebytové hospodářství </t>
    </r>
    <r>
      <rPr>
        <sz val="9"/>
        <rFont val="Arial CE"/>
      </rPr>
      <t>(účet 2310800)</t>
    </r>
  </si>
  <si>
    <t>0517/3613/5331</t>
  </si>
  <si>
    <r>
      <t xml:space="preserve">              příspěvek - </t>
    </r>
    <r>
      <rPr>
        <sz val="10"/>
        <rFont val="Arial CE"/>
      </rPr>
      <t>oprava oplocení areálu TSM</t>
    </r>
  </si>
  <si>
    <t xml:space="preserve">              drobný hmotný dlouhodobý majetek</t>
  </si>
  <si>
    <t xml:space="preserve">              nákup materiálu j.n.</t>
  </si>
  <si>
    <t xml:space="preserve">              voda (fontány, MN)</t>
  </si>
  <si>
    <t xml:space="preserve">              elektrická energie (MN sloupky, fontány, letní kino)</t>
  </si>
  <si>
    <t xml:space="preserve">              služby, revize, prohlídky</t>
  </si>
  <si>
    <t xml:space="preserve">              opravy a údržba (z toho 200 - oplocení Hückelovy vily, 60 nátěry v MPR)</t>
  </si>
  <si>
    <t>5477/3613/6121</t>
  </si>
  <si>
    <t xml:space="preserve"> investice:  Odpočívka pro cyklisty u drážního domku - posedové schodiště</t>
  </si>
  <si>
    <r>
      <t xml:space="preserve">Veřejné osvětlení (VO) </t>
    </r>
    <r>
      <rPr>
        <sz val="9"/>
        <rFont val="Arial CE"/>
      </rPr>
      <t>(účet 2310800)</t>
    </r>
  </si>
  <si>
    <t xml:space="preserve">             VO - příspěvek na údržbu a opravy TSM</t>
  </si>
  <si>
    <t xml:space="preserve">             služby, revize, prohlídky</t>
  </si>
  <si>
    <r>
      <t xml:space="preserve">             výměna osvětlení na náměstí </t>
    </r>
    <r>
      <rPr>
        <sz val="10"/>
        <rFont val="Arial CE"/>
      </rPr>
      <t>(osvětlení boční uličky)</t>
    </r>
  </si>
  <si>
    <t xml:space="preserve">             opravy a údržba</t>
  </si>
  <si>
    <t xml:space="preserve">                    VO Skalky</t>
  </si>
  <si>
    <t>5478/3631/6121</t>
  </si>
  <si>
    <t xml:space="preserve">                    VO Straník PD</t>
  </si>
  <si>
    <t>5479/3631/6121</t>
  </si>
  <si>
    <t xml:space="preserve">                    VO Slezská - u garáží </t>
  </si>
  <si>
    <t>5480/3631/6121</t>
  </si>
  <si>
    <t xml:space="preserve">                    VO K. Schwarze PD</t>
  </si>
  <si>
    <t>5481/3631/6121</t>
  </si>
  <si>
    <t xml:space="preserve">                    VO Zborovská PD</t>
  </si>
  <si>
    <t xml:space="preserve">                    VO K Archivu</t>
  </si>
  <si>
    <r>
      <t xml:space="preserve">Pohřebnictví </t>
    </r>
    <r>
      <rPr>
        <sz val="10"/>
        <rFont val="Arial CE"/>
      </rPr>
      <t xml:space="preserve">(účet 2310800) </t>
    </r>
  </si>
  <si>
    <t xml:space="preserve"> investice - inv. příspěvky TSM</t>
  </si>
  <si>
    <t xml:space="preserve">                    PD ke GO smuteční síně a márnice</t>
  </si>
  <si>
    <t xml:space="preserve">                    PD kolumbárium, obnova stávajícího kolumbária, vsypové loučky a rozptylové loučky</t>
  </si>
  <si>
    <t xml:space="preserve">                    PD chodníky a sítě</t>
  </si>
  <si>
    <t xml:space="preserve">           hřbitovy -  příspěvek na údržbu a opravy TSM</t>
  </si>
  <si>
    <t xml:space="preserve">           hřbitovy -  příspěvek na dokončení opravy hřbitovní zdi</t>
  </si>
  <si>
    <t xml:space="preserve">           opravy a údržba hřbitova</t>
  </si>
  <si>
    <r>
      <t>Výstavba a údržba místních inženýrských sítí (IS)</t>
    </r>
    <r>
      <rPr>
        <sz val="9"/>
        <rFont val="Arial CE"/>
      </rPr>
      <t xml:space="preserve"> (účet 2310800)</t>
    </r>
  </si>
  <si>
    <r>
      <t xml:space="preserve">investice - přísp.ve výši 1/3 skutečných nákladů na dostavbu IS Za Školou 2.etapa </t>
    </r>
    <r>
      <rPr>
        <sz val="9"/>
        <rFont val="Arial CE"/>
      </rPr>
      <t>(s následným převedením všech IS včetně komunikace na město)</t>
    </r>
  </si>
  <si>
    <r>
      <t>Komunální služby a územní rozvoj j.n.</t>
    </r>
    <r>
      <rPr>
        <sz val="9"/>
        <rFont val="Arial CE"/>
      </rPr>
      <t xml:space="preserve"> </t>
    </r>
  </si>
  <si>
    <r>
      <t xml:space="preserve">                    zápočet oplocení p. Perútka </t>
    </r>
    <r>
      <rPr>
        <sz val="9"/>
        <rFont val="Arial CE"/>
      </rPr>
      <t>(účet 2310440)</t>
    </r>
  </si>
  <si>
    <r>
      <t xml:space="preserve">                    přípojky na televizní kabelové rozvody Straník - materiál</t>
    </r>
    <r>
      <rPr>
        <sz val="9"/>
        <rFont val="Arial CE"/>
      </rPr>
      <t xml:space="preserve"> (účet 231 0800)</t>
    </r>
  </si>
  <si>
    <r>
      <t xml:space="preserve">Ostatní záležitosti bydlení, komunálních služeb a územního rozvoje </t>
    </r>
    <r>
      <rPr>
        <sz val="9"/>
        <rFont val="Arial CE"/>
      </rPr>
      <t>(účet 2310800)</t>
    </r>
  </si>
  <si>
    <t>0517/3699/6351</t>
  </si>
  <si>
    <t xml:space="preserve">investice: Dřevěné prodejní stánky </t>
  </si>
  <si>
    <r>
      <t xml:space="preserve"> mobiliář </t>
    </r>
    <r>
      <rPr>
        <sz val="9"/>
        <rFont val="Arial CE"/>
      </rPr>
      <t>(TSM 275)</t>
    </r>
  </si>
  <si>
    <r>
      <t xml:space="preserve">                      Vodovod Bludovice, Záhumenní </t>
    </r>
    <r>
      <rPr>
        <sz val="10"/>
        <rFont val="Arial CE"/>
      </rPr>
      <t>ukončeno 12/2022</t>
    </r>
  </si>
  <si>
    <r>
      <t>2381</t>
    </r>
    <r>
      <rPr>
        <sz val="8"/>
        <rFont val="Arial CE"/>
      </rPr>
      <t>/2310/6121</t>
    </r>
  </si>
  <si>
    <t xml:space="preserve">                      Vodovod Straník PD společně s odkanalizováním</t>
  </si>
  <si>
    <t>5429/2321/6121</t>
  </si>
  <si>
    <t xml:space="preserve">                      Odvodnění cyklo Loučka PD</t>
  </si>
  <si>
    <t>2394/2321/6121</t>
  </si>
  <si>
    <t xml:space="preserve">                      Odkanalizování Bludovice PD</t>
  </si>
  <si>
    <r>
      <t>2395</t>
    </r>
    <r>
      <rPr>
        <sz val="8"/>
        <rFont val="Arial CE"/>
      </rPr>
      <t>/2321/6121</t>
    </r>
  </si>
  <si>
    <t xml:space="preserve">                      Odkanalizování Straník PD společně s vodovodem</t>
  </si>
  <si>
    <t>2396/2321/6121</t>
  </si>
  <si>
    <t xml:space="preserve">                      Odvodnění pozemku -  nad zahr. osadou za kotelnou Dlouhá PD</t>
  </si>
  <si>
    <t xml:space="preserve">                      Jednotná kanalizace Žilina, Příčná PD</t>
  </si>
  <si>
    <t xml:space="preserve">                      Kanalizace Žilina, Okružní  PD</t>
  </si>
  <si>
    <r>
      <t xml:space="preserve">Silnice </t>
    </r>
    <r>
      <rPr>
        <sz val="9"/>
        <rFont val="Arial CE"/>
      </rPr>
      <t>(účet 2310800)</t>
    </r>
  </si>
  <si>
    <r>
      <t xml:space="preserve">                     Rondel Gen.Hlaďo - K Nemocnici (podíl města) </t>
    </r>
    <r>
      <rPr>
        <sz val="10"/>
        <rFont val="Arial CE"/>
      </rPr>
      <t>ukončeno 12/2022</t>
    </r>
  </si>
  <si>
    <r>
      <t xml:space="preserve">                     Most - propustek Straník u č.p. 86 </t>
    </r>
    <r>
      <rPr>
        <sz val="10"/>
        <rFont val="Arial CE"/>
      </rPr>
      <t>ukončeno 12/2022</t>
    </r>
  </si>
  <si>
    <t xml:space="preserve">                     Rekonstrukce mostu Jiráskova - pod gymnáziem PD</t>
  </si>
  <si>
    <t xml:space="preserve">                     Komunikace Žilina, Za Školou </t>
  </si>
  <si>
    <r>
      <t xml:space="preserve">                     Komunikace Žilina, Potoční </t>
    </r>
    <r>
      <rPr>
        <sz val="10"/>
        <rFont val="Arial CE"/>
      </rPr>
      <t>ukončeno 12/2022</t>
    </r>
  </si>
  <si>
    <t>5428/2212/6121</t>
  </si>
  <si>
    <t xml:space="preserve">                     Most Dolní Brána (U Laposu  - Grasmanka) PD</t>
  </si>
  <si>
    <r>
      <t xml:space="preserve">                     Přechody Dukelská, Anenská (podíl města) - </t>
    </r>
    <r>
      <rPr>
        <sz val="10"/>
        <rFont val="Arial CE"/>
      </rPr>
      <t>převod OSM</t>
    </r>
  </si>
  <si>
    <t>5440/2212/6121</t>
  </si>
  <si>
    <t>5442/2212/6121</t>
  </si>
  <si>
    <r>
      <t xml:space="preserve">                     Rekonstrukce komunikace Straník - Kojetín </t>
    </r>
    <r>
      <rPr>
        <sz val="10"/>
        <rFont val="Arial CE"/>
      </rPr>
      <t>ukončeno 12/2022, PD 2.etapa</t>
    </r>
  </si>
  <si>
    <r>
      <t xml:space="preserve">                     Most Revoluční u domu č.p. 105 </t>
    </r>
    <r>
      <rPr>
        <sz val="10"/>
        <rFont val="Arial CE"/>
      </rPr>
      <t>ukončeno 12/2022</t>
    </r>
  </si>
  <si>
    <t xml:space="preserve">                     Most Loučka, V Kútě PD </t>
  </si>
  <si>
    <t xml:space="preserve">                     Stacionární místo pro radar Bludovice</t>
  </si>
  <si>
    <t>2397/2212/6121</t>
  </si>
  <si>
    <t xml:space="preserve">                     Lávka Loučka, Za Potokem 90, před poštou PD</t>
  </si>
  <si>
    <t>2398/2212/6121</t>
  </si>
  <si>
    <t xml:space="preserve">                     Propustek Straník 61 (cesta ke hřbitovu) PD</t>
  </si>
  <si>
    <t>2403/2212/6121</t>
  </si>
  <si>
    <t xml:space="preserve">                    Komunikace U Mlýna - dolní konec (úsek č.p. 122 - Potoční č.p.265) PD</t>
  </si>
  <si>
    <t xml:space="preserve">                     Laudonovo nádvoří </t>
  </si>
  <si>
    <t xml:space="preserve">                     Čerťák 3. etapa (z toho PD 500, realizace dětské hřiště 1 000)</t>
  </si>
  <si>
    <t xml:space="preserve">                     Prodloužení turistické trasy Čerťák PD</t>
  </si>
  <si>
    <r>
      <t xml:space="preserve">                     Parkoviště Žilina p.č. 673/2 (u kostela) - </t>
    </r>
    <r>
      <rPr>
        <sz val="10"/>
        <rFont val="Arial CE"/>
      </rPr>
      <t>převod na OSM</t>
    </r>
  </si>
  <si>
    <r>
      <t xml:space="preserve">                     Chodník, opěrná zeď Revoluční I/57 </t>
    </r>
    <r>
      <rPr>
        <sz val="10"/>
        <rFont val="Arial CE"/>
      </rPr>
      <t>ukončeno 12/2022</t>
    </r>
  </si>
  <si>
    <t xml:space="preserve">                     Chodník Žilina, Pstruží potok - Životice PD</t>
  </si>
  <si>
    <t xml:space="preserve">                     Parkovací stání Dlouhá (Palackého - Budovatelů) </t>
  </si>
  <si>
    <r>
      <t xml:space="preserve">                    Chodník k autobusové zastávce Bocheta  </t>
    </r>
    <r>
      <rPr>
        <sz val="10"/>
        <rFont val="Arial CE"/>
      </rPr>
      <t>ukončeno 12/2022</t>
    </r>
  </si>
  <si>
    <t xml:space="preserve">                    Parkoviště Vančurova, u restaurace Máj - podelná stání PD (KSD 35)</t>
  </si>
  <si>
    <t>5460/2219/6121</t>
  </si>
  <si>
    <t xml:space="preserve">                    Parkoviště Vančurova, nové parkoviště u Policie ČR - u garáží PD (KSD 37)</t>
  </si>
  <si>
    <t xml:space="preserve">                    Chodník u silnice I/57 p.č. 700/1 Bludovice, 2.et. </t>
  </si>
  <si>
    <t>5443/2219/6121</t>
  </si>
  <si>
    <r>
      <t xml:space="preserve">                    Společná stezka pro chodce a cyklisty Rybníčky </t>
    </r>
    <r>
      <rPr>
        <sz val="10"/>
        <rFont val="Arial CE"/>
      </rPr>
      <t>ukončeno 12/2022</t>
    </r>
  </si>
  <si>
    <t>5444/2219/6121</t>
  </si>
  <si>
    <t xml:space="preserve">                    Parkoviště Hoblíkova PD (KSD 6)</t>
  </si>
  <si>
    <t>5445/2219/6121</t>
  </si>
  <si>
    <t xml:space="preserve">                    Parkoviště Budovatelů, bytové domy 5,7,9 (KSD 7)</t>
  </si>
  <si>
    <t>5446/2219/6121</t>
  </si>
  <si>
    <t xml:space="preserve">                    Parkovací stání Dlouhá, bytové domy 42 - 48 (KSD 11)</t>
  </si>
  <si>
    <r>
      <t xml:space="preserve">                    Parkoviště Dlouhá (výměníková stanice - bytový dům 40) - </t>
    </r>
    <r>
      <rPr>
        <sz val="10"/>
        <rFont val="Arial CE"/>
      </rPr>
      <t>převod na OSM (KSD 15)</t>
    </r>
  </si>
  <si>
    <t>5448/2219/6121</t>
  </si>
  <si>
    <t xml:space="preserve">                    Parkoviště Luční p.č. 218/9 (KSD 23)</t>
  </si>
  <si>
    <t>5450/2219/6121</t>
  </si>
  <si>
    <t xml:space="preserve">                    Parkoviště Smetanovy sady, bytové domy 20, 22, 24 (KSD 30)</t>
  </si>
  <si>
    <t>5461/2219/6121</t>
  </si>
  <si>
    <t xml:space="preserve">                    Parkoviště Dlouhá, obytná komunikace, bytové domy 50, 52, PD (KSD 17)</t>
  </si>
  <si>
    <t>5462/2219/6121</t>
  </si>
  <si>
    <t xml:space="preserve">                    Parkoviště Dlouhá, podél komunikace ve svahu, p.č. 608/1 PD (KSD 18)</t>
  </si>
  <si>
    <t>5463/2219/6121</t>
  </si>
  <si>
    <t xml:space="preserve">                    Parkoviště Na Lani p.č. 426/1 (změna z podélného na kolmé) PD (KSD 21)</t>
  </si>
  <si>
    <t>5464/2219/6121</t>
  </si>
  <si>
    <t xml:space="preserve">                    Parkoviště MŠ Loučka, Na Drážkách (KSD 22)</t>
  </si>
  <si>
    <r>
      <t xml:space="preserve">                    Parkoviště MŠ Máj (KSD 36) </t>
    </r>
    <r>
      <rPr>
        <sz val="10"/>
        <rFont val="Arial CE"/>
      </rPr>
      <t>převod na OSM</t>
    </r>
  </si>
  <si>
    <t>2404/2219/6121</t>
  </si>
  <si>
    <t xml:space="preserve">                    Parkoviště Hřbitovní (městský hřbitov) PD</t>
  </si>
  <si>
    <t>2405/2219/6121</t>
  </si>
  <si>
    <t xml:space="preserve">                    Dopravní řešení okolí škol na ul. Dlouhá v NJ PD (KSD 14)</t>
  </si>
  <si>
    <t>2407/2219/6121</t>
  </si>
  <si>
    <t xml:space="preserve">                    Parkoviště Smetanovy sady (před byt.domy  č.p. 8 - 16, 26 - 28) PD (KSD 31)</t>
  </si>
  <si>
    <t>2408/2219/6121</t>
  </si>
  <si>
    <t xml:space="preserve">                    Parkoviště Vančurova (J. Hory, kolmá a podélná stání) PD (KSD 38)</t>
  </si>
  <si>
    <t>5451/2219/6121</t>
  </si>
  <si>
    <t xml:space="preserve">                    Regenerace PS Nerudova I. etapa </t>
  </si>
  <si>
    <t>5451/2219/6121/ÚZ 92501</t>
  </si>
  <si>
    <r>
      <t xml:space="preserve">                    Regenerace PS Nerudova I. etapa </t>
    </r>
    <r>
      <rPr>
        <sz val="10"/>
        <rFont val="Arial CE"/>
      </rPr>
      <t>dotace ÚZ 92501</t>
    </r>
  </si>
  <si>
    <t>5466/2219/6121</t>
  </si>
  <si>
    <t xml:space="preserve">                    Regenerace PS Nerudova II. etapa - přeložky</t>
  </si>
  <si>
    <t>5467/2219/6121</t>
  </si>
  <si>
    <t xml:space="preserve">                    Regenerace PS Nerudova, etážové stání  PD</t>
  </si>
  <si>
    <t>5483/2219/6121</t>
  </si>
  <si>
    <t xml:space="preserve">                    Regenerace PS Nerudova III. etapa PD</t>
  </si>
  <si>
    <t>2409/2219/6121</t>
  </si>
  <si>
    <t xml:space="preserve">                    Regenerace PS Nerudova IV. etapa PD</t>
  </si>
  <si>
    <t>5468/2219/6121</t>
  </si>
  <si>
    <t xml:space="preserve">                    Revitalizace veřejného prostranství Horního nádraží PD</t>
  </si>
  <si>
    <t>5468/2219/6121/ÚZ 612</t>
  </si>
  <si>
    <r>
      <t xml:space="preserve">                    Revitalizace veřejného prostranství Horního nádraží PD </t>
    </r>
    <r>
      <rPr>
        <sz val="10"/>
        <rFont val="Arial CE"/>
      </rPr>
      <t>dotace ÚZ 612</t>
    </r>
  </si>
  <si>
    <t>5469/2219/6121</t>
  </si>
  <si>
    <t xml:space="preserve">                    Cyklostezka B. Martinů PD</t>
  </si>
  <si>
    <t>5469/2219/6121/ÚZ 711</t>
  </si>
  <si>
    <r>
      <t xml:space="preserve">                    Cyklostezka B. Martinů PD </t>
    </r>
    <r>
      <rPr>
        <sz val="10"/>
        <rFont val="Arial CE"/>
      </rPr>
      <t>dotace ÚZ 711</t>
    </r>
  </si>
  <si>
    <t>5470/2219/6121</t>
  </si>
  <si>
    <t xml:space="preserve">                    Parkoviště, cyklostezka ve sportovním areálu, Divadelní </t>
  </si>
  <si>
    <t>5471/2219/6121</t>
  </si>
  <si>
    <t xml:space="preserve">                    Cyklostezka Loučka, Za Korunou PD</t>
  </si>
  <si>
    <t>5452/2219/6121</t>
  </si>
  <si>
    <t xml:space="preserve">                    Zpevněné plochy, mobiliář Tyršova PD 2.etapa</t>
  </si>
  <si>
    <t>5458/2219/6121</t>
  </si>
  <si>
    <t xml:space="preserve">                    Zpevněná plocha podél komunikace I/57, Revoluční PD</t>
  </si>
  <si>
    <r>
      <t xml:space="preserve">                    Kontejnerová stání  - </t>
    </r>
    <r>
      <rPr>
        <sz val="10"/>
        <rFont val="Arial CE"/>
      </rPr>
      <t>převod na OSM</t>
    </r>
  </si>
  <si>
    <r>
      <t xml:space="preserve">                    Autobusová zastávka Žilina, U Partyzána </t>
    </r>
    <r>
      <rPr>
        <sz val="10"/>
        <rFont val="Arial CE"/>
      </rPr>
      <t>ukončeno 9/2022</t>
    </r>
  </si>
  <si>
    <t>5455/2221/6121</t>
  </si>
  <si>
    <t xml:space="preserve">                    Autobusová zastávka Straník p.č. 191/45 PD</t>
  </si>
  <si>
    <t>5472/2221/6121</t>
  </si>
  <si>
    <t xml:space="preserve">                    Autobusová zastávka Riegrova</t>
  </si>
  <si>
    <t xml:space="preserve">614 - Školství - Akce OŠKS </t>
  </si>
  <si>
    <r>
      <t xml:space="preserve">Předškolní zařízení </t>
    </r>
    <r>
      <rPr>
        <sz val="9"/>
        <rFont val="Arial CE"/>
      </rPr>
      <t>(účet 2310800)</t>
    </r>
  </si>
  <si>
    <t>0305/3111/6121</t>
  </si>
  <si>
    <r>
      <t xml:space="preserve">                   MŠ Jiráskova - rekonstrukce kuchyně a vzduchotechnika - </t>
    </r>
    <r>
      <rPr>
        <sz val="10"/>
        <rFont val="Arial CE"/>
      </rPr>
      <t>ukončeno 9/2022</t>
    </r>
  </si>
  <si>
    <t>1403/3111/6121</t>
  </si>
  <si>
    <t xml:space="preserve">                   MŠ Jiráskova - revitalizace zahrady </t>
  </si>
  <si>
    <t>1400/3111/6121</t>
  </si>
  <si>
    <t xml:space="preserve">                   MŠ Komenského - elektro </t>
  </si>
  <si>
    <t>1401/3111/6121</t>
  </si>
  <si>
    <t xml:space="preserve">                   MŠ Máchova - energetické úspory PD</t>
  </si>
  <si>
    <t>1407/3111/6121</t>
  </si>
  <si>
    <t xml:space="preserve">                   ZŠ Jubilejní - rekonstrukce školní kuchyně PD</t>
  </si>
  <si>
    <t>1408/3111/5171</t>
  </si>
  <si>
    <t xml:space="preserve">                   ZŠ Komenského 66 - výměna ležatých rozvodů vody a výměna podhledů</t>
  </si>
  <si>
    <t>1409/3111/5171</t>
  </si>
  <si>
    <t xml:space="preserve">                   ZŠ Komenského 68 - oprava a nátěr střechy</t>
  </si>
  <si>
    <t>1410/3111/6125</t>
  </si>
  <si>
    <t xml:space="preserve">                   ZŠ Tyršova - pořízení serveru, havarijní stav</t>
  </si>
  <si>
    <t>1411/3111/6121</t>
  </si>
  <si>
    <t xml:space="preserve">                   ZŠ Dlouhá - rekonstrukce školní kuchyně</t>
  </si>
  <si>
    <r>
      <t xml:space="preserve">Komunální služby - nebytové prostory  - oddělení investic </t>
    </r>
    <r>
      <rPr>
        <sz val="9"/>
        <rFont val="Arial CE"/>
      </rPr>
      <t>(účet 2310800)</t>
    </r>
  </si>
  <si>
    <t xml:space="preserve">                    Studie - oddělení investic (bazén, fojtství Bludovice, Jungamnnova 1, objekt 5. května, nový objekt ProSenior, parkoviště, etáž.stání Loučka ...)</t>
  </si>
  <si>
    <r>
      <t>Komunální služby a rozvoj - plány, propagace, marketing, Zdravé město</t>
    </r>
    <r>
      <rPr>
        <sz val="9"/>
        <rFont val="Arial CE"/>
      </rPr>
      <t xml:space="preserve"> (účet 2310800)</t>
    </r>
  </si>
  <si>
    <t xml:space="preserve">                    Dohody (odměny) - architektonická soutěž Hala Jičínka</t>
  </si>
  <si>
    <r>
      <t xml:space="preserve">                    Ostatní materiál </t>
    </r>
    <r>
      <rPr>
        <sz val="8"/>
        <rFont val="Arial CE"/>
      </rPr>
      <t>(</t>
    </r>
    <r>
      <rPr>
        <sz val="10"/>
        <rFont val="Arial CE"/>
      </rPr>
      <t>Hala Jičínka - propag. mater. skicovné  200+výstava 30, Zdravé město 40)</t>
    </r>
  </si>
  <si>
    <t xml:space="preserve">                    Konzultační služby (městský architekt)</t>
  </si>
  <si>
    <t xml:space="preserve">                    Rozvojové plány a studie 2030; arch.soutěž Hala Jičínka-ocenění soutěžících 1550; administrace projektu 772; Zdravé město 60; participativní rozpočet 400+200 z roku 2022 Psí hřiště+100 z roku 2021 Houpačka</t>
  </si>
  <si>
    <t>616 - Kultura - Akce OŠKS</t>
  </si>
  <si>
    <r>
      <t xml:space="preserve">Divadelní činnost </t>
    </r>
    <r>
      <rPr>
        <sz val="9"/>
        <rFont val="Arial CE"/>
      </rPr>
      <t>(účet 2310800)</t>
    </r>
  </si>
  <si>
    <t>0504/3311/5171</t>
  </si>
  <si>
    <t xml:space="preserve">                   Beskydské divadlo - oprava vzduchotechniky</t>
  </si>
  <si>
    <r>
      <t xml:space="preserve">Zájmová činnost v kultuře </t>
    </r>
    <r>
      <rPr>
        <sz val="9"/>
        <rFont val="Arial CE"/>
      </rPr>
      <t>(účet 2310800)</t>
    </r>
  </si>
  <si>
    <t>0501/3392/6121</t>
  </si>
  <si>
    <t xml:space="preserve">                   Kino Květen - rekonstrukce PD</t>
  </si>
  <si>
    <t>1601/3392/6121</t>
  </si>
  <si>
    <t xml:space="preserve">                    Městská knihovna - rekonstrukce knihovního domku PD</t>
  </si>
  <si>
    <t>1600/3392/5171</t>
  </si>
  <si>
    <r>
      <t xml:space="preserve">                   Sanace městské knihovny 2.etapa </t>
    </r>
    <r>
      <rPr>
        <sz val="10"/>
        <rFont val="Arial CE"/>
      </rPr>
      <t>ukončeno 12/2022</t>
    </r>
  </si>
  <si>
    <t>619 - Akce OO</t>
  </si>
  <si>
    <r>
      <t xml:space="preserve">Činnost místní správy </t>
    </r>
    <r>
      <rPr>
        <sz val="9"/>
        <rFont val="Arial CE"/>
      </rPr>
      <t>(účet 2310800)</t>
    </r>
  </si>
  <si>
    <t>1900/6171/5171</t>
  </si>
  <si>
    <t xml:space="preserve">                   Výměna oken Úzká (strana od hotelu Praha)</t>
  </si>
  <si>
    <t>1901/6171/5171</t>
  </si>
  <si>
    <t xml:space="preserve">                   Oprava soc.zařízení I. a II. patro radnice Úzká</t>
  </si>
  <si>
    <t>1902/6171/5171</t>
  </si>
  <si>
    <t xml:space="preserve">                    Soc.zařízení, kuchyňka, úklid.místnost Divadelní 8</t>
  </si>
  <si>
    <t>1903/6171/6121</t>
  </si>
  <si>
    <t xml:space="preserve">                    Vstup do budovy Divadelní 1 (vestibul a kantýna) PD</t>
  </si>
  <si>
    <t>1904/6171/6121</t>
  </si>
  <si>
    <t xml:space="preserve">                    Revitalizace prostoru radnice - boční vchod a dvůr  PD</t>
  </si>
  <si>
    <t>635 - Akce OŽP</t>
  </si>
  <si>
    <r>
      <t xml:space="preserve">Péče o vzhled obcí a veřejnou zeleň </t>
    </r>
    <r>
      <rPr>
        <sz val="10"/>
        <rFont val="Arial CE"/>
      </rPr>
      <t xml:space="preserve">(účet 2310800) </t>
    </r>
  </si>
  <si>
    <t>0517/3745/6121</t>
  </si>
  <si>
    <t xml:space="preserve">                   Skladovací boxy Kompostárna TSNJ PD</t>
  </si>
  <si>
    <t>3535/3745/5169</t>
  </si>
  <si>
    <t xml:space="preserve">                   Stromy na Masarykově náměstí</t>
  </si>
  <si>
    <t xml:space="preserve">637 - Akce OB </t>
  </si>
  <si>
    <t>Sportovní zařízení v majetku obce (účet 2310800)</t>
  </si>
  <si>
    <t>3704/3412/6121</t>
  </si>
  <si>
    <t xml:space="preserve">                   Venkovní bazén PD</t>
  </si>
  <si>
    <t>3705/3412/6121</t>
  </si>
  <si>
    <t xml:space="preserve">                   Vnitřní bazén PD</t>
  </si>
  <si>
    <t>3706/3412/6121</t>
  </si>
  <si>
    <t xml:space="preserve">                   Areál krytého bazénu - ústřední topení PD</t>
  </si>
  <si>
    <r>
      <t xml:space="preserve">Bytové hospodářství </t>
    </r>
    <r>
      <rPr>
        <sz val="9"/>
        <rFont val="Arial CE"/>
      </rPr>
      <t>(účet 2310800)</t>
    </r>
  </si>
  <si>
    <t>0551/3612/6121</t>
  </si>
  <si>
    <r>
      <t xml:space="preserve">                   Revitalizace BD Jičínská 272 </t>
    </r>
    <r>
      <rPr>
        <sz val="10"/>
        <rFont val="Arial CE"/>
      </rPr>
      <t>ukončeno 12/2022</t>
    </r>
  </si>
  <si>
    <t>0552/3612/6121</t>
  </si>
  <si>
    <r>
      <t xml:space="preserve">                   Revitalizace BD Jičínská 275 </t>
    </r>
    <r>
      <rPr>
        <sz val="10"/>
        <rFont val="Arial CE"/>
      </rPr>
      <t>ukončeno 12/2022</t>
    </r>
  </si>
  <si>
    <t>0556/3612/6121</t>
  </si>
  <si>
    <r>
      <t xml:space="preserve">                   Ubytovací kapacita Nádražní - program Ukrajina (účet 2310437) </t>
    </r>
    <r>
      <rPr>
        <sz val="10"/>
        <rFont val="Arial CE"/>
      </rPr>
      <t>ukončeno 12/2022</t>
    </r>
  </si>
  <si>
    <t>0518/3612/6121</t>
  </si>
  <si>
    <t xml:space="preserve">                   Revitalizace BD Trlicova PD</t>
  </si>
  <si>
    <t>0558/3612/6121</t>
  </si>
  <si>
    <t xml:space="preserve">                   Revitalizace BD Hřbitovní PD</t>
  </si>
  <si>
    <t>3707/3612/6121</t>
  </si>
  <si>
    <t xml:space="preserve">                   Přestavba bytového podniku na byty Jungmannova 26/2, Masarykovo nám.26/15 PD</t>
  </si>
  <si>
    <t>0553/3613/6121</t>
  </si>
  <si>
    <r>
      <t xml:space="preserve">                   Spolkový dům Žilina - </t>
    </r>
    <r>
      <rPr>
        <sz val="10"/>
        <rFont val="Arial CE"/>
      </rPr>
      <t>ukončeno 9/2022</t>
    </r>
  </si>
  <si>
    <t>0556/3613/6121</t>
  </si>
  <si>
    <r>
      <t xml:space="preserve">                   Ubytovací kapacita Nádražní - program Ukrajina (nebytové prostory) (účet 2310437) </t>
    </r>
    <r>
      <rPr>
        <sz val="10"/>
        <rFont val="Arial CE"/>
      </rPr>
      <t>12/2022</t>
    </r>
  </si>
  <si>
    <t>0557/3613/6121</t>
  </si>
  <si>
    <t xml:space="preserve">                   Odvodnění Hückelových vil - průzkum HG, PD</t>
  </si>
  <si>
    <t>3708/3613/6121</t>
  </si>
  <si>
    <t xml:space="preserve">                   ProSenior Nový Jičín - Domeček PD</t>
  </si>
  <si>
    <t>3709/3613/6121</t>
  </si>
  <si>
    <t xml:space="preserve">                   Revitalizace objektu Suvorovova 152 PD</t>
  </si>
  <si>
    <t>3710/3613/6121</t>
  </si>
  <si>
    <t xml:space="preserve">                   Přístavba hotelu Praha PD</t>
  </si>
  <si>
    <t>3711/3613/6121</t>
  </si>
  <si>
    <t xml:space="preserve">                   Zázemí pro pracovníky TSNJ - VPP Hoblíkova PD</t>
  </si>
  <si>
    <t>3712/3613/6121</t>
  </si>
  <si>
    <t xml:space="preserve">                   Azylový dům Straník - rekonstrukce vnitřních prostor PD</t>
  </si>
  <si>
    <t>3713/3613/6121</t>
  </si>
  <si>
    <t xml:space="preserve">                   Výtahy - Jičínská 275 (2 ks) a Revoluční 36</t>
  </si>
  <si>
    <r>
      <t xml:space="preserve">Lokální zásobování teplem (tepelné hospodářství) </t>
    </r>
    <r>
      <rPr>
        <sz val="9"/>
        <rFont val="Arial CE"/>
      </rPr>
      <t>(účet 2310800)</t>
    </r>
  </si>
  <si>
    <t>0555/3634/6122</t>
  </si>
  <si>
    <r>
      <t xml:space="preserve">                   BD Dlouhá 45 - připojení k teplovodu </t>
    </r>
    <r>
      <rPr>
        <sz val="10"/>
        <rFont val="Arial CE"/>
      </rPr>
      <t>ukončeno 12/2022</t>
    </r>
  </si>
  <si>
    <t>1516/3634/6122</t>
  </si>
  <si>
    <r>
      <t xml:space="preserve">                   Modernizace kotelny Mendelova </t>
    </r>
    <r>
      <rPr>
        <sz val="10"/>
        <rFont val="Arial CE"/>
      </rPr>
      <t>ukončeno 12/2022</t>
    </r>
  </si>
  <si>
    <t>2516/3634/6122</t>
  </si>
  <si>
    <r>
      <t xml:space="preserve">                   Modernizace kotelny Luční 2</t>
    </r>
    <r>
      <rPr>
        <sz val="10"/>
        <rFont val="Arial CE"/>
      </rPr>
      <t xml:space="preserve"> ukončeno 12/2022</t>
    </r>
  </si>
  <si>
    <t>3516/3634/6122</t>
  </si>
  <si>
    <r>
      <t xml:space="preserve">                   Modernizace kotelny Luční 3 </t>
    </r>
    <r>
      <rPr>
        <sz val="10"/>
        <rFont val="Arial CE"/>
      </rPr>
      <t>ukončeno 12/2022</t>
    </r>
  </si>
  <si>
    <t>4516/3634/6122</t>
  </si>
  <si>
    <r>
      <t xml:space="preserve">                   Modernizace kotelny Luční 4 </t>
    </r>
    <r>
      <rPr>
        <sz val="10"/>
        <rFont val="Arial CE"/>
      </rPr>
      <t>ukončeno 12/2022</t>
    </r>
  </si>
  <si>
    <t>0588/3634/6122</t>
  </si>
  <si>
    <t xml:space="preserve">                   Výměna kotlů a spalinové cesty kotelny hotelu Praha </t>
  </si>
  <si>
    <t>3714/3634/6122</t>
  </si>
  <si>
    <t xml:space="preserve">                   Výstavba fotovoltaické elektrárny v objektu TSNJ PD+realizace</t>
  </si>
  <si>
    <t>3715/3634/6122</t>
  </si>
  <si>
    <t xml:space="preserve">                    Modernizace kotelny Divadelní 8 PD</t>
  </si>
  <si>
    <t>3716/3634/6122</t>
  </si>
  <si>
    <t xml:space="preserve">                    Modernizace kotelny Masarykovo nám. 1</t>
  </si>
  <si>
    <t>3717/3634/6122</t>
  </si>
  <si>
    <t xml:space="preserve">                    Modernizace kotelny Pod Lipami 19</t>
  </si>
  <si>
    <t>3718/3634/6122</t>
  </si>
  <si>
    <t xml:space="preserve">                    Modernizace kotelny Revoluční 1525/6</t>
  </si>
  <si>
    <t>3719/3634/6122</t>
  </si>
  <si>
    <t xml:space="preserve">                    Výměna teplovodního potrubí Loučka 6 - 1. etapa</t>
  </si>
  <si>
    <t>0559/3634/6122</t>
  </si>
  <si>
    <t xml:space="preserve">                    Objektové předávací stanice Pod Lipami 1,3,5-7,9,11-13,15,17</t>
  </si>
  <si>
    <t>3720/3634/6122</t>
  </si>
  <si>
    <t xml:space="preserve">                    Nerudova 14,16,18 - teplovod PD</t>
  </si>
  <si>
    <r>
      <t xml:space="preserve">Sportovní zařízení v majetku obce </t>
    </r>
    <r>
      <rPr>
        <sz val="9"/>
        <rFont val="Arial CE"/>
      </rPr>
      <t>(účet 2310800)</t>
    </r>
  </si>
  <si>
    <t>5456/3412/6121</t>
  </si>
  <si>
    <t xml:space="preserve">                   Skatepark u stadionu, sportovní areál</t>
  </si>
  <si>
    <t>5474/3412/6121</t>
  </si>
  <si>
    <t xml:space="preserve">                   Provozní objekt (šatny) pro sportovní areál PD</t>
  </si>
  <si>
    <t>5475/3412/6121</t>
  </si>
  <si>
    <t xml:space="preserve">                   Multifunkční hřiště ve sportovním areálu PD</t>
  </si>
  <si>
    <t>5476/3412/6121</t>
  </si>
  <si>
    <t xml:space="preserve">                    Revitalizace Horního nádraží - pumptrack PD</t>
  </si>
  <si>
    <t>5457/3412/6121</t>
  </si>
  <si>
    <t xml:space="preserve">                   Tenisová hala B. Martinů studie</t>
  </si>
  <si>
    <r>
      <t xml:space="preserve">                   Úprava Smetanových sadů PD</t>
    </r>
    <r>
      <rPr>
        <sz val="10"/>
        <rFont val="Arial CE"/>
      </rPr>
      <t xml:space="preserve"> </t>
    </r>
  </si>
  <si>
    <r>
      <t xml:space="preserve">                   Odpočívka pro cyklisty u drážního domku - posedové schodiště - </t>
    </r>
    <r>
      <rPr>
        <sz val="10"/>
        <rFont val="Arial CE"/>
      </rPr>
      <t>převod na OSM</t>
    </r>
  </si>
  <si>
    <r>
      <t xml:space="preserve">                   VO Straník u hřbitova PD - </t>
    </r>
    <r>
      <rPr>
        <sz val="10"/>
        <rFont val="Arial CE"/>
      </rPr>
      <t>převod na OSM</t>
    </r>
  </si>
  <si>
    <t xml:space="preserve">                   VO - EFEKT 2023</t>
  </si>
  <si>
    <r>
      <t xml:space="preserve">                   VO Slezská u garáží</t>
    </r>
    <r>
      <rPr>
        <sz val="10"/>
        <rFont val="Arial CE"/>
      </rPr>
      <t xml:space="preserve"> převod na OSM</t>
    </r>
  </si>
  <si>
    <r>
      <t xml:space="preserve">                   VO K. Schwarze PD - </t>
    </r>
    <r>
      <rPr>
        <sz val="10"/>
        <rFont val="Arial CE"/>
      </rPr>
      <t>převod na OSM</t>
    </r>
  </si>
  <si>
    <r>
      <t xml:space="preserve">                   VO Zborovská PD - </t>
    </r>
    <r>
      <rPr>
        <sz val="10"/>
        <rFont val="Arial CE"/>
      </rPr>
      <t>přesun na OSM</t>
    </r>
  </si>
  <si>
    <r>
      <t xml:space="preserve">                   VO Skalky - </t>
    </r>
    <r>
      <rPr>
        <sz val="10"/>
        <rFont val="Arial CE"/>
      </rPr>
      <t>převod na OSM</t>
    </r>
  </si>
  <si>
    <t xml:space="preserve">                   VO Štefanikova ČS</t>
  </si>
  <si>
    <t xml:space="preserve">                   VO K Archivu </t>
  </si>
  <si>
    <t>0517/3632/6121</t>
  </si>
  <si>
    <t xml:space="preserve">                   Kolumbárium, vsypová a rozptylová loučka PD (TSM)</t>
  </si>
  <si>
    <t xml:space="preserve">                   Chodníky, sítě PD (TSM)</t>
  </si>
  <si>
    <t>3632/3632/6121</t>
  </si>
  <si>
    <t xml:space="preserve">                   Rekonstrukce smuteční síně a technického zázemí (TSM)</t>
  </si>
  <si>
    <r>
      <t xml:space="preserve">                   IS Za Školou 3.etapa </t>
    </r>
    <r>
      <rPr>
        <sz val="10"/>
        <rFont val="Arial CE"/>
      </rPr>
      <t>ukončeno 10/2022</t>
    </r>
  </si>
  <si>
    <t>641 - Oddělení rozvoje - kotlíkové dotace</t>
  </si>
  <si>
    <r>
      <t xml:space="preserve">                    Kotlíkové dotace MSK </t>
    </r>
    <r>
      <rPr>
        <sz val="10"/>
        <rFont val="Arial CE"/>
      </rPr>
      <t>účet 231 0417</t>
    </r>
  </si>
  <si>
    <r>
      <t>009/</t>
    </r>
    <r>
      <rPr>
        <b/>
        <sz val="10"/>
        <rFont val="Arial CE"/>
      </rPr>
      <t>2141</t>
    </r>
    <r>
      <rPr>
        <sz val="9"/>
        <rFont val="Arial CE"/>
      </rPr>
      <t>/5169</t>
    </r>
  </si>
  <si>
    <r>
      <t xml:space="preserve">Vnitřní obchod </t>
    </r>
    <r>
      <rPr>
        <sz val="9"/>
        <rFont val="Arial CE"/>
      </rPr>
      <t>(ostatní služby15)</t>
    </r>
  </si>
  <si>
    <r>
      <t xml:space="preserve">Vnitřní obchod  </t>
    </r>
    <r>
      <rPr>
        <b/>
        <sz val="9"/>
        <rFont val="Arial CE"/>
      </rPr>
      <t xml:space="preserve">- </t>
    </r>
    <r>
      <rPr>
        <sz val="9"/>
        <rFont val="Arial CE"/>
      </rPr>
      <t>opravy a údržba 12,5, materiál 41,8, služby 45,5, příspěvek TSM celkem (jarmarky, vánoční strom, výzdoba,…) 427, investiční transfery zříz. přísp. org. - 145, pohoštění 5,5, DHM 148,5.</t>
    </r>
  </si>
  <si>
    <r>
      <t>Cestovní ruch</t>
    </r>
    <r>
      <rPr>
        <b/>
        <sz val="9"/>
        <rFont val="Arial CE"/>
      </rPr>
      <t xml:space="preserve"> </t>
    </r>
    <r>
      <rPr>
        <sz val="9"/>
        <rFont val="Arial CE"/>
      </rPr>
      <t xml:space="preserve"> (platy 3950, dohody 550, soc.poj. 1116, zdrav. poj. 405, náhrada mezd za nemoc 33, platby daní a popl. Stát. rozp. 6,5, knihy, tisk 7,5, drobný hmotný maj. 1100, materiál (kalendáře, upom. Př., tiskoviny,…) 771, materiál DPH 300, poštovné 1, poštovné DPH 7,5, telefony 10, pronájem 430, služby zprac. dat. 115,5, nákup služeb (prop. inz., služby) 1920, nákup služeb DPH (služby spojené s kelímky NICKNACK) 131.972, opravy a údržba 88, cestovné 11, pohoštění 100, ost.nák.j.n. 50, neinvest. transféry 140, neinvest. přísp. Pivobraní 242. </t>
    </r>
  </si>
  <si>
    <r>
      <t>Ost.záležitosti kultury, církví a sdělovacích prostředků</t>
    </r>
    <r>
      <rPr>
        <sz val="10"/>
        <rFont val="Arial CE"/>
      </rPr>
      <t xml:space="preserve">  </t>
    </r>
    <r>
      <rPr>
        <sz val="9"/>
        <rFont val="Arial CE"/>
      </rPr>
      <t>(platby za autorská práva-OSA, Integram, ozvučení náměstí)</t>
    </r>
  </si>
  <si>
    <r>
      <t>Mezinárodní spolupráce</t>
    </r>
    <r>
      <rPr>
        <sz val="9"/>
        <rFont val="Arial CE"/>
      </rPr>
      <t xml:space="preserve"> - materiál 99, materiál DPH 11, PHM 5,5, nájemné 33, služby 346,5, cestovné 77, pohoštění 121, dohody 5,5, poštovné 5,5, ostatní nákupy 5,5,, věcné dary 5,5.</t>
    </r>
  </si>
  <si>
    <r>
      <t xml:space="preserve">Bezpečnost silničního provozu-BESIP </t>
    </r>
    <r>
      <rPr>
        <sz val="9"/>
        <rFont val="Arial CE"/>
      </rPr>
      <t>(DHM 6, materiál 3, nájemné 42, služby 10, opravy a udržování 7, pohoštění 2, věcné dary 6)</t>
    </r>
  </si>
  <si>
    <r>
      <t>Dopravní obslužnost</t>
    </r>
    <r>
      <rPr>
        <sz val="10"/>
        <rFont val="Arial CE"/>
      </rPr>
      <t xml:space="preserve"> - veřejná doprava</t>
    </r>
  </si>
  <si>
    <r>
      <t xml:space="preserve">             příspěvek na MHD</t>
    </r>
    <r>
      <rPr>
        <sz val="9"/>
        <rFont val="Arial CE"/>
      </rPr>
      <t xml:space="preserve"> (ARRIVA) - dle smlouvy </t>
    </r>
  </si>
  <si>
    <r>
      <t xml:space="preserve">             kompenzace ztráty dopravci za rozšíření tarifu "město", dokr</t>
    </r>
    <r>
      <rPr>
        <sz val="10"/>
        <rFont val="Arial CE"/>
      </rPr>
      <t>ytí ztráty za provozování cyklobusu</t>
    </r>
  </si>
  <si>
    <t xml:space="preserve">             dokrytí ztráty za provozovaní autobusového spojení Hranice na Moravě </t>
  </si>
  <si>
    <t xml:space="preserve">             KODIS – revize MHD</t>
  </si>
  <si>
    <r>
      <t xml:space="preserve">Bezpečnost silničního provozu - </t>
    </r>
    <r>
      <rPr>
        <sz val="10"/>
        <rFont val="Arial CE"/>
      </rPr>
      <t>znalecké posudky při řešení dopravních deliktů+tlumočení</t>
    </r>
  </si>
  <si>
    <r>
      <t xml:space="preserve">Činnost místní správy - </t>
    </r>
    <r>
      <rPr>
        <sz val="10"/>
        <rFont val="Arial CE"/>
      </rPr>
      <t>ostatní platy (refundace vč.pojist.), konzult.a porad.služby, náhrady svědkům</t>
    </r>
  </si>
  <si>
    <r>
      <t xml:space="preserve">Volby do zastupitelstev územních samosprávných celků </t>
    </r>
    <r>
      <rPr>
        <sz val="10"/>
        <rFont val="Arial CE"/>
      </rPr>
      <t>(obcí)</t>
    </r>
  </si>
  <si>
    <t>Volba prezidenta republiky</t>
  </si>
  <si>
    <t xml:space="preserve">                                                na údržbu MŠ </t>
  </si>
  <si>
    <t xml:space="preserve">                                                na investice</t>
  </si>
  <si>
    <r>
      <t xml:space="preserve">             v tom:  </t>
    </r>
    <r>
      <rPr>
        <b/>
        <i/>
        <sz val="10"/>
        <rFont val="Arial CE"/>
      </rPr>
      <t>MŠ Sady</t>
    </r>
    <r>
      <rPr>
        <sz val="10"/>
        <rFont val="Arial CE"/>
      </rPr>
      <t xml:space="preserve"> (org. 305)</t>
    </r>
  </si>
  <si>
    <t xml:space="preserve">                               - příspěvek na provoz, včetně energií 1 200, včetně odpisů z nemovitého majetku </t>
  </si>
  <si>
    <r>
      <t xml:space="preserve">                               - příspěvek na údržbu </t>
    </r>
    <r>
      <rPr>
        <sz val="9"/>
        <rFont val="Arial CE"/>
      </rPr>
      <t>(malování a nátěry 68, výměna podlahových krytin 281, oprava terasy MŠ Revoluční 360, oprava herních prvků na zahradách 345, oprava nákladního výtahu MŠ Jiráskova 392) po zapojení FI a FR 200 tis. Kč</t>
    </r>
  </si>
  <si>
    <t xml:space="preserve">                               - příspěvek na investice</t>
  </si>
  <si>
    <r>
      <t xml:space="preserve">                          MŠ Máj</t>
    </r>
    <r>
      <rPr>
        <sz val="10"/>
        <rFont val="Arial CE"/>
      </rPr>
      <t xml:space="preserve"> (org. 307)</t>
    </r>
  </si>
  <si>
    <t xml:space="preserve">                               - příspěvek na provoz, včetně energií 1 700, včetně odpisů z nemovitého majetku </t>
  </si>
  <si>
    <r>
      <t xml:space="preserve">                               - příspěvek na údržbu </t>
    </r>
    <r>
      <rPr>
        <sz val="9"/>
        <rFont val="Arial CE"/>
      </rPr>
      <t xml:space="preserve">(malování a nátěry 81, výměna podlahových krytin 63, oprava čidel zabezpečovacího zařízení 40, oprava plotu MŠ Jubilejní 110) po zapojení FR a FI 294 tis. Kč </t>
    </r>
  </si>
  <si>
    <r>
      <t xml:space="preserve">                               - příspěvek na investice</t>
    </r>
    <r>
      <rPr>
        <sz val="9"/>
        <rFont val="Arial CE"/>
      </rPr>
      <t xml:space="preserve"> (kabelové internetové zasíťování objektů KČ a Vančurova 277)</t>
    </r>
  </si>
  <si>
    <r>
      <t xml:space="preserve">                          </t>
    </r>
    <r>
      <rPr>
        <b/>
        <i/>
        <sz val="10"/>
        <rFont val="Arial CE"/>
      </rPr>
      <t>MŠ Trojlístek</t>
    </r>
    <r>
      <rPr>
        <sz val="10"/>
        <rFont val="Arial CE"/>
      </rPr>
      <t xml:space="preserve"> (org. 309)</t>
    </r>
  </si>
  <si>
    <t xml:space="preserve">                               - příspěvek na provoz, včetně energií 1 300, včetně odpisů z nemovitého majetku </t>
  </si>
  <si>
    <r>
      <t xml:space="preserve">                               - příspěvek na údržbu </t>
    </r>
    <r>
      <rPr>
        <sz val="9"/>
        <rFont val="Arial CE"/>
      </rPr>
      <t xml:space="preserve">(oprava kuchyněk a parapetů MŠ Máchova  350, výměna podlahových krytin 200, malování a nátěry 150, oprava pergoly MŠ Beskydská 100) po zapojení FR a FI 45 tis.Kč </t>
    </r>
  </si>
  <si>
    <r>
      <t xml:space="preserve">                               - příspěvek na investice </t>
    </r>
    <r>
      <rPr>
        <sz val="9"/>
        <rFont val="Arial CE"/>
      </rPr>
      <t xml:space="preserve">(kamerový a zabezpečovací systém na MŠ Komenského 250, spoluúčast na projektu OPŽP 70, myčka 55) po </t>
    </r>
    <r>
      <rPr>
        <sz val="10"/>
        <rFont val="Arial CE"/>
      </rPr>
      <t xml:space="preserve">zapojení FI 55 tis. Kč </t>
    </r>
  </si>
  <si>
    <r>
      <t xml:space="preserve">              v tom:  </t>
    </r>
    <r>
      <rPr>
        <b/>
        <i/>
        <sz val="10"/>
        <rFont val="Arial CE"/>
      </rPr>
      <t xml:space="preserve">ZŠ Jubilejní </t>
    </r>
    <r>
      <rPr>
        <sz val="10"/>
        <rFont val="Arial CE"/>
      </rPr>
      <t xml:space="preserve">celkem (org. 321) </t>
    </r>
  </si>
  <si>
    <t xml:space="preserve">                              - příspěvek na provoz, včetně energií 5 500, včetně odpisů z nemovitého majetku </t>
  </si>
  <si>
    <r>
      <t xml:space="preserve">                              - přísp.na údržbu</t>
    </r>
    <r>
      <rPr>
        <sz val="9"/>
        <rFont val="Arial CE"/>
      </rPr>
      <t xml:space="preserve"> (Jubilejní: malování a nátěry 275, ZŠ Dlouhá malování a nátěry 275) po zapojení FR a FI 400 tis. Kč </t>
    </r>
  </si>
  <si>
    <r>
      <t xml:space="preserve">                              - příspěvek na investice </t>
    </r>
    <r>
      <rPr>
        <sz val="9"/>
        <rFont val="Arial CE"/>
      </rPr>
      <t>(ZŠ Jubilejní: 0, ZŠ Dlouhá: kamerový systém školního hřiště na ZŠ Dlouhá 600)</t>
    </r>
  </si>
  <si>
    <r>
      <t xml:space="preserve">              v tom:  </t>
    </r>
    <r>
      <rPr>
        <b/>
        <i/>
        <sz val="10"/>
        <rFont val="Arial CE"/>
      </rPr>
      <t xml:space="preserve">ZŠ Komenského 66 </t>
    </r>
    <r>
      <rPr>
        <sz val="10"/>
        <rFont val="Arial CE"/>
      </rPr>
      <t>(org. 322)</t>
    </r>
  </si>
  <si>
    <t xml:space="preserve">                              - příspěvek na provoz, včetně energií 2 650, včetně odpisů z nemovitého majetku </t>
  </si>
  <si>
    <r>
      <t xml:space="preserve">                              - příspěvek na údržbu </t>
    </r>
    <r>
      <rPr>
        <sz val="9"/>
        <rFont val="Arial CE"/>
      </rPr>
      <t>(malování a nátěry 200) po zapojení FR a FI 200 tis. Kč</t>
    </r>
  </si>
  <si>
    <t xml:space="preserve">                              - příspěvek na investice (spoluúčast na projektu IROP 1200)</t>
  </si>
  <si>
    <r>
      <t xml:space="preserve">                          </t>
    </r>
    <r>
      <rPr>
        <b/>
        <i/>
        <sz val="10"/>
        <rFont val="Arial CE"/>
      </rPr>
      <t>ZŠ Komenského 68</t>
    </r>
    <r>
      <rPr>
        <sz val="10"/>
        <rFont val="Arial CE"/>
      </rPr>
      <t xml:space="preserve"> (org. 323)</t>
    </r>
  </si>
  <si>
    <t xml:space="preserve">                              - příspěvek na provoz, včetně energií 2 200, včetně odpisů z nemovitého majetku </t>
  </si>
  <si>
    <r>
      <t xml:space="preserve">                              - příspěvek na údržbu </t>
    </r>
    <r>
      <rPr>
        <sz val="9"/>
        <rFont val="Arial CE"/>
      </rPr>
      <t>(malování a nátěry 400, oprava venkovního sprotovního povrchu 360, oprava zázemní tělocvičny 325, výměna přepážkových dveří 200)</t>
    </r>
  </si>
  <si>
    <r>
      <t xml:space="preserve">                             - příspěvek na investice</t>
    </r>
    <r>
      <rPr>
        <sz val="9"/>
        <rFont val="Arial CE"/>
      </rPr>
      <t xml:space="preserve"> (spoluúčast na projektu z IROP 1 400, vybavení do ŠJ - el. kotel a trouba 325) po zapojení FR a FI  325 tis. Kč </t>
    </r>
  </si>
  <si>
    <r>
      <t xml:space="preserve">                         </t>
    </r>
    <r>
      <rPr>
        <b/>
        <i/>
        <sz val="10"/>
        <rFont val="Arial CE"/>
      </rPr>
      <t xml:space="preserve">ZŠ Tyršova </t>
    </r>
    <r>
      <rPr>
        <sz val="10"/>
        <rFont val="Arial CE"/>
      </rPr>
      <t>(org. 325)</t>
    </r>
  </si>
  <si>
    <t xml:space="preserve">                             - příspěvek na provoz (vč. Montessori 250), vč.energií 3 200, vč.odpisů z nem.majetku</t>
  </si>
  <si>
    <r>
      <t xml:space="preserve">                             - příspěvek na údržbu</t>
    </r>
    <r>
      <rPr>
        <sz val="9"/>
        <rFont val="Arial CE"/>
      </rPr>
      <t xml:space="preserve"> (malování a nátěry 200, oprava sociálního zařízení 800, obložení chodeb 1 000, oprava podlahy ve ŠJ 150) po zapjení FR a FI 600</t>
    </r>
  </si>
  <si>
    <t xml:space="preserve">                             - příspěvek na investice (spoluúčast na projektu IROP 1 100, PD na výměnu osvětlení na chodbách 30, bezpečnostní systém 60)  </t>
  </si>
  <si>
    <r>
      <t xml:space="preserve">z toho: </t>
    </r>
    <r>
      <rPr>
        <b/>
        <i/>
        <sz val="10"/>
        <rFont val="Arial CE"/>
      </rPr>
      <t>SVČ Fokus</t>
    </r>
  </si>
  <si>
    <t xml:space="preserve">                  - příspěvek na provoz, včetně energií 1 200, včetně odpisů z nemovitého majetku </t>
  </si>
  <si>
    <t xml:space="preserve">                  - příspěvek na údržbu (oprava opony velký sál 80, oprava podlahy velký sál 116, oprava obložení topení  taneční sál 79)</t>
  </si>
  <si>
    <r>
      <t xml:space="preserve">                  - příspěvek na investice </t>
    </r>
    <r>
      <rPr>
        <sz val="9"/>
        <rFont val="Arial CE"/>
      </rPr>
      <t xml:space="preserve">(spoluúčast na projektu OPŽP 175, kamerový systém 41, čistící stroj na podlahu 87) po zapojení FI a FR 175 tis. Kč  </t>
    </r>
  </si>
  <si>
    <r>
      <t>Ostatní tělovýchovná činnost</t>
    </r>
    <r>
      <rPr>
        <sz val="10"/>
        <rFont val="Arial CE"/>
      </rPr>
      <t xml:space="preserve"> </t>
    </r>
  </si>
  <si>
    <r>
      <t xml:space="preserve">Divadelní činnost - </t>
    </r>
    <r>
      <rPr>
        <b/>
        <i/>
        <sz val="10"/>
        <rFont val="Arial CE"/>
      </rPr>
      <t>Beskydské divadlo</t>
    </r>
    <r>
      <rPr>
        <b/>
        <sz val="9"/>
        <rFont val="Arial CE"/>
      </rPr>
      <t xml:space="preserve"> </t>
    </r>
    <r>
      <rPr>
        <sz val="9"/>
        <rFont val="Arial CE"/>
      </rPr>
      <t>(org. 504)</t>
    </r>
  </si>
  <si>
    <t>z toho: příspěvek na provoz, včetně energií 3 150, včetně odpisů z nemovitého majetku 522</t>
  </si>
  <si>
    <r>
      <t xml:space="preserve">             příspěvek na údržbu </t>
    </r>
    <r>
      <rPr>
        <sz val="9"/>
        <rFont val="Arial CE"/>
      </rPr>
      <t xml:space="preserve"> </t>
    </r>
  </si>
  <si>
    <r>
      <t xml:space="preserve">z toho: osadní výbory </t>
    </r>
    <r>
      <rPr>
        <sz val="9"/>
        <rFont val="Arial CE"/>
      </rPr>
      <t>(Žilina, Straník, Bludovice, Kojetín, Loučka)</t>
    </r>
  </si>
  <si>
    <t>3322</t>
  </si>
  <si>
    <t>z toho: dohody (odborné texty na tabulky)</t>
  </si>
  <si>
    <t>Up-grade informačního systému památek (okolonas.eu)</t>
  </si>
  <si>
    <t xml:space="preserve">             Propagace v rámci EHD (vlajky a jiné), postřiky hradebních zdí, vč. likvidace náletů, sbírky, rozšíření, posudky</t>
  </si>
  <si>
    <r>
      <t xml:space="preserve">             Drobné opravy poškození, očištění soch a restaurování křížů</t>
    </r>
    <r>
      <rPr>
        <sz val="10"/>
        <rFont val="Arial CE"/>
      </rPr>
      <t xml:space="preserve"> (údržba pomníku J.G.Mendela 300, oprava hradební zdi u Hotelu Praha 300)</t>
    </r>
  </si>
  <si>
    <t>3326</t>
  </si>
  <si>
    <r>
      <t xml:space="preserve">z toho:  </t>
    </r>
    <r>
      <rPr>
        <sz val="10"/>
        <rFont val="Arial CE"/>
      </rPr>
      <t>oprava křížů a kaplí 400</t>
    </r>
    <r>
      <rPr>
        <sz val="10"/>
        <rFont val="Arial CE"/>
      </rPr>
      <t>, pomník P. Vavřík, obnova fasády kaple sv. Michala v Bludovicích vč. PD</t>
    </r>
    <r>
      <rPr>
        <sz val="10"/>
        <rFont val="Arial CE"/>
      </rPr>
      <t xml:space="preserve"> 1 300</t>
    </r>
  </si>
  <si>
    <t xml:space="preserve">            elektrická energie (zvonění kaple Kojetín, Bludovice, Straník) </t>
  </si>
  <si>
    <r>
      <t xml:space="preserve">z toho: </t>
    </r>
    <r>
      <rPr>
        <b/>
        <i/>
        <sz val="10"/>
        <rFont val="Arial CE"/>
      </rPr>
      <t>Městské kulturní středisko</t>
    </r>
    <r>
      <rPr>
        <b/>
        <sz val="10"/>
        <rFont val="Arial CE"/>
      </rPr>
      <t xml:space="preserve"> </t>
    </r>
    <r>
      <rPr>
        <sz val="9"/>
        <rFont val="Arial CE"/>
      </rPr>
      <t>(org. 501)</t>
    </r>
  </si>
  <si>
    <t xml:space="preserve">           -  příspěvek na provoz MěKS a Kina Květen, vč.energií 1800, vč.odpisů z nem.majetku 175 </t>
  </si>
  <si>
    <t xml:space="preserve">                                     včetně Novojičínského kulturního léta a Slavností města (v tom dar Veolie 50)</t>
  </si>
  <si>
    <t xml:space="preserve">          -  příspěvek na investice (kopírovací stroj 52, docházkový systém IT 84, projektor letní kino 340) po zapojení FR a FI 476 tis. Kč</t>
  </si>
  <si>
    <r>
      <t xml:space="preserve">           -  příspěvek na údržbu </t>
    </r>
    <r>
      <rPr>
        <sz val="9"/>
        <rFont val="Arial CE"/>
      </rPr>
      <t xml:space="preserve">(oprava digitálního projektoru Kina Květen 484, celková oprava podlah pódia Anf. Skalky 1000)  </t>
    </r>
  </si>
  <si>
    <r>
      <t xml:space="preserve">            mimořádné dotace a dary (org. 1180): </t>
    </r>
    <r>
      <rPr>
        <sz val="9"/>
        <rFont val="Arial CE"/>
      </rPr>
      <t>MŠ Beruška 251,5, ZŠ Galaxie 414,6 a MŠ Bludovice 61,776 - všechny 3 subjekty na úhradu režijních nákladů na stravování dětí včetně dovozu, ZO ČSOP Bartošovice  záchrana handicapovaných zvířat 90, Česká křesťanská akademie 15, stipendia 200, mimořádné dotace 151,244.</t>
    </r>
  </si>
  <si>
    <t xml:space="preserve">z toho : platy 18300, zák.odvody 4538,4 + 1647 ochr. pomůcky 0, zdrav.pomůcky 2, výstroj 350, knihy, časopisy a tisk 2, DHM 132,5, materiál 143, elektř.20, PHM 264, služby pošt 1, telekomunikace 245, nájemné 30, konzult.a porad.služby 3, školení 109, konference 3, služby 635, opravy a udrž. 275, služby zpracování dat 200, cestovné 15, neinv.přísp.a náhrady-prac.úrazy 50, kolky 10, náhrady za nemoc 100, správní poplatky 6, investice: progr. vybavení 123,8, stroje: radarovy tab.měřič 170, vozidlo 750, inovace MKDS 432 </t>
  </si>
  <si>
    <t>28 556 700,00</t>
  </si>
  <si>
    <r>
      <t>Chata Jičínka-</t>
    </r>
    <r>
      <rPr>
        <b/>
        <sz val="10"/>
        <rFont val="Arial CE"/>
      </rPr>
      <t>org.4381</t>
    </r>
    <r>
      <rPr>
        <sz val="10"/>
        <rFont val="Arial CE"/>
      </rPr>
      <t xml:space="preserve"> </t>
    </r>
    <r>
      <rPr>
        <sz val="9"/>
        <rFont val="Arial CE"/>
      </rPr>
      <t xml:space="preserve">(v tom: drobný hmotný majetek 30, materiál 20, voda 17, elektr.energie 170, PHM 1, služby-praní, odpady,... 80, opravy a udržování 102, místní poplatky 20, </t>
    </r>
    <r>
      <rPr>
        <b/>
        <sz val="9"/>
        <rFont val="Arial CE"/>
      </rPr>
      <t>investice:</t>
    </r>
    <r>
      <rPr>
        <sz val="9"/>
        <rFont val="Arial CE"/>
      </rPr>
      <t xml:space="preserve"> další etapa - chodník, parkovací plocha, terénní úpravy 250)</t>
    </r>
  </si>
  <si>
    <r>
      <t xml:space="preserve">Ochrana obyvatelstva </t>
    </r>
    <r>
      <rPr>
        <sz val="9"/>
        <rFont val="Arial CE"/>
      </rPr>
      <t>(letáky+uživat.příručky 1, DHM 20, zpracování dat-data hosting, GSM přenosy 35, systém varování před povodněmi-hladinoměry dle servisní smlouvy 24, opravy a udržování systému varování před povodněmi 30)</t>
    </r>
  </si>
  <si>
    <r>
      <t xml:space="preserve">Činnost ost. orgánů státní správy v oblasti civil.nouzového hospod. </t>
    </r>
    <r>
      <rPr>
        <sz val="9"/>
        <rFont val="Arial CE"/>
      </rPr>
      <t>(čerpá se jen při živelních pohromách: přikrývky, písek+pytle, respirátory, dezinfekce, zabezpečení chodu evak.středisek, teplo, elektrická energie, PHM, služby: ubytovací,stravovací,dopravní)</t>
    </r>
  </si>
  <si>
    <r>
      <t xml:space="preserve">Ostatní správa v oblasti krizového řízení </t>
    </r>
    <r>
      <rPr>
        <sz val="9"/>
        <rFont val="Arial CE"/>
      </rPr>
      <t>(PHM do elektrocentrály 1, služby 2, materiál 1, knihy+učební pomůcky+tisk 1) - čerpá se jen v mimořádných událostech</t>
    </r>
  </si>
  <si>
    <r>
      <t xml:space="preserve">Požární ochrana - profesionální část </t>
    </r>
    <r>
      <rPr>
        <sz val="9"/>
        <rFont val="Arial CE"/>
      </rPr>
      <t>(příspěvek HZS MSK dle smlouvy zvýšené o inflaci - předpoklad 3 %)</t>
    </r>
  </si>
  <si>
    <r>
      <t xml:space="preserve">Požární ochrana - dobrovolná část </t>
    </r>
    <r>
      <rPr>
        <sz val="9"/>
        <rFont val="Arial CE"/>
      </rPr>
      <t>(pro hasiče Straník: OOPP 20, DHM - hadice a proudnice, svítilny na přilby 25, materiál 10, PHM 15, služby+internet 5, školení 0, nákup služeb-technické prohlídky vozidel, měření emisí, výměna pneu,... 10, opravy a udržování-příprava na STK, drobné opravy vozového parku 40, cestovné 0)</t>
    </r>
  </si>
  <si>
    <t>Zastupitelstva obcí, org. 3381</t>
  </si>
  <si>
    <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40, léky a zdrav.materiál 6, knihy+učební pomůcky+tisk 100, Novojičínský zpravodaj 500, drobný hmotný majetek-nábytek 1100, mobily, skartovačky, kan.židle, skříně, police 380, podlah.krytiny 200, zařiz. předm. WC radnice 30, materiál-kancelářský, hygienický, čistící, doručovací, ikebana, automobily-mazadla, nemrznoucí směsi,... 1075, voda 444, teplo 3150, elektr.energie 2550, pevná paliva 5, PHM 170, služby pošt 2200, telekomun.120, nájemné 130, právní služby 357,4, služby BOZP 72,6, bezplatné právní služby pro veřejnost 50, psychologické poradenství k výběrovým řízením 20, zpracování dat 336, služby vč. úklidu,servisu kopírek, elektrorevize 4435, opravy a udržování - servis vozidel 150,opravy židlí 20, příp. škodní události 100, malování, nátěry oken a dveří 450, oprava kanalizace garáže Div. 8 10,  ostatní opravy 500, pohoštění 200, nájemné (splátky vozidla) 100, ostatní nákupy (čl. přísp. auditorů a tajemníků) 4,5, kolky 1, daně a poplatky vč. dálničních známek 20, ostatní výdaje 2 </t>
    </r>
  </si>
  <si>
    <r>
      <t>z toho</t>
    </r>
    <r>
      <rPr>
        <b/>
        <sz val="9"/>
        <rFont val="Arial CE"/>
      </rPr>
      <t xml:space="preserve"> investice: </t>
    </r>
    <r>
      <rPr>
        <sz val="9"/>
        <rFont val="Arial CE"/>
      </rPr>
      <t>činnost místní správy-</t>
    </r>
    <r>
      <rPr>
        <b/>
        <sz val="9"/>
        <rFont val="Arial CE"/>
      </rPr>
      <t>org.381:</t>
    </r>
    <r>
      <rPr>
        <sz val="9"/>
        <rFont val="Arial CE"/>
      </rPr>
      <t xml:space="preserve"> služební vozidlo</t>
    </r>
  </si>
  <si>
    <r>
      <t xml:space="preserve">Úsek informatiky </t>
    </r>
    <r>
      <rPr>
        <sz val="9"/>
        <rFont val="Arial CE"/>
      </rPr>
      <t xml:space="preserve">- </t>
    </r>
    <r>
      <rPr>
        <b/>
        <sz val="9"/>
        <rFont val="Arial CE"/>
      </rPr>
      <t>provoz - org.3381</t>
    </r>
    <r>
      <rPr>
        <sz val="9"/>
        <rFont val="Arial CE"/>
      </rPr>
      <t xml:space="preserve"> (v tom: drobný hmotný majetek-nové PC a LCD monitory, notebooky, kopírky, tiskárny, web kamera - nový HW, drobné síťové prvky, UPS 1040, materiál 250, nájemné 40, školení 50, služby zpracování dat 3125,3, ost.služby-znalecké posudky, osvědčení 30, opravy a udržování 530, nákup softwaru 70.</t>
    </r>
  </si>
  <si>
    <r>
      <t>Úsek informatiky</t>
    </r>
    <r>
      <rPr>
        <b/>
        <sz val="9"/>
        <rFont val="Arial CE"/>
      </rPr>
      <t xml:space="preserve"> </t>
    </r>
    <r>
      <rPr>
        <sz val="9"/>
        <rFont val="Arial CE"/>
      </rPr>
      <t xml:space="preserve">- </t>
    </r>
    <r>
      <rPr>
        <b/>
        <sz val="9"/>
        <rFont val="Arial CE"/>
      </rPr>
      <t xml:space="preserve">investice - org.3381 </t>
    </r>
    <r>
      <rPr>
        <sz val="9"/>
        <rFont val="Arial CE"/>
      </rPr>
      <t xml:space="preserve">programové vybavení - rozvoj GIS 150, nákup IS 1162,81, řídící jednotka AV techniky aula 200. </t>
    </r>
  </si>
  <si>
    <r>
      <t>Mobilní telefony-</t>
    </r>
    <r>
      <rPr>
        <b/>
        <sz val="10"/>
        <rFont val="Arial CE"/>
      </rPr>
      <t>org.7381</t>
    </r>
  </si>
  <si>
    <r>
      <t>Pevné telefony-</t>
    </r>
    <r>
      <rPr>
        <b/>
        <sz val="10"/>
        <rFont val="Arial CE"/>
      </rPr>
      <t>org.8381</t>
    </r>
  </si>
  <si>
    <r>
      <t>Dotace na OSPOD-</t>
    </r>
    <r>
      <rPr>
        <b/>
        <sz val="10"/>
        <rFont val="Arial CE"/>
      </rPr>
      <t>org. 1385</t>
    </r>
    <r>
      <rPr>
        <sz val="10"/>
        <rFont val="Arial CE"/>
      </rPr>
      <t xml:space="preserve"> </t>
    </r>
    <r>
      <rPr>
        <sz val="9"/>
        <rFont val="Arial CE"/>
      </rPr>
      <t xml:space="preserve">(v tom: knihy 5, DHM 30, materiál 30, PHM 35, služby telekomunikací 15, zpracování dat 72,6, ostatní služby 10) </t>
    </r>
  </si>
  <si>
    <t>Humanitární zahraniční pomoc přímá</t>
  </si>
  <si>
    <r>
      <t>Pojištění funkčně nespecifikované</t>
    </r>
    <r>
      <rPr>
        <sz val="9"/>
        <rFont val="Arial CE"/>
      </rPr>
      <t xml:space="preserve"> (pojištění 1500, náhrady za nezpůsobenou újmu 50)</t>
    </r>
  </si>
  <si>
    <r>
      <t xml:space="preserve">Rozhlas a televize </t>
    </r>
    <r>
      <rPr>
        <sz val="10"/>
        <rFont val="Arial CE"/>
      </rPr>
      <t>nákup ost. služeb 2601</t>
    </r>
  </si>
  <si>
    <r>
      <t>Zastupitelstva obcí</t>
    </r>
    <r>
      <rPr>
        <sz val="9"/>
        <rFont val="Arial CE"/>
      </rPr>
      <t xml:space="preserve"> (ost.platy-refundace mzdy 25, odměny členů ZM 7350, zák.odvody 892,8+661,5, refund.zák.odvodů 12, školení a vzdělávání pro uvolněné ZM 5, parkovné 0,5, cestovné (ubytování a doprava) 10, pohoštění 75, poplatky na konference 5, dary 30)</t>
    </r>
  </si>
  <si>
    <r>
      <t>z toho provoz: činnost místní správy-</t>
    </r>
    <r>
      <rPr>
        <b/>
        <sz val="9"/>
        <rFont val="Arial CE"/>
      </rPr>
      <t>org.381</t>
    </r>
    <r>
      <rPr>
        <sz val="9"/>
        <rFont val="Arial CE"/>
      </rPr>
      <t xml:space="preserve"> v tom: platy 91400, ost.platy 10, dohody 1300, refundace 10, zák.odvody 22989,6+8343+490+1, školení a vzdělávání 900+15, léky a zdr. mat. 20, nákup ostatních služeb 2500, cestovné 200, ostatní (ošatné ceremoniářky,matrikářky,hudebníci) 294, náhrady 40, náhrady mezd v nemoci  2200, </t>
    </r>
  </si>
  <si>
    <r>
      <t>Dotace na OSPOD-</t>
    </r>
    <r>
      <rPr>
        <b/>
        <sz val="10"/>
        <rFont val="Arial CE"/>
      </rPr>
      <t>org. 1385</t>
    </r>
    <r>
      <rPr>
        <sz val="10"/>
        <rFont val="Arial CE"/>
      </rPr>
      <t xml:space="preserve"> </t>
    </r>
    <r>
      <rPr>
        <sz val="9"/>
        <rFont val="Arial CE"/>
      </rPr>
      <t>v tom: platy 6600, dohody 30, zák.odvody 1644,24+596,7, školení 150, cestovné 5</t>
    </r>
  </si>
  <si>
    <r>
      <t>Sociální fond</t>
    </r>
    <r>
      <rPr>
        <sz val="10"/>
        <rFont val="Arial CE"/>
      </rPr>
      <t xml:space="preserve"> </t>
    </r>
    <r>
      <rPr>
        <sz val="9"/>
        <rFont val="Arial CE"/>
      </rPr>
      <t>(nákup ost. sl.  4048,72+60+21, rekreace zaměstnanců 3140, pohoštění-setkání zaměstnanců+bývalých zaměstnanců 200, dary obyvatelstvu při úmrtí zaměstnance nebo člena rodiny 100, jubilea 91, penzijní a životní pojištění zaměstn. 1150+30</t>
    </r>
  </si>
  <si>
    <r>
      <t xml:space="preserve">Nebytové hospodářství </t>
    </r>
    <r>
      <rPr>
        <sz val="9"/>
        <rFont val="Arial CE"/>
      </rPr>
      <t>(Sokolovská 9: drobný hmotný majetek 2, materiál 1, služby 1)</t>
    </r>
  </si>
  <si>
    <r>
      <t xml:space="preserve">Pohřebnictví </t>
    </r>
    <r>
      <rPr>
        <sz val="9"/>
        <rFont val="Arial CE"/>
      </rPr>
      <t>(úhrada sociálních pohřbů)</t>
    </r>
  </si>
  <si>
    <t>z toho: věcné dary/nákup materiálu (státní příspěvek na výkon SPOD) ÚZ 13024, org. 1385</t>
  </si>
  <si>
    <t xml:space="preserve">             terapeutické pobyty pro děti s omezenými příležitostmi (v tom dar Veolie 50)</t>
  </si>
  <si>
    <r>
      <t xml:space="preserve">             </t>
    </r>
    <r>
      <rPr>
        <sz val="10"/>
        <rFont val="Arial CE"/>
      </rPr>
      <t>neinvestiční transfery krajům</t>
    </r>
  </si>
  <si>
    <t>z toho: nákup služeb - Komunitní plánování (org. 0439), včetně zájezdu pro seniory 50</t>
  </si>
  <si>
    <t xml:space="preserve">             neinvestiční transfery krajům</t>
  </si>
  <si>
    <t>z toho:   Klub seniorů Nový Jičín (org. 0383)</t>
  </si>
  <si>
    <t xml:space="preserve">               Klub seniorů Straník (org. 2383)</t>
  </si>
  <si>
    <t xml:space="preserve">               Klub seniorů Loučka (org. 3383)</t>
  </si>
  <si>
    <t xml:space="preserve">               Kavárničky - setkání seniorů v DPS (org. 3393)</t>
  </si>
  <si>
    <t xml:space="preserve">               25. výročí pečovatelské služby v Novém Jičíně - ProSenior</t>
  </si>
  <si>
    <t xml:space="preserve">               Seniorpoint Nový Jičín (org. 5383)</t>
  </si>
  <si>
    <t xml:space="preserve">               Krizové místo pro bezdomovce – investice do kontejneru (org. 9383)</t>
  </si>
  <si>
    <r>
      <t>Záležitosti soc. věcí a politiky nezaměstn. j.n.</t>
    </r>
    <r>
      <rPr>
        <b/>
        <sz val="9"/>
        <rFont val="Arial CE"/>
      </rPr>
      <t xml:space="preserve"> </t>
    </r>
    <r>
      <rPr>
        <sz val="9"/>
        <rFont val="Arial CE"/>
      </rPr>
      <t>(nákup tiskopisů receptů a žádanek na omamné látky)</t>
    </r>
  </si>
  <si>
    <t>Rezerva</t>
  </si>
  <si>
    <t xml:space="preserve">             podpora dostupnosti stomatologické péče ve městě Nový Jičín</t>
  </si>
  <si>
    <r>
      <t xml:space="preserve">             individuální dotace z IP kraje -Charita AD 1.249.000, Sl.Diakonie Soc.reh. 298.000, CSS SAS 480.000, Jinak Podpora sam.bydlení 70.000 </t>
    </r>
    <r>
      <rPr>
        <b/>
        <sz val="10"/>
        <rFont val="Arial CE"/>
      </rPr>
      <t>+ zapojení Fondu soc.služeb v celk. výši 559.400,00</t>
    </r>
  </si>
  <si>
    <t xml:space="preserve">             individuální dotace z IP kraje 2022+ -Charita AD 1.644.000, Sl.Diakonie Soc.reh. 596.000, Jinak Podpora sam.bydlení 70.000</t>
  </si>
  <si>
    <t xml:space="preserve">             individuální dotace na Seniorpoint Nový Jičín (org. 5383)</t>
  </si>
  <si>
    <r>
      <t xml:space="preserve">z toho </t>
    </r>
    <r>
      <rPr>
        <b/>
        <sz val="10"/>
        <rFont val="Arial CE"/>
      </rPr>
      <t>Pečovatelská služba</t>
    </r>
    <r>
      <rPr>
        <b/>
        <sz val="9"/>
        <rFont val="Arial CE"/>
      </rPr>
      <t xml:space="preserve"> (org.390)</t>
    </r>
    <r>
      <rPr>
        <sz val="9"/>
        <rFont val="Arial CE"/>
      </rPr>
      <t xml:space="preserve">: platy4500+765, dohody 60+50, zákonné odvody 1140+227, 405+68,9, potraviny 1, ochranné osobní pomůcky 40, léky+zdrav.mater.3, prádlo+oděv 2, knihy+tisk 1,5, DHM  80, materiál  120, elektř. 83, PHM 120, služby telekomunikací 0, mobily 12, pevné linky 3, školení a vzdělávání 50, zpracování dat 40, služby 70, opravy a udržování 150, cestovné 20, účastnické poplatky na konference 12, ostatní nákupy 0, neinvestiční transfery spolkům 3,5, náhrady mezd v době nemoci 83+20, dopravní prostředky 0   </t>
    </r>
  </si>
  <si>
    <r>
      <t xml:space="preserve">z toho </t>
    </r>
    <r>
      <rPr>
        <b/>
        <sz val="10"/>
        <rFont val="Arial CE"/>
      </rPr>
      <t>Denní stacionář=Domovinka</t>
    </r>
    <r>
      <rPr>
        <b/>
        <sz val="9"/>
        <rFont val="Arial CE"/>
      </rPr>
      <t xml:space="preserve"> (org.1391)</t>
    </r>
    <r>
      <rPr>
        <sz val="9"/>
        <rFont val="Arial CE"/>
      </rPr>
      <t>: platy 1000+ 400, dohody 60, zákonné odvody270+100 96+40, ochr.os.pomůcky 8, prádlo+oděv 1,5, knihy+tisk 1, DHM 15, materiál 32, elektrická energie 17, služby telekomunikací 1, školení a vzdělávání 10, zpracování dat 10, služby 33, opravy a údržba 58, cestovné 1, účastn.popl.na konferencích 2,5, náhrady mezd v době nemoci  5+10</t>
    </r>
  </si>
  <si>
    <r>
      <t xml:space="preserve">z toho </t>
    </r>
    <r>
      <rPr>
        <b/>
        <sz val="10"/>
        <rFont val="Arial CE"/>
      </rPr>
      <t xml:space="preserve">Odlehčovací služba Pohoda </t>
    </r>
    <r>
      <rPr>
        <b/>
        <sz val="9"/>
        <rFont val="Arial CE"/>
      </rPr>
      <t>(org.1393)</t>
    </r>
    <r>
      <rPr>
        <sz val="9"/>
        <rFont val="Arial CE"/>
      </rPr>
      <t xml:space="preserve">: platy 3300+900, dohody 400, zákonné odvody 900+225,  350+81, OOP+oděvy 20+5, DHM 45, materiál 60, elektř.21, telef. 1, školení a vzdělávání 25, zpracování dat 20, služby 50, opravy a údržba 15, cestovné 1, poplatky na konference 2,5, náhrady v době nemoci  80+15                                               </t>
    </r>
  </si>
  <si>
    <t>z toho investice: nákup 2 vozidel (elektromobil 1300, hybrid 600)</t>
  </si>
  <si>
    <t xml:space="preserve">Pěstební činnost </t>
  </si>
  <si>
    <t xml:space="preserve">Celospolečenské funkce lesů </t>
  </si>
  <si>
    <r>
      <t xml:space="preserve">Ostatní správa ve vodním hospodářství </t>
    </r>
    <r>
      <rPr>
        <sz val="9"/>
        <rFont val="Arial CE"/>
      </rPr>
      <t>(havárie)</t>
    </r>
  </si>
  <si>
    <r>
      <t>Sběr a svoz nebezpečných odpadů</t>
    </r>
    <r>
      <rPr>
        <b/>
        <sz val="9"/>
        <rFont val="Arial CE"/>
      </rPr>
      <t xml:space="preserve"> </t>
    </r>
    <r>
      <rPr>
        <sz val="9"/>
        <rFont val="Arial CE"/>
      </rPr>
      <t>(TSM: 50)</t>
    </r>
  </si>
  <si>
    <r>
      <t xml:space="preserve">z toho: TSM příspěvek na investice </t>
    </r>
    <r>
      <rPr>
        <sz val="9"/>
        <rFont val="Arial CE"/>
      </rPr>
      <t>(2023: natahovač kontejnerů s jeř 3,5 mil.)</t>
    </r>
  </si>
  <si>
    <r>
      <t xml:space="preserve">Monitoring půdy a podzemní vody </t>
    </r>
    <r>
      <rPr>
        <sz val="9"/>
        <rFont val="Arial CE"/>
      </rPr>
      <t xml:space="preserve">(sledování vrtů na Kojetíně) </t>
    </r>
  </si>
  <si>
    <r>
      <t>Chráněné části přírody</t>
    </r>
    <r>
      <rPr>
        <sz val="9"/>
        <rFont val="Arial CE"/>
      </rPr>
      <t xml:space="preserve"> (památné stromy, významné krajinné prvky)</t>
    </r>
  </si>
  <si>
    <t xml:space="preserve">z toho: Zelené město </t>
  </si>
  <si>
    <r>
      <t xml:space="preserve">             příspěvek na investice TSM </t>
    </r>
    <r>
      <rPr>
        <sz val="9"/>
        <rFont val="Arial CE"/>
      </rPr>
      <t xml:space="preserve">(revitalizace střediska veřejné zeleně 25,82 mil.+ topidlo 115 tis.) </t>
    </r>
  </si>
  <si>
    <t>Ředitelství a dílna oprav</t>
  </si>
  <si>
    <t>031 - Dotace, návratné finanční výpomoci a dary cizím subjektům</t>
  </si>
  <si>
    <r>
      <t>031/</t>
    </r>
    <r>
      <rPr>
        <b/>
        <sz val="9"/>
        <rFont val="Arial CE"/>
      </rPr>
      <t>2321</t>
    </r>
    <r>
      <rPr>
        <sz val="9"/>
        <rFont val="Arial CE"/>
      </rPr>
      <t>/6371</t>
    </r>
  </si>
  <si>
    <r>
      <t>031/</t>
    </r>
    <r>
      <rPr>
        <b/>
        <sz val="9"/>
        <rFont val="Arial CE"/>
      </rPr>
      <t>3634</t>
    </r>
    <r>
      <rPr>
        <sz val="9"/>
        <rFont val="Arial CE"/>
      </rPr>
      <t>/6371</t>
    </r>
  </si>
  <si>
    <t>Střední odborné školy (EDUCA) - běžné opravy 100, zápočet investic a nájmu 303</t>
  </si>
  <si>
    <t xml:space="preserve">   Sportovní hala s bazénem: org. 0515</t>
  </si>
  <si>
    <t xml:space="preserve">             - podlaha basketbalové haly - realizace </t>
  </si>
  <si>
    <t xml:space="preserve">Areál krytého bazénu:  - instalace předokenních žaluzií na JZ stěnu budovy </t>
  </si>
  <si>
    <t xml:space="preserve">                                     - nákup 14 ks polohov.lehátek pro venkovní ochlazovnu (100), hliníkové nosné plošiny (80) pol. 6122</t>
  </si>
  <si>
    <t xml:space="preserve">         - v tom:     nepředvídané opravy</t>
  </si>
  <si>
    <t xml:space="preserve">                          PD dešťových svodů </t>
  </si>
  <si>
    <t xml:space="preserve">                          oprava dětského brouzdaliště (venkovní bazén)</t>
  </si>
  <si>
    <t xml:space="preserve">                          PD  - rekonstrukce vnitřního bazénu </t>
  </si>
  <si>
    <t xml:space="preserve">Areál krytého bazénu: - výměna žaluzie v přívodním tunelu vzduchotechniky s aut.posuvem filtrační tkaniny </t>
  </si>
  <si>
    <t xml:space="preserve">                                      - oprava zázemí údržby</t>
  </si>
  <si>
    <t xml:space="preserve">                                      - výměna vstupních dveří do bazénu - pokladna </t>
  </si>
  <si>
    <t xml:space="preserve">                                      - oprava kuchyně restaurace </t>
  </si>
  <si>
    <t xml:space="preserve">                                      - oprava čisté chodby </t>
  </si>
  <si>
    <t xml:space="preserve">          - příspěvek Basketbalovému klubu, z.s. (provoz+energie)          AÚ 437 </t>
  </si>
  <si>
    <t xml:space="preserve">          - služby pol. 5169 (PD, posudky, studie)</t>
  </si>
  <si>
    <t xml:space="preserve">   Zimní stadión: org. 0522</t>
  </si>
  <si>
    <t xml:space="preserve">             - Nákup rolby (6122)</t>
  </si>
  <si>
    <t xml:space="preserve">             - Řídící systém chlazení ledové plochy </t>
  </si>
  <si>
    <t xml:space="preserve">             - příspěvek Hokejovému klubu, z.s. (provoz+energie)         AÚ 437</t>
  </si>
  <si>
    <t xml:space="preserve">             - služby pol. 5169 (PD, posudky, studie)</t>
  </si>
  <si>
    <t xml:space="preserve">            - oprava venkovních schodů, vstupu a nájezdové rampy</t>
  </si>
  <si>
    <t xml:space="preserve">            - sekční garážová vrata do strojovny </t>
  </si>
  <si>
    <t xml:space="preserve">           PD - investice  (Hřbitovní 44, Msgr. Šrámka  13., U Jičínky 25, Trlicova 59)</t>
  </si>
  <si>
    <t xml:space="preserve">           PD - investice, realizace do 1 mil. Kč </t>
  </si>
  <si>
    <t xml:space="preserve">           Jičínská  272 - revitalizaci bytového domu, realizace akce vč. dozorů - dotace 4.330.676 Kč</t>
  </si>
  <si>
    <t xml:space="preserve">           Jičínská  275 - revitalizaci bytového domu, realizace akce vč. dozorů - dotace 7.114.813 Kč</t>
  </si>
  <si>
    <t xml:space="preserve">           Na Lani 212 - revitalizace BD,  realizace akce vč.dozorů - dotace 3.605.622,22+úvěr</t>
  </si>
  <si>
    <t xml:space="preserve">           Bytový dům K Archivu 2, NJ - realizace dle PD (2021-2022) vč. dozorů (úvěr)</t>
  </si>
  <si>
    <t xml:space="preserve">                          - generální opravy volných bytů (vrácené byty zdevastované nebo po exekucích) - závazek ZM 23 mil. Kč/4 roky</t>
  </si>
  <si>
    <t xml:space="preserve">                          - PD opravy střech, fasád, odvlhčení domů ve správě OB</t>
  </si>
  <si>
    <t xml:space="preserve">                          - realizace oprav střech, fasád, odvlhčení domů ve správě OB (do 1 mil. Kč)</t>
  </si>
  <si>
    <t xml:space="preserve">                          - Nádražní 47 - oprava 2 bytových jednotek (oprava střech BD 2022)</t>
  </si>
  <si>
    <r>
      <t xml:space="preserve">                          - generální opravy bytů v </t>
    </r>
    <r>
      <rPr>
        <b/>
        <sz val="10"/>
        <rFont val="Arial CE"/>
      </rPr>
      <t>MPR</t>
    </r>
    <r>
      <rPr>
        <sz val="10"/>
        <rFont val="Arial CE"/>
      </rPr>
      <t xml:space="preserve"> (MN 16, Jung. 2, 5.května 4)</t>
    </r>
  </si>
  <si>
    <r>
      <t xml:space="preserve">PD - opravy střech,fasád, odvhčení domů v </t>
    </r>
    <r>
      <rPr>
        <b/>
        <sz val="10"/>
        <rFont val="Arial CE"/>
      </rPr>
      <t>MPR</t>
    </r>
    <r>
      <rPr>
        <sz val="10"/>
        <rFont val="Arial CE"/>
      </rPr>
      <t xml:space="preserve"> : (5.května 16, Dobrovského  5, Gen.Hlaďo 22, Havlíčkova 8 a 11, Křižíkova 1, Žerotínova 9, Dobrovského 2, Resslova 1)</t>
    </r>
  </si>
  <si>
    <t xml:space="preserve">             úsek 1 (p. Biskup ):  </t>
  </si>
  <si>
    <t xml:space="preserve">                          - běžná údržba a opravy, výměny zařizovacích předmětů </t>
  </si>
  <si>
    <t xml:space="preserve">                             Výmalba společných prostor a schodišť (Na Lani 212, Jičínská 272, Jičínská 275)</t>
  </si>
  <si>
    <t xml:space="preserve">                             Dlouhá 19 - oprava celé střechny</t>
  </si>
  <si>
    <t xml:space="preserve">                             Trlicova 10 -střecha II.etapa - výměna 4 ks stupaček SV+ TUV</t>
  </si>
  <si>
    <t xml:space="preserve">                             Žižkova 12, Žižkova 20 - oprava zdiva a výmalba společných prostor</t>
  </si>
  <si>
    <t xml:space="preserve">             úsek 2 (p. Bartoňová): </t>
  </si>
  <si>
    <t xml:space="preserve">                             DPS Pod Lipami - oprava balkónů II. etapa 1/2</t>
  </si>
  <si>
    <t xml:space="preserve">                             DPS  Revoluční 6 - opravy hromosvodů </t>
  </si>
  <si>
    <t xml:space="preserve">                             DPS Pod Lipami 19 - výměna oken ve společných prostorách + 3ks vstupních dveří </t>
  </si>
  <si>
    <t xml:space="preserve">                             Výmalba společných prostor a schodišť (Bulharská 9,7,11,13,15,17 + Luční 2,3,4)</t>
  </si>
  <si>
    <t xml:space="preserve">                             DPS U Jičínky - oprava střechy II. etapa (havarijní stav) </t>
  </si>
  <si>
    <t xml:space="preserve">                             DPS Pod Lipami - záložní zdroj </t>
  </si>
  <si>
    <t xml:space="preserve">             úsek 4 - MPR (p. Honešová):  </t>
  </si>
  <si>
    <t xml:space="preserve">                                      Sokolovská 30 - oprava části fasády </t>
  </si>
  <si>
    <r>
      <t xml:space="preserve">             </t>
    </r>
    <r>
      <rPr>
        <b/>
        <sz val="10"/>
        <rFont val="Arial CE"/>
      </rPr>
      <t>domovníci</t>
    </r>
    <r>
      <rPr>
        <sz val="10"/>
        <rFont val="Arial CE"/>
      </rPr>
      <t xml:space="preserve"> (mzdy a odvody, AÚ 0800)</t>
    </r>
  </si>
  <si>
    <r>
      <t xml:space="preserve">           </t>
    </r>
    <r>
      <rPr>
        <b/>
        <sz val="10"/>
        <rFont val="Arial CE"/>
      </rPr>
      <t xml:space="preserve">  služby</t>
    </r>
    <r>
      <rPr>
        <sz val="10"/>
        <rFont val="Arial CE"/>
      </rPr>
      <t xml:space="preserve">  org. 0518 (úklidy,revize,výtahy, odečty,poruch.služba, deratizace,čištění kanalizace,komíny, SBI, zn. posudky)</t>
    </r>
  </si>
  <si>
    <t xml:space="preserve">             příspěvek do fondu oprav v SVJ (kotelny Vančurova 16, Dlouhá 45, Mendelova 8) ( pol. 5192)</t>
  </si>
  <si>
    <t xml:space="preserve">Nákup zboží (paragony)- pol. 5139 </t>
  </si>
  <si>
    <t>Náklady na energie - org. 0518</t>
  </si>
  <si>
    <t xml:space="preserve">            - vodné a stočné</t>
  </si>
  <si>
    <t xml:space="preserve">            - dodávka tepla </t>
  </si>
  <si>
    <t xml:space="preserve">            - plyn</t>
  </si>
  <si>
    <t xml:space="preserve">            - elektřina </t>
  </si>
  <si>
    <t xml:space="preserve">Bytové hospodářství - úrok k úvěru </t>
  </si>
  <si>
    <t xml:space="preserve">              Hückelovy vily - zpracování studií vily J. Hückela (300), aktualizace studie vily  A. Hückela (100)</t>
  </si>
  <si>
    <t xml:space="preserve">              Hückelovy vily - spoluúčast na dotačních titulech (fixace nástropních maleb E. Veitha, restaurátorský průzkum maleb), výkup předmětů pro sbírku HV Ministerstva kultury</t>
  </si>
  <si>
    <t xml:space="preserve">              Hückelovy vily - pořízení měřící techniky pro sledování klimatu - pol.6122</t>
  </si>
  <si>
    <t xml:space="preserve">              Kulturní a společenský dům PD - II.etapa </t>
  </si>
  <si>
    <t xml:space="preserve">              Příspěvek na investice TSM  -(AÚ 0800, pol. 6351) garážová vrata </t>
  </si>
  <si>
    <t xml:space="preserve">              Vybudování Spolkového domu Žilina - realizace</t>
  </si>
  <si>
    <t xml:space="preserve">              Hoblíkova - PD vybudování sestavy kontejnerů a oprava garáže pro TSM vč. IS a zabezpečovacího systému</t>
  </si>
  <si>
    <t xml:space="preserve">              Suvorovova 152 - PD  revitalizace domu (výměna oken, střecha, fasáda, vnitřní rozvody TZI)</t>
  </si>
  <si>
    <t xml:space="preserve">              Hotel Praha - WC u zadního vchodu -realizace </t>
  </si>
  <si>
    <t xml:space="preserve">              Hotel Praha - realizace střešního světlíku nad kuchyní </t>
  </si>
  <si>
    <t xml:space="preserve">              SK Straník 147 - realizace ČOV</t>
  </si>
  <si>
    <t xml:space="preserve">              Straník 80 - realizace ČOV</t>
  </si>
  <si>
    <t xml:space="preserve">              Výletní lokalita Čerťák - vybudování venkovní terasy v rámci III. Etapy</t>
  </si>
  <si>
    <t>Nákup DHDM pro org. 0518,8518 - pol. 5137</t>
  </si>
  <si>
    <t>Nákup zboží (paragony)- pol. 5139 (50 tis. 0518, 30 tis. 8518)</t>
  </si>
  <si>
    <t>Náklady na energie - org. 0518, 2518, 8518, 5518</t>
  </si>
  <si>
    <t xml:space="preserve">            - vodné a stočné (600+200+200)</t>
  </si>
  <si>
    <t xml:space="preserve">            - elektřina  (2450+20+80)</t>
  </si>
  <si>
    <t>z toho:  PD pro NP - (fasády, prod. elektro Dolní B. 22, Dobro.1, hala stol. tenisu 150, Beskydská 274 150)</t>
  </si>
  <si>
    <t xml:space="preserve">            služby + revize org. 0518- nebytové domy </t>
  </si>
  <si>
    <t xml:space="preserve">            služby + revize org. 2518 Hotel Praha </t>
  </si>
  <si>
    <t xml:space="preserve">            služby + revize org. 8518  Hűckelovy vily    </t>
  </si>
  <si>
    <t xml:space="preserve">            dohody+odvody - Bludovice, Straník, Kojetín   AÚ0 800</t>
  </si>
  <si>
    <t xml:space="preserve">            dohody Hückelovy vily AÚ 0800</t>
  </si>
  <si>
    <t xml:space="preserve">            provoz veřejných WC+WC u letního kina (obojí TSM 1950) AÚ 0800</t>
  </si>
  <si>
    <t xml:space="preserve">            Hückelovy vily - konzultační a právní služby, znal. posudky - studie maleb </t>
  </si>
  <si>
    <t xml:space="preserve">            Hückelovy vily - spoluúčast na dotačních titulech (fixace nástropních maleb E. Veitha, restaurátorský průzkum maleb), výkup předmětů pro sbírku HV Ministerstva kultury pol. 5169</t>
  </si>
  <si>
    <t xml:space="preserve">              Příspěvek na TSM  výměna PVC v šatně - 120.000 Kč, oprava venkovního schodiště a opěrné zídky v areálu TS Nový Jičín - 60.000 Kč, oplechování a zateplení garáží - 110.000 Kč, výměna sloupů VO - 40.000 Kč) - AÚ 0800, pol. 6351</t>
  </si>
  <si>
    <t xml:space="preserve">             úsek 5 - NP MPR (p. Honešová):</t>
  </si>
  <si>
    <t xml:space="preserve">                         - akce úsek MPR  celkem:</t>
  </si>
  <si>
    <t xml:space="preserve">                           Msgr. Šrámka 11 - zubní poliklinika - oprava omítek, střechy, atik </t>
  </si>
  <si>
    <t xml:space="preserve">             úsek 5 (p. Friedecká): </t>
  </si>
  <si>
    <t xml:space="preserve">                          - akce úsek 5 celkem:</t>
  </si>
  <si>
    <t xml:space="preserve">                                      Střecha tržnice - nátěr ocelových konstrukcí a oprava podlah (WC a kancelář)</t>
  </si>
  <si>
    <t xml:space="preserve">                                      Hotel Praha běžná údržba  - světlík střecha PD</t>
  </si>
  <si>
    <t xml:space="preserve">                                      Hűckelovy vily- oprava a údržba do doby rekonstrukce - střecha, věže</t>
  </si>
  <si>
    <t xml:space="preserve">                                      Hückelovy vily - oprava vrátnice </t>
  </si>
  <si>
    <t xml:space="preserve">                                      Jiráskova - hala Boban, zázemí tenisových kurtů (záchovná údržba)</t>
  </si>
  <si>
    <t xml:space="preserve">                             - osadní výbory celkem:                                                                                       </t>
  </si>
  <si>
    <t xml:space="preserve">                                    Straník 80 (oprava fasády, přístavba pož.zbrojnice, přístupový chodník)</t>
  </si>
  <si>
    <t xml:space="preserve">                                    SK Straník 147 (oprava fasády, nová podlaha v tělocvičně, výměna oken - II. část)</t>
  </si>
  <si>
    <t xml:space="preserve">                                    Bludovice 13  (PD oprava střechy, PD ČOV + drobné opravy)</t>
  </si>
  <si>
    <t xml:space="preserve">                                    Žilina -stará hasič. zbrojnice - oprava střechy a vrat, přístřešek - vybudování zámkové dlažby</t>
  </si>
  <si>
    <t xml:space="preserve">                                    Kojetín 7 - stavební úpravy (dětská herna, tělocvična), oprava dlažby a osvětlení ve volební místnosti</t>
  </si>
  <si>
    <t>Lokální zásobování teplem (tepelné hospodářství)</t>
  </si>
  <si>
    <t>z toho:  nákup služeb - obsluha a revize kotelny Hotelu Praha + Suvorovova 152 + Dům k Archivu 2, revize  pol. 5169</t>
  </si>
  <si>
    <t>z toho opravy:  nepředvídané opravy a havárie teplovodů Smetanovy Sady a Pod Lipami 500, výměna potrubí TUV Loučka  500</t>
  </si>
  <si>
    <t xml:space="preserve">             opravy kotelen - sanace, opravy střechy, omítek</t>
  </si>
  <si>
    <t xml:space="preserve">             PD 3 kotelen (Revoluční, Masarykovo nám. 1, Pod Lipami) (org. 0516 pol. 6121)</t>
  </si>
  <si>
    <t xml:space="preserve">             Modernizace kotelny Mendelova (org. 0516, pol. 6122)</t>
  </si>
  <si>
    <t xml:space="preserve">             Modernizace kotelny Luční 2 (org. 0516, pol. 6122)</t>
  </si>
  <si>
    <t xml:space="preserve">             Modernizace kotelny Luční 3 (org. 0516, pol. 6122)</t>
  </si>
  <si>
    <t xml:space="preserve">             Modernizace kotelny Luční 4 (org. 0516, pol. 6122)</t>
  </si>
  <si>
    <t xml:space="preserve">             Dodávka 10 ks nerez zásobníků teplé vody do kotelen a odběrných před.stanic v domech </t>
  </si>
  <si>
    <t xml:space="preserve">             Připojení Dlouhá 45,47 na teplovody z výtopny Anenská </t>
  </si>
  <si>
    <t xml:space="preserve">             PD a realizace - měření a regulace pro 8ks OPS </t>
  </si>
  <si>
    <t>Osobní asistence, pečovatelská služba a podpora samostatného bydlení (DPS-telefony, AÚ 0800)</t>
  </si>
  <si>
    <t xml:space="preserve">z toho: opravy a údržba celkem (nejnutnější akce)                                                                                     </t>
  </si>
  <si>
    <t xml:space="preserve">            Azylový dům Nový Jičín (výměna vnitřních dveří, oprava pokojů v 1. patře, oprava plotu, sanace sklepa)</t>
  </si>
  <si>
    <t xml:space="preserve">            Azylový dům Straník (provizorní oprava podlah 40, nepředvídatelné opravy 100)</t>
  </si>
  <si>
    <t xml:space="preserve">            komplexní řízení energetiky - nový software energetický management a roční poplatek (pol. 6111)</t>
  </si>
  <si>
    <t xml:space="preserve">            výběr dodavatele elektřiny a plynu na rok 2024</t>
  </si>
  <si>
    <t xml:space="preserve">            Energetické hospodářství - výroční souhrnná zpráva na rok 2022</t>
  </si>
  <si>
    <t xml:space="preserve">            Energetické dokumentace (EA, PENB, energetický posudek dle požadavku dotací)</t>
  </si>
  <si>
    <t xml:space="preserve">            Opravy VN rozvaděčů a trafostanic - bazén, zimní stadion, tržnice, areál TS NJ </t>
  </si>
  <si>
    <r>
      <rPr>
        <b/>
        <sz val="10"/>
        <rFont val="Arial CE"/>
      </rPr>
      <t>Soptíkova herna</t>
    </r>
    <r>
      <rPr>
        <sz val="10"/>
        <rFont val="Arial CE"/>
      </rPr>
      <t xml:space="preserve"> - Straník 80 (participativní rozpočet)</t>
    </r>
  </si>
  <si>
    <r>
      <t xml:space="preserve">Ostatní správa v průmyslu, stavebnictví, obchodu a službách </t>
    </r>
    <r>
      <rPr>
        <sz val="9"/>
        <rFont val="Arial CE"/>
      </rPr>
      <t>(stavební úřad)</t>
    </r>
  </si>
  <si>
    <t xml:space="preserve">           změny územního plánu města (změna č. 7, změna č. 8)</t>
  </si>
  <si>
    <r>
      <t xml:space="preserve">Dotace, návratné finanční výpomoci a dary cizím subjektům </t>
    </r>
    <r>
      <rPr>
        <sz val="9"/>
        <rFont val="Arial CE"/>
      </rPr>
      <t>(estetizace)</t>
    </r>
  </si>
  <si>
    <r>
      <t>231440/741/</t>
    </r>
    <r>
      <rPr>
        <b/>
        <sz val="9"/>
        <rFont val="Arial CE"/>
      </rPr>
      <t>2321</t>
    </r>
    <r>
      <rPr>
        <sz val="9"/>
        <rFont val="Arial CE"/>
      </rPr>
      <t>/5169</t>
    </r>
  </si>
  <si>
    <r>
      <t xml:space="preserve">Odvádění odpadních vod </t>
    </r>
    <r>
      <rPr>
        <sz val="10"/>
        <rFont val="Arial CE"/>
      </rPr>
      <t>(DSO regionu Novojičínska: v r. 2023 pouze poměrná část 25% na provoz)</t>
    </r>
  </si>
  <si>
    <r>
      <t>Ostatní výdaje z finančního vypořádání</t>
    </r>
    <r>
      <rPr>
        <sz val="9"/>
        <rFont val="Arial CE"/>
      </rPr>
      <t xml:space="preserve"> </t>
    </r>
  </si>
  <si>
    <t>z toho: doplatek energií za r. 2021 (ZŠ Komenského 66: 9.470,13 Kč, ZŠ Tyršova: 165.778,17 Kč)</t>
  </si>
  <si>
    <r>
      <t>Finanční vypořádání Veolia Energie ČR</t>
    </r>
    <r>
      <rPr>
        <b/>
        <sz val="9"/>
        <rFont val="Arial CE"/>
      </rPr>
      <t xml:space="preserve"> </t>
    </r>
    <r>
      <rPr>
        <sz val="10"/>
        <rFont val="Arial CE"/>
      </rPr>
      <t>(dle fakturace skutečně odebraného množství GJ 2019-2021)</t>
    </r>
  </si>
  <si>
    <r>
      <t>Komunální služby a územní rozvoj</t>
    </r>
    <r>
      <rPr>
        <b/>
        <sz val="10"/>
        <rFont val="Arial CE"/>
      </rPr>
      <t xml:space="preserve"> </t>
    </r>
    <r>
      <rPr>
        <sz val="10"/>
        <rFont val="Arial CE"/>
      </rPr>
      <t>(soudní poplatky, realizace exekucí, ...)</t>
    </r>
  </si>
  <si>
    <r>
      <t xml:space="preserve">Činnost místní správy </t>
    </r>
    <r>
      <rPr>
        <sz val="10"/>
        <rFont val="Arial CE"/>
      </rPr>
      <t>(daňové, účetní poradenství, odborné konzultace, psí známky, poplatky FÚ za bezdlužnost města)</t>
    </r>
  </si>
  <si>
    <r>
      <t>Humanitárná zahraniční pomoc přímá</t>
    </r>
    <r>
      <rPr>
        <sz val="10"/>
        <rFont val="Arial CE"/>
      </rPr>
      <t xml:space="preserve"> (poskytnutí peněžitých darů pro Ukrajinu)</t>
    </r>
  </si>
  <si>
    <t>z toho: Člověk v tísni, o.p.s.: 150, Charitě, o.p.s.: 150, Velvyslanectví Ukrajiny: 200</t>
  </si>
  <si>
    <r>
      <t>Výdaje z finančních operací</t>
    </r>
    <r>
      <rPr>
        <b/>
        <sz val="9"/>
        <rFont val="Arial CE"/>
      </rPr>
      <t xml:space="preserve"> </t>
    </r>
    <r>
      <rPr>
        <sz val="10"/>
        <rFont val="Arial CE"/>
      </rPr>
      <t>(bankovní poplatky za vedení účtů a položky)</t>
    </r>
  </si>
  <si>
    <r>
      <t xml:space="preserve">z toho: daň z příjmů právnických osob za obec </t>
    </r>
    <r>
      <rPr>
        <sz val="10"/>
        <rFont val="Arial CE"/>
      </rPr>
      <t>(stejná výše je uvedena i v příjmech na pol. 1122)</t>
    </r>
  </si>
  <si>
    <t xml:space="preserve">             daň z přidané hodnoty za město  </t>
  </si>
  <si>
    <t>z toho: vratka části nevyčerpané neinvest.dotace na činnost soc.právní ochrany dětí za r. 2021 (ÚZ 13011)</t>
  </si>
  <si>
    <r>
      <t xml:space="preserve">           </t>
    </r>
    <r>
      <rPr>
        <sz val="10"/>
        <rFont val="Arial CE"/>
      </rPr>
      <t xml:space="preserve"> vratka nevyčerpané neinvest.dotace "Asistence pro sčítací komisaře" (ÚZ 98033)</t>
    </r>
  </si>
  <si>
    <r>
      <t xml:space="preserve">           </t>
    </r>
    <r>
      <rPr>
        <sz val="10"/>
        <rFont val="Arial CE"/>
      </rPr>
      <t xml:space="preserve"> vratka části nevyčerpané neinvest.dotace pro SVČ Fokus - soutěže (ÚZ 33166)</t>
    </r>
  </si>
  <si>
    <r>
      <t xml:space="preserve">            členství města ve svazech a sdruž. </t>
    </r>
    <r>
      <rPr>
        <sz val="10"/>
        <rFont val="Arial CE"/>
      </rPr>
      <t>(org.1010):</t>
    </r>
    <r>
      <rPr>
        <sz val="9"/>
        <rFont val="Arial CE"/>
      </rPr>
      <t xml:space="preserve"> </t>
    </r>
    <r>
      <rPr>
        <sz val="10"/>
        <rFont val="Arial CE"/>
      </rPr>
      <t>Partnerství pro městskou mobilitu (bývalá Asociace cykloměst) 5, MAS Lašsko 80, Národní síť zdravých měst 44,7735, Svaz měst a obcí 76,89776, Sdružení historických sídel 28,195, EUROREGION SILESIA-CZ 58,74, ...,</t>
    </r>
  </si>
  <si>
    <t xml:space="preserve">            finanční prostředky města ve Sberbank</t>
  </si>
  <si>
    <r>
      <t xml:space="preserve">Schválený rozpočet                                                        1.pol. 2023                                                                                                                                                                                                                                                                                                                                                                                                                      </t>
    </r>
    <r>
      <rPr>
        <sz val="9"/>
        <rFont val="Arial CE"/>
      </rPr>
      <t xml:space="preserve"> (v Kč)   </t>
    </r>
    <r>
      <rPr>
        <b/>
        <sz val="9"/>
        <rFont val="Arial CE"/>
      </rPr>
      <t xml:space="preserve">        </t>
    </r>
    <r>
      <rPr>
        <b/>
        <sz val="12"/>
        <rFont val="Arial CE"/>
      </rPr>
      <t xml:space="preserve">                                                                                                                                                                  </t>
    </r>
  </si>
  <si>
    <r>
      <t xml:space="preserve">Upravený rozpočet                                                        1.pol. 2023                                                                                                                                                                                                                                                                                                                                                                                                                      </t>
    </r>
    <r>
      <rPr>
        <sz val="9"/>
        <rFont val="Arial CE"/>
      </rPr>
      <t xml:space="preserve"> (v Kč)   </t>
    </r>
    <r>
      <rPr>
        <b/>
        <sz val="9"/>
        <rFont val="Arial CE"/>
      </rPr>
      <t xml:space="preserve">        </t>
    </r>
    <r>
      <rPr>
        <b/>
        <sz val="12"/>
        <rFont val="Arial CE"/>
      </rPr>
      <t xml:space="preserve">                                                                                                                                                                  </t>
    </r>
  </si>
  <si>
    <r>
      <t xml:space="preserve">Skutečnost za
1.pol. 2023
</t>
    </r>
    <r>
      <rPr>
        <sz val="9"/>
        <rFont val="Arial CE"/>
      </rPr>
      <t>v Kč</t>
    </r>
  </si>
  <si>
    <t>1.pol.2022</t>
  </si>
  <si>
    <t>loni</t>
  </si>
  <si>
    <t>UR-letos</t>
  </si>
  <si>
    <t>skut-letos</t>
  </si>
  <si>
    <t>ORJ 035+031 - Odbor životního prostředí</t>
  </si>
  <si>
    <t>ORJ 04x - Odbor územního plánování a stavebního řádu</t>
  </si>
  <si>
    <r>
      <t xml:space="preserve">z toho: Obecní živnostenský úřad </t>
    </r>
    <r>
      <rPr>
        <sz val="9"/>
        <rFont val="Arial CE"/>
      </rPr>
      <t>(nové a změnové výpisy z živnost.rejstříku 375, vydání výpisů z živnost. rejstříku 1, vydání povolení k hernímu prostoru 20, osvědčení zemědělský podnikatel 4)</t>
    </r>
  </si>
  <si>
    <t xml:space="preserve">           Odbor dopravy</t>
  </si>
  <si>
    <t xml:space="preserve">           § 1019 ostatní zeměděl.a potravinářská činnost</t>
  </si>
  <si>
    <t xml:space="preserve">           § 3319 reprezentační ples města NJ</t>
  </si>
  <si>
    <t xml:space="preserve">           § 3322 spoluúčast na pořízení domovních čísel v MPR</t>
  </si>
  <si>
    <t xml:space="preserve">             § 2219 smluvní pokuta parkoviště, chodníky (OSM, OD)</t>
  </si>
  <si>
    <t xml:space="preserve">             § 2223 pokuty vážení (odbor dopravy)</t>
  </si>
  <si>
    <t xml:space="preserve">             § 3612 smluvní pokuta bytové domy</t>
  </si>
  <si>
    <t xml:space="preserve">             § 3613 smluvní pokuta nebytové prostory - dodavatelé (odbor bytový)</t>
  </si>
  <si>
    <r>
      <t xml:space="preserve">             § 6171 pokuty </t>
    </r>
    <r>
      <rPr>
        <sz val="9"/>
        <rFont val="Arial CE"/>
      </rPr>
      <t>(Odbor finanční)</t>
    </r>
  </si>
  <si>
    <r>
      <t xml:space="preserve">z toho: § 3111 MŠ vratky příspěvků na energie </t>
    </r>
    <r>
      <rPr>
        <sz val="9"/>
        <rFont val="Arial CE"/>
      </rPr>
      <t>(Sady 159,66195+Máj 91,05159)</t>
    </r>
  </si>
  <si>
    <t xml:space="preserve">            § 3412 Zimní stadion -vratky příspěvků na energie a provoz </t>
  </si>
  <si>
    <t xml:space="preserve">            § 6402 SVČ Fokus vratka nevyčerp.dotace 2022 z MSK Podpora okr.a kraj soutěží úz 133</t>
  </si>
  <si>
    <t xml:space="preserve">            § 6402 SVČ Fokus vratka nevyčerp.dotace 2022 z MŠKTV Podpora okr.a kraj soutěží úz 33166</t>
  </si>
  <si>
    <t xml:space="preserve">            § 6402 TSM vratka nevyčerp.příspěvku 2022 </t>
  </si>
  <si>
    <t xml:space="preserve">           § 3635 územní plánování</t>
  </si>
  <si>
    <t xml:space="preserve">           § 3769 ostatní správa v ochraně ŽP</t>
  </si>
  <si>
    <t xml:space="preserve">           § 6221 paušální náhr.- nouzové ubyt.uprchlíkům z UK - z MSK (úz 900, ZJ100)</t>
  </si>
  <si>
    <r>
      <t xml:space="preserve">           § 3429 chata Jičínka </t>
    </r>
    <r>
      <rPr>
        <sz val="10"/>
        <rFont val="Arial CE"/>
      </rPr>
      <t>(org. 4381)=účet 2310440, OSM kovošrot 0,310 + ostatní=účet 2310600</t>
    </r>
  </si>
  <si>
    <t xml:space="preserve">           § 6310 obecné příjmy j.n. - platební brána</t>
  </si>
  <si>
    <t xml:space="preserve">           § 6171 a § 6409 odbor organizační </t>
  </si>
  <si>
    <r>
      <t xml:space="preserve">            </t>
    </r>
    <r>
      <rPr>
        <sz val="10"/>
        <rFont val="Arial CE"/>
      </rPr>
      <t xml:space="preserve"> RWE Gas Storage CZ, sro-spolufinancování workoutového hřiště v NJ-Žilině</t>
    </r>
  </si>
  <si>
    <t>z toho:  na volby prezidenta ČR (ÚZ 98008)</t>
  </si>
  <si>
    <t xml:space="preserve">            na volby do Senátu a zast.obcí (ÚZ 98187) - dopl. 2022</t>
  </si>
  <si>
    <r>
      <t xml:space="preserve">z toho:  MPSV - OP Zaměstnanost - projekt Efektivní veřejná správa </t>
    </r>
    <r>
      <rPr>
        <sz val="9"/>
        <rFont val="Arial CE"/>
      </rPr>
      <t>(ÚZ 13013) - dopl 2022</t>
    </r>
  </si>
  <si>
    <r>
      <t xml:space="preserve">            MPSV - Výkon soc.práce mimo sociálně právní ochrany dětí </t>
    </r>
    <r>
      <rPr>
        <sz val="9"/>
        <rFont val="Arial CE"/>
      </rPr>
      <t>(ÚZ 13015)</t>
    </r>
  </si>
  <si>
    <r>
      <t xml:space="preserve">            MPSV - Výkon sociálněprávní ochrany dětí </t>
    </r>
    <r>
      <rPr>
        <sz val="9"/>
        <rFont val="Arial CE"/>
      </rPr>
      <t>(ÚZ 13024)</t>
    </r>
  </si>
  <si>
    <r>
      <t xml:space="preserve">            MMR IROP Jičínská  272 - revitalizaci bytového domu </t>
    </r>
    <r>
      <rPr>
        <sz val="9"/>
        <rFont val="Arial"/>
      </rPr>
      <t>(ÚZ 17015,17016 NZ 107 1,5) - dopl. 2022</t>
    </r>
  </si>
  <si>
    <r>
      <t xml:space="preserve">            MMR IROP Jičínská  275 - revitalizaci bytového domu </t>
    </r>
    <r>
      <rPr>
        <sz val="9"/>
        <rFont val="Arial"/>
      </rPr>
      <t>(ÚZ 17015,17016 NZ 107 1,5) - dopl. 2022</t>
    </r>
  </si>
  <si>
    <t xml:space="preserve">            MZe-ekologické hospodaření v lesích (ÚZ 29015)</t>
  </si>
  <si>
    <t xml:space="preserve">            MZe-Národní plán obnovy (ÚZ 29031)</t>
  </si>
  <si>
    <t xml:space="preserve">            MŠMT-NIV-SR/EU-OP Jan Amos Komenský P2-ZŠ K66 (ÚZ 33092)</t>
  </si>
  <si>
    <t xml:space="preserve">            MŠMT-NIV-SR/EU-OP Jan Amos Komenský P2-ZŠ Tyrš (ÚZ 33092)</t>
  </si>
  <si>
    <t xml:space="preserve">            MŠMT-NIV-SR/EU-OP Jan Amos Komenský P2-SVČ Fokus (ÚZ 33092)</t>
  </si>
  <si>
    <r>
      <t xml:space="preserve">            MK - Podpora obnovy kulturních památek v ORP-pomník J.G.Mendela </t>
    </r>
    <r>
      <rPr>
        <sz val="9"/>
        <rFont val="Arial CE"/>
      </rPr>
      <t>(ÚZ 34002)</t>
    </r>
  </si>
  <si>
    <t xml:space="preserve">            MK - Oprava střechy na budově radnice (ÚZ 34054)</t>
  </si>
  <si>
    <r>
      <t>z toho:  Zajištění výkonu regionálních funkcí knihoven - pro MěKS</t>
    </r>
    <r>
      <rPr>
        <sz val="9"/>
        <rFont val="Arial CE"/>
      </rPr>
      <t xml:space="preserve"> (ÚZ 345)</t>
    </r>
  </si>
  <si>
    <r>
      <t xml:space="preserve">            Podpora turistických informačních center v MSK - pro Návštěvnické centrum NJ </t>
    </r>
    <r>
      <rPr>
        <sz val="9"/>
        <rFont val="Arial CE"/>
      </rPr>
      <t>(ÚZ 673)</t>
    </r>
  </si>
  <si>
    <r>
      <t xml:space="preserve">            Podpora technických atraktivit v NJ - pro Návštěvnické centrum NJ </t>
    </r>
    <r>
      <rPr>
        <sz val="9"/>
        <rFont val="Arial CE"/>
      </rPr>
      <t>(ÚZ 693)</t>
    </r>
  </si>
  <si>
    <r>
      <t xml:space="preserve">            Společná stezka pro chodce a cyklisty Rybníčky </t>
    </r>
    <r>
      <rPr>
        <sz val="9"/>
        <rFont val="Arial CE"/>
      </rPr>
      <t>(ÚZ 711)</t>
    </r>
  </si>
  <si>
    <r>
      <t xml:space="preserve">            Zajištění okresních a krajských přehlídek a soutěží typu A a B - pro SVČ Fokus </t>
    </r>
    <r>
      <rPr>
        <sz val="9"/>
        <rFont val="Arial CE"/>
      </rPr>
      <t>(ÚZ 833)</t>
    </r>
  </si>
  <si>
    <r>
      <t xml:space="preserve">            Zajištění dočasného nouzového ubytování pro uprchlíky z Ukrajiny </t>
    </r>
    <r>
      <rPr>
        <sz val="9"/>
        <rFont val="Arial CE"/>
      </rPr>
      <t xml:space="preserve">(ÚZ 900)    </t>
    </r>
  </si>
  <si>
    <r>
      <t xml:space="preserve">            Poskyt.bezpl.stravy pro děti ze znevýh rodin </t>
    </r>
    <r>
      <rPr>
        <sz val="9"/>
        <rFont val="Arial CE"/>
      </rPr>
      <t>ZŠ+MŠ Jub, ZŠ K66, ZŠ K68</t>
    </r>
    <r>
      <rPr>
        <sz val="10"/>
        <rFont val="Arial CE"/>
      </rPr>
      <t xml:space="preserve"> (ÚZ 913)</t>
    </r>
  </si>
  <si>
    <r>
      <t xml:space="preserve">            Poskytování sociálních služeb - pro Prosenior NJ </t>
    </r>
    <r>
      <rPr>
        <sz val="9"/>
        <rFont val="Arial CE"/>
      </rPr>
      <t>(ÚZ 914)</t>
    </r>
    <r>
      <rPr>
        <sz val="10"/>
        <rFont val="Arial CE"/>
      </rPr>
      <t xml:space="preserve"> </t>
    </r>
  </si>
  <si>
    <r>
      <t>2360100/</t>
    </r>
    <r>
      <rPr>
        <b/>
        <sz val="9"/>
        <rFont val="Arial CE"/>
      </rPr>
      <t>4134</t>
    </r>
  </si>
  <si>
    <r>
      <t xml:space="preserve">            MMR nákup vozidel pro PS NJ (90%)</t>
    </r>
    <r>
      <rPr>
        <sz val="9"/>
        <rFont val="Arial CE"/>
      </rPr>
      <t xml:space="preserve"> (ÚZ 17969 N107 Z5)</t>
    </r>
  </si>
  <si>
    <t>z toho: MPSV - OP Zaměstnanost - Projekt Efektivní veřejná správa (ÚZ 13013)</t>
  </si>
  <si>
    <r>
      <t xml:space="preserve">            MMR IROP Jičínská  272 - revitalizaci bytového domu </t>
    </r>
    <r>
      <rPr>
        <sz val="9"/>
        <rFont val="Arial"/>
      </rPr>
      <t>(odbor bytový) (ÚZ 17968,17969 NZ 107 1,5)</t>
    </r>
  </si>
  <si>
    <r>
      <t xml:space="preserve">            MMR IROP Jičínská  275 - revitalizaci bytového domu </t>
    </r>
    <r>
      <rPr>
        <sz val="9"/>
        <rFont val="Arial"/>
      </rPr>
      <t>(odbor bytový) (ÚZ 17968,17969 NZ 107 1,5)</t>
    </r>
  </si>
  <si>
    <t xml:space="preserve">            MMR IROP Chodník k autobusové zastávce Bocheta (ÚZ 17969, Ná107 Z5)</t>
  </si>
  <si>
    <r>
      <t xml:space="preserve">z toho: Podpora technických atraktivit v NJ - pro Návštěvnické centrum NJ </t>
    </r>
    <r>
      <rPr>
        <sz val="9"/>
        <rFont val="Arial CE"/>
      </rPr>
      <t>(ÚZ 693)</t>
    </r>
  </si>
  <si>
    <r>
      <t xml:space="preserve">            Regenerace panelového sídliště Nerudova NJ PD </t>
    </r>
    <r>
      <rPr>
        <sz val="9"/>
        <rFont val="Arial CE"/>
      </rPr>
      <t>(ÚZ 611)</t>
    </r>
  </si>
  <si>
    <t>0387/2310/5362</t>
  </si>
  <si>
    <t xml:space="preserve">          platby daní a poplatků</t>
  </si>
  <si>
    <t xml:space="preserve">                revize, poplatky, PD k opravám, výkon služeb povinnosti vlastníka kanalizace (DPH)</t>
  </si>
  <si>
    <t xml:space="preserve">                   Přístřešek na autobusové zastávce  na ul. Gregorova u zdravotního střediska </t>
  </si>
  <si>
    <t xml:space="preserve">           služby - revize, poplatky</t>
  </si>
  <si>
    <t xml:space="preserve">           opravy autobusových přístřešků</t>
  </si>
  <si>
    <r>
      <t xml:space="preserve">Sportovní zařízení ve vlastnictví obce </t>
    </r>
    <r>
      <rPr>
        <sz val="9"/>
        <rFont val="Arial CE"/>
      </rPr>
      <t>(účet 2310800)</t>
    </r>
  </si>
  <si>
    <t>0382/3412/6121</t>
  </si>
  <si>
    <t xml:space="preserve">             Workoutové hřiště NJ-Žilina</t>
  </si>
  <si>
    <t xml:space="preserve"> investice:  Houpačka Kojetín-participat.rozpočet</t>
  </si>
  <si>
    <t>3902/3631/6121</t>
  </si>
  <si>
    <t xml:space="preserve">                    VO B.Martinů, K Nemocnici PD</t>
  </si>
  <si>
    <t xml:space="preserve">                    VO Štefánikova PD</t>
  </si>
  <si>
    <t>0382/3699/5139</t>
  </si>
  <si>
    <t xml:space="preserve"> mobiliář (město)- 3ks odpadkových košů v Lesoparku Skalky</t>
  </si>
  <si>
    <t xml:space="preserve">                     Komunikace U Mlýna - dolní konec (úsek č.p. 122 - Potoční č.p.265) PD</t>
  </si>
  <si>
    <t>6100/2212/6121</t>
  </si>
  <si>
    <t xml:space="preserve">                     Rekonstrukce mostu Na Poříčí u č.p.53</t>
  </si>
  <si>
    <t xml:space="preserve">                    Chodník Žilina, Pstruží potok - Životice PD</t>
  </si>
  <si>
    <t xml:space="preserve">                    Parkovací stání-odstavné plochy Dlouhá (Palackého - Budovatelů) </t>
  </si>
  <si>
    <t xml:space="preserve">                    Parkoviště Vančurova 2-10, u restaurace Máj - podelná stání PD (KSD 35)</t>
  </si>
  <si>
    <t xml:space="preserve">                    Parkoviště Luční p.č. 218/9 (KSD 23)   (vratka za přeložku ČEZ)</t>
  </si>
  <si>
    <t xml:space="preserve">                    Regenerace PS Nerudova I. etapa 3.400+2.200 úz92501 +22,018 úz611</t>
  </si>
  <si>
    <t xml:space="preserve">                    Cyklostezka B. Martinů PD vč.dotace úz 711</t>
  </si>
  <si>
    <t>3111-3113</t>
  </si>
  <si>
    <r>
      <t xml:space="preserve">Předškolní zařízení + základní školy </t>
    </r>
    <r>
      <rPr>
        <sz val="9"/>
        <rFont val="Arial CE"/>
      </rPr>
      <t>(účet 2310800)</t>
    </r>
  </si>
  <si>
    <t>1402/3111/6121</t>
  </si>
  <si>
    <t xml:space="preserve">                   MŠ Komenského - revitalizace zahrady </t>
  </si>
  <si>
    <t>1407/3113/6121</t>
  </si>
  <si>
    <t>1408/3113/51xx</t>
  </si>
  <si>
    <t>1409/3113/51xx</t>
  </si>
  <si>
    <t>1410/3113/6125</t>
  </si>
  <si>
    <t>1411/3113/6121</t>
  </si>
  <si>
    <t>1388/3639/5xxx</t>
  </si>
  <si>
    <t xml:space="preserve">                    Architektonická soutěž Hala Jičínka - ocenění soutěžících</t>
  </si>
  <si>
    <t>1388/3639/5169,5213</t>
  </si>
  <si>
    <t xml:space="preserve">                    Rozvojové plány a studie 2030; administrace projektu 772; Zdravé město 60; participativní rozpočet 400+200 z roku 2022 Psí hřiště+100 z roku 2021 Houpačka</t>
  </si>
  <si>
    <t>0504/3311/51xx</t>
  </si>
  <si>
    <t xml:space="preserve">                   Městská knihovna - rekonstrukce knihovního domku PD</t>
  </si>
  <si>
    <t>3722/2321/51xx</t>
  </si>
  <si>
    <t xml:space="preserve">                   oprava kanalizační přípojky na Zimním stadionu NJ</t>
  </si>
  <si>
    <t>3726/3612/6121</t>
  </si>
  <si>
    <t>3723/3612/51xx</t>
  </si>
  <si>
    <t xml:space="preserve">                   Oprava volného bytu č.1 Jungmannova 26/2</t>
  </si>
  <si>
    <t>3724/3612/51xx</t>
  </si>
  <si>
    <t xml:space="preserve">                   Oprava volného bytu č.2 Resslova 1213/1</t>
  </si>
  <si>
    <t xml:space="preserve">                   Přístavba hotelu Praha PD (kulturní dům)</t>
  </si>
  <si>
    <t>3721/3613/51xx</t>
  </si>
  <si>
    <t xml:space="preserve">                   Sokolovská 9 - oprava kanalizace</t>
  </si>
  <si>
    <t>3725/3613/6121</t>
  </si>
  <si>
    <t xml:space="preserve">                   Hotel Praha -stavební úpravy střešního světlíku a vzt nad kuchyní</t>
  </si>
  <si>
    <t xml:space="preserve">                    Výměna kotlů a spalinové cesty kotelny hotelu Praha </t>
  </si>
  <si>
    <t xml:space="preserve">                    Výstavba fotovoltaické elektrárny v objektu TSNJ PD+realizace</t>
  </si>
  <si>
    <r>
      <t xml:space="preserve">Osobní asistence, pečovatelská služba a podpora samostatnosi </t>
    </r>
    <r>
      <rPr>
        <sz val="9"/>
        <rFont val="Arial CE"/>
      </rPr>
      <t>(účet 2310800)</t>
    </r>
  </si>
  <si>
    <t>3901/3412/6121</t>
  </si>
  <si>
    <t xml:space="preserve">                   Veřejné psí hřiště-participativní rozpočet</t>
  </si>
  <si>
    <t xml:space="preserve">                   Kolumbárium, vsypová a rozptylová loučka PD, chodníky, sítě PD (TSM)</t>
  </si>
  <si>
    <r>
      <t xml:space="preserve">                              - příspěvek na investice </t>
    </r>
    <r>
      <rPr>
        <sz val="9"/>
        <rFont val="Arial CE"/>
      </rPr>
      <t>(ZŠ Jubilejní: 603,790 konvektomat, ZŠ Dlouhá: kamerový systém školního hřiště na ZŠ Dlouhá 600)</t>
    </r>
  </si>
  <si>
    <t>13289249,3</t>
  </si>
  <si>
    <r>
      <t>projekt Efektivní veřejná správa</t>
    </r>
    <r>
      <rPr>
        <sz val="9"/>
        <rFont val="Arial CE"/>
      </rPr>
      <t xml:space="preserve">- org </t>
    </r>
    <r>
      <rPr>
        <b/>
        <sz val="9"/>
        <rFont val="Arial CE"/>
      </rPr>
      <t>3388+3389</t>
    </r>
  </si>
  <si>
    <r>
      <t>Humanitární zahr.pomoc přímá</t>
    </r>
    <r>
      <rPr>
        <sz val="10"/>
        <rFont val="Arial CE"/>
      </rPr>
      <t>-zajištění dočas.nouz.přístřeší a ubyt.pro osoby prchající z UA (úz900,ZJ100)</t>
    </r>
  </si>
  <si>
    <r>
      <t>Záležitosti soc. věcí a politiky nezam. j.n.</t>
    </r>
    <r>
      <rPr>
        <b/>
        <sz val="9"/>
        <rFont val="Arial CE"/>
      </rPr>
      <t xml:space="preserve"> </t>
    </r>
    <r>
      <rPr>
        <sz val="9"/>
        <rFont val="Arial CE"/>
      </rPr>
      <t>(nákup tiskopisů receptů a žádanek na omamné látky)+prov.zál.25tis</t>
    </r>
  </si>
  <si>
    <t xml:space="preserve">             převod na účet Fond sociálních služeb</t>
  </si>
  <si>
    <t>z toho investice (org. 0390): nákup 2 vozidel (elektromobil 1300, hybrid 600)</t>
  </si>
  <si>
    <r>
      <t xml:space="preserve">z toho: TSM příspěvek na investice </t>
    </r>
    <r>
      <rPr>
        <sz val="9"/>
        <rFont val="Arial CE"/>
      </rPr>
      <t>(2023: natahovač kontejnerů s jeř 3,5 mil., košové vozidlo 3,663880)</t>
    </r>
  </si>
  <si>
    <r>
      <t xml:space="preserve">Využívání a zneškodňování komunálních odpadů </t>
    </r>
    <r>
      <rPr>
        <sz val="10"/>
        <rFont val="Arial CE"/>
      </rPr>
      <t>nákup kompostérů)</t>
    </r>
  </si>
  <si>
    <r>
      <rPr>
        <b/>
        <sz val="9"/>
        <rFont val="Arial CE"/>
      </rPr>
      <t>2321</t>
    </r>
    <r>
      <rPr>
        <sz val="9"/>
        <rFont val="Arial CE"/>
      </rPr>
      <t>/6371</t>
    </r>
  </si>
  <si>
    <r>
      <rPr>
        <b/>
        <sz val="9"/>
        <rFont val="Arial CE"/>
      </rPr>
      <t>3634</t>
    </r>
    <r>
      <rPr>
        <sz val="9"/>
        <rFont val="Arial CE"/>
      </rPr>
      <t>/6371</t>
    </r>
  </si>
  <si>
    <t xml:space="preserve">                                     - nákup 14 ks polohov.lehátek pro venkovní ochlazovnu (100), hliníkové nosné plošiny (80), odstředivka plavek (45.254) pol. 6122</t>
  </si>
  <si>
    <t xml:space="preserve">          - nákup DDHM a ost.materiálu  5137, 5139 </t>
  </si>
  <si>
    <t xml:space="preserve">              Příspěvek na investice TSM  (AÚ 0800, pol. 6351) garážová vrata, oplechování a zateplení garáží  </t>
  </si>
  <si>
    <t xml:space="preserve">            TSM - provoz veřejných WC+WC u letního kina AÚ 0800</t>
  </si>
  <si>
    <t xml:space="preserve">            komplexní řízení energetiky - nový software energetický management a roční poplatek (pol. 5168)</t>
  </si>
  <si>
    <t>z toho: doplatek energií za r. 2022 (MŠ + ZŠ)</t>
  </si>
  <si>
    <t>Krytí úroků z inv.úvěru u ČS,as</t>
  </si>
  <si>
    <t xml:space="preserve">                vratka části nevyčerp.dotace 2022 - SVČ Fokus-Podpora okr.a kraj.kol soutěží a přehl úz 133</t>
  </si>
  <si>
    <t xml:space="preserve">                vratka části nevyčerp.dotace 2022 - SVČ Fokus-Podpora okr.a kraj.kol soutěží a přehl úz 33166</t>
  </si>
  <si>
    <t xml:space="preserve">                vratka nečerp.dotace 2013-2022 - ÚP výkon pěstounské péče úz 13010</t>
  </si>
  <si>
    <t xml:space="preserve">                vratka části nevyčerpané dotace 2022 - OP Zaměstnanost úz 13013 (SR/EU)</t>
  </si>
  <si>
    <t xml:space="preserve">                vratka nečerp.dotace 2022 - volby prezidenta ČR-příprava úz 98008</t>
  </si>
  <si>
    <t xml:space="preserve">                doplatek přísp. 2022 - TSM</t>
  </si>
  <si>
    <t xml:space="preserve">           převody domněle neoprávněně použitých dotací zpět poskytovateli- OP Zaměstnanost úz 13013</t>
  </si>
  <si>
    <t xml:space="preserve">           mylné platby</t>
  </si>
  <si>
    <r>
      <t xml:space="preserve">Upravený rozpočet                                                         2023                                                                                                                                                                                                                                                                                                                                                                                                                      </t>
    </r>
    <r>
      <rPr>
        <sz val="9"/>
        <rFont val="Arial CE"/>
      </rPr>
      <t xml:space="preserve"> (v Kč)   </t>
    </r>
    <r>
      <rPr>
        <b/>
        <sz val="9"/>
        <rFont val="Arial CE"/>
      </rPr>
      <t xml:space="preserve">        </t>
    </r>
    <r>
      <rPr>
        <b/>
        <sz val="12"/>
        <rFont val="Arial CE"/>
      </rPr>
      <t xml:space="preserve">                                                                                                                                                                  </t>
    </r>
  </si>
  <si>
    <t xml:space="preserve">            § 3113 ZŠ vratky příspěvků na energie </t>
  </si>
  <si>
    <t xml:space="preserve">            § 3632 úspora příspěvku 2022 na správu hřbitova</t>
  </si>
  <si>
    <t xml:space="preserve">           § 6221 paušální náhr.-nouzové ubyt.uprchlíkům z UK - z MSK (úz 900, ZJ100)</t>
  </si>
  <si>
    <t>z toho: příspěvek obcím ke zmírnění dopadu zákona o kompenzačním bonusu v roce 2021  (ÚZ98037)</t>
  </si>
  <si>
    <t xml:space="preserve">            příspěvek obcím ke zmírnění dopadu zákona o kompenzačním bonusu v roce 2021 (ÚZ 98043) </t>
  </si>
  <si>
    <t xml:space="preserve">            na volby prezidenta ČR (ÚZ 98008)</t>
  </si>
  <si>
    <r>
      <t xml:space="preserve">            IROP MMR Jičínská  272 - revitalizaci bytového domu </t>
    </r>
    <r>
      <rPr>
        <sz val="9"/>
        <rFont val="Arial"/>
      </rPr>
      <t>(odbor bytový) (ÚZ 17015,17016 NZ 107 1,5)</t>
    </r>
  </si>
  <si>
    <r>
      <t xml:space="preserve">            IROP MMR Jičínská  275 - revitalizaci bytového domu </t>
    </r>
    <r>
      <rPr>
        <sz val="9"/>
        <rFont val="Arial"/>
      </rPr>
      <t>(odbor bytový) (ÚZ 17015,17016 NZ 107 1,5)</t>
    </r>
  </si>
  <si>
    <r>
      <t xml:space="preserve">            MK - Modernizace automat.knihovn.systému v Městské knihovně-pro MěKS NJ </t>
    </r>
    <r>
      <rPr>
        <sz val="9"/>
        <rFont val="Arial CE"/>
      </rPr>
      <t>(ÚZ 34053)</t>
    </r>
  </si>
  <si>
    <r>
      <t xml:space="preserve">            IROP MMR Jičínská  272 - revitalizaci bytového domu </t>
    </r>
    <r>
      <rPr>
        <sz val="9"/>
        <rFont val="Arial"/>
      </rPr>
      <t>(odbor bytový) (ÚZ 17968,17969 NZ 107 1,5)</t>
    </r>
  </si>
  <si>
    <r>
      <t xml:space="preserve">            IROP MMR Jičínská  275 - revitalizaci bytového domu </t>
    </r>
    <r>
      <rPr>
        <sz val="9"/>
        <rFont val="Arial"/>
      </rPr>
      <t>(odbor bytový) (ÚZ 17968,17969 NZ 107 1,5)</t>
    </r>
  </si>
  <si>
    <t>3722/2321/5171</t>
  </si>
  <si>
    <t xml:space="preserve">                      oprava kanalizační přípojky na Zimním stadionu NJ</t>
  </si>
  <si>
    <t>1388/3639/5021,5212,5532</t>
  </si>
  <si>
    <t>3723/3612/5171</t>
  </si>
  <si>
    <t xml:space="preserve">                   oprava volného bytu č.1 Jungmannova 26/2</t>
  </si>
  <si>
    <t>3724/3612/5171</t>
  </si>
  <si>
    <t xml:space="preserve">                   oprava volného bytu č.2 Jungmannova 26/2</t>
  </si>
  <si>
    <t>3721/3613/5171</t>
  </si>
  <si>
    <t xml:space="preserve">                    Veřejné psí hřiště-participativní rozpočet</t>
  </si>
  <si>
    <t xml:space="preserve">              Příspěvek na investice TSM  (AÚ 0800, pol. 6351) garážová vrata </t>
  </si>
  <si>
    <t xml:space="preserve">              Příspěvek na inv TSM  výměna PVC v šatně - 120.000 Kč, oprava venkovního schodiště a opěrné zídky v areálu TS Nový Jičín - 60.000 Kč, oplechování a zateplení garáží - 110.000 Kč, výměna sloupů VO - 40.000 Kč) - AÚ 0800, pol. 6351</t>
  </si>
  <si>
    <t xml:space="preserve">                vratka nečerp.dotace 2022 - volby prezidenta ČR-příprava</t>
  </si>
  <si>
    <t xml:space="preserve">                vratka nečerp.dotace 2013-2022 - ÚP výkon pěstounské péče</t>
  </si>
  <si>
    <t>Město Nový Jičín</t>
  </si>
  <si>
    <t>Závěrečný propočet výsledků hospodaření</t>
  </si>
  <si>
    <t xml:space="preserve">dle výkazu 040 </t>
  </si>
  <si>
    <t>období:</t>
  </si>
  <si>
    <t>1.pol. 2023</t>
  </si>
  <si>
    <t>skutečnost</t>
  </si>
  <si>
    <t>UR</t>
  </si>
  <si>
    <t>po konsolidaci</t>
  </si>
  <si>
    <t>ř. 4200</t>
  </si>
  <si>
    <t xml:space="preserve"> +  převod soc. fond</t>
  </si>
  <si>
    <t>ř. 4281</t>
  </si>
  <si>
    <t xml:space="preserve">  +  třída 8 financování</t>
  </si>
  <si>
    <t>ř. 8000</t>
  </si>
  <si>
    <t>Zdroje celkem</t>
  </si>
  <si>
    <t>ř. 4430</t>
  </si>
  <si>
    <t>ř.4430-4220+4281=Výcelk-tř.6</t>
  </si>
  <si>
    <t>z toho</t>
  </si>
  <si>
    <t>tř. 5</t>
  </si>
  <si>
    <t>tř. 6</t>
  </si>
  <si>
    <t>ř. 4220</t>
  </si>
  <si>
    <t xml:space="preserve">celkem </t>
  </si>
  <si>
    <t>Třída 4 - včetně převodů</t>
  </si>
  <si>
    <t>ř. 4040</t>
  </si>
  <si>
    <t>ř. 4130</t>
  </si>
  <si>
    <t>ř. 4140</t>
  </si>
  <si>
    <t>ř. 4150</t>
  </si>
  <si>
    <t>převody celkem</t>
  </si>
  <si>
    <t>(kontrola ř.4250)</t>
  </si>
  <si>
    <t>Třída 4 - bez převodů</t>
  </si>
  <si>
    <t>Třída 4 - do tabulek</t>
  </si>
  <si>
    <t>Vyhotovila: Holíková</t>
  </si>
  <si>
    <t>rozpočet</t>
  </si>
  <si>
    <t>Třída 1</t>
  </si>
  <si>
    <t>ř. 4010</t>
  </si>
  <si>
    <t>Třída 2</t>
  </si>
  <si>
    <t>ř. 4020</t>
  </si>
  <si>
    <t>Třída 3</t>
  </si>
  <si>
    <t>ř. 4030</t>
  </si>
  <si>
    <t>Třída 4</t>
  </si>
  <si>
    <t>(tab) viz výše</t>
  </si>
  <si>
    <t>Třída 8</t>
  </si>
  <si>
    <t>Kapitola 741</t>
  </si>
  <si>
    <t>celkem</t>
  </si>
  <si>
    <t>Finanční přehledy</t>
  </si>
  <si>
    <t xml:space="preserve"> výdaje 741 celkem</t>
  </si>
  <si>
    <r>
      <t xml:space="preserve"> </t>
    </r>
    <r>
      <rPr>
        <sz val="10"/>
        <rFont val="Arial CE"/>
      </rPr>
      <t xml:space="preserve">  -</t>
    </r>
  </si>
  <si>
    <t>převody</t>
  </si>
  <si>
    <t>§ 6330 53xx</t>
  </si>
  <si>
    <t xml:space="preserve"> 741 / 6330 / 53xx</t>
  </si>
  <si>
    <t>Kapitola 741 výdaje - čistá do tabulek</t>
  </si>
  <si>
    <t>kap 741 celá</t>
  </si>
  <si>
    <t>minus převody § 6330</t>
  </si>
  <si>
    <t>Výsledky hospodaření města Nový Jičín 
za rok 2023</t>
  </si>
  <si>
    <r>
      <t xml:space="preserve">Schválený rozpočet                                                        rok 2023                                                                                                                                                                                                                                                                                                                                                                                                                      </t>
    </r>
    <r>
      <rPr>
        <sz val="9"/>
        <rFont val="Arial CE"/>
      </rPr>
      <t xml:space="preserve"> (v Kč)   </t>
    </r>
    <r>
      <rPr>
        <b/>
        <sz val="9"/>
        <rFont val="Arial CE"/>
      </rPr>
      <t xml:space="preserve">        </t>
    </r>
    <r>
      <rPr>
        <b/>
        <sz val="12"/>
        <rFont val="Arial CE"/>
      </rPr>
      <t xml:space="preserve">                                                                                                                                                                  </t>
    </r>
  </si>
  <si>
    <r>
      <t xml:space="preserve">Upravený rozpočet                                                        rok 2023                                                                                                                                                                                                                                                                                                                                                                                                                      </t>
    </r>
    <r>
      <rPr>
        <sz val="9"/>
        <rFont val="Arial CE"/>
      </rPr>
      <t xml:space="preserve"> (v Kč)   </t>
    </r>
    <r>
      <rPr>
        <b/>
        <sz val="9"/>
        <rFont val="Arial CE"/>
      </rPr>
      <t xml:space="preserve">        </t>
    </r>
    <r>
      <rPr>
        <b/>
        <sz val="12"/>
        <rFont val="Arial CE"/>
      </rPr>
      <t xml:space="preserve">                                                                                                                                                                  </t>
    </r>
  </si>
  <si>
    <r>
      <t xml:space="preserve">Skutečnost za
rok. 2023
</t>
    </r>
    <r>
      <rPr>
        <sz val="9"/>
        <rFont val="Arial CE"/>
      </rPr>
      <t>v Kč</t>
    </r>
  </si>
  <si>
    <t>rok 2022</t>
  </si>
  <si>
    <t>skut-loni</t>
  </si>
  <si>
    <t>Příjem zezrušených odvodů z loterií apod.her mimo VHP</t>
  </si>
  <si>
    <t xml:space="preserve">           § 2212 silnice</t>
  </si>
  <si>
    <r>
      <t xml:space="preserve">             § 6171 pokuty </t>
    </r>
    <r>
      <rPr>
        <sz val="9"/>
        <rFont val="Arial CE"/>
      </rPr>
      <t>(Odbor organizační)</t>
    </r>
  </si>
  <si>
    <t xml:space="preserve">            § 6402 MŠ Trojlístek vratka nevyčerp.dotace 2022 z MSK obědy do škol úz 13014 SR/EU 15+85%</t>
  </si>
  <si>
    <t>Příjem z prodeje krd a drobného dld majetku</t>
  </si>
  <si>
    <r>
      <rPr>
        <sz val="10"/>
        <rFont val="Arial CE"/>
      </rPr>
      <t xml:space="preserve">         </t>
    </r>
    <r>
      <rPr>
        <b/>
        <sz val="10"/>
        <rFont val="Arial CE"/>
      </rPr>
      <t xml:space="preserve"> </t>
    </r>
    <r>
      <rPr>
        <sz val="10"/>
        <rFont val="Arial CE"/>
      </rPr>
      <t xml:space="preserve"> § 1036 správa v lesním hospodářství</t>
    </r>
  </si>
  <si>
    <t xml:space="preserve">           § 2310 pitná voda</t>
  </si>
  <si>
    <t xml:space="preserve">           § 3633 výstavba a údržba místních IS-CTP Moravia North as- přípojka ČEZ</t>
  </si>
  <si>
    <r>
      <t xml:space="preserve">           § 3639 provoz internetu ve Straníku + kovošrot </t>
    </r>
    <r>
      <rPr>
        <sz val="10"/>
        <rFont val="Arial CE"/>
      </rPr>
      <t>(odbor správy majetku)</t>
    </r>
  </si>
  <si>
    <t>Příjem z prodeje ost. HDM -os.vozidlo Dacia Duster</t>
  </si>
  <si>
    <r>
      <t xml:space="preserve">            </t>
    </r>
    <r>
      <rPr>
        <sz val="10"/>
        <rFont val="Arial CE"/>
      </rPr>
      <t xml:space="preserve"> ČSAD NJ - rekonstrukce příjezdové komunikace do areálu</t>
    </r>
  </si>
  <si>
    <r>
      <t xml:space="preserve">            MPSV - Výkon sociálněprávní ochrany dětí </t>
    </r>
    <r>
      <rPr>
        <sz val="9"/>
        <rFont val="Arial CE"/>
      </rPr>
      <t>(ÚZ 13024) - dopl. 2022</t>
    </r>
  </si>
  <si>
    <r>
      <t xml:space="preserve">            MMR IROP nákup vozidel na alternativní pohon </t>
    </r>
    <r>
      <rPr>
        <sz val="9"/>
        <rFont val="Arial"/>
      </rPr>
      <t>(ÚZ 17015,17016 NZ 107 1,5)</t>
    </r>
  </si>
  <si>
    <t xml:space="preserve">            MŠMT-NIV-SR/EU-OP Jan Amos Komenský P2-ZŠ+MŠ Jub (ÚZ 33092)</t>
  </si>
  <si>
    <t xml:space="preserve">            MK - Výměna oken radnice ul. Úzká (ÚZ 34054)</t>
  </si>
  <si>
    <t>z toho:  Potravinová pomoc dětem v soc.nouzi-ZŠ+MŠ Jub (SR úz 253=4.900 + EU úz 911=44.100)</t>
  </si>
  <si>
    <t xml:space="preserve">            Potravinová pomoc dětem v soc.nouzi ZŠ K66 (SR úz 253=7.519 + EU úz 911=67.671)</t>
  </si>
  <si>
    <t xml:space="preserve">            Potravinová pomoc dětem v soc.nouzi ZŠ K68 (SR úz 253=6.798 + EU úz 911=61.182)</t>
  </si>
  <si>
    <r>
      <t xml:space="preserve">            Okresní a krajská kola soutěží vyhlášená pro rok 2023 - SVČ Fokus </t>
    </r>
    <r>
      <rPr>
        <sz val="9"/>
        <rFont val="Arial CE"/>
      </rPr>
      <t>(ÚZ 910)</t>
    </r>
  </si>
  <si>
    <r>
      <t xml:space="preserve">Převody z rozpočtových účtů </t>
    </r>
    <r>
      <rPr>
        <sz val="9"/>
        <rFont val="Arial CE"/>
      </rPr>
      <t>(sociální fond 6.006.000 + FSS 508.023,13)</t>
    </r>
  </si>
  <si>
    <t xml:space="preserve">            MMR nákup vozidel pro PS NJ úz 92501</t>
  </si>
  <si>
    <t xml:space="preserve">            MMR - Program Ukrajina-rekonstrukce bytů Horní nádraží (dopl. 2022)</t>
  </si>
  <si>
    <r>
      <t xml:space="preserve">            MMR IROP nákup vozidel na alternativní pohon </t>
    </r>
    <r>
      <rPr>
        <sz val="9"/>
        <rFont val="Arial"/>
      </rPr>
      <t xml:space="preserve"> (ÚZ 17968,17969 NZ 107 1,5)</t>
    </r>
  </si>
  <si>
    <t xml:space="preserve">             rodinné hřiště TJ Sokol NJ Žilina Lamberk</t>
  </si>
  <si>
    <t>0382/3631/51xx</t>
  </si>
  <si>
    <t xml:space="preserve">             služby, revize, prohlídky, materiál</t>
  </si>
  <si>
    <r>
      <t xml:space="preserve">Předškolní zařízení  </t>
    </r>
    <r>
      <rPr>
        <sz val="9"/>
        <rFont val="Arial CE"/>
      </rPr>
      <t>(účet 2310800)</t>
    </r>
  </si>
  <si>
    <r>
      <t xml:space="preserve">Základní školy </t>
    </r>
    <r>
      <rPr>
        <sz val="9"/>
        <rFont val="Arial CE"/>
      </rPr>
      <t>(účet 2310800)</t>
    </r>
  </si>
  <si>
    <t>1412/3412/6121</t>
  </si>
  <si>
    <t xml:space="preserve">                   ZŠ Komenského 66 - školní hřiště</t>
  </si>
  <si>
    <t>1413/3412/6121</t>
  </si>
  <si>
    <t xml:space="preserve">                   ZŠ Jubilejní - školní hřiště</t>
  </si>
  <si>
    <t>1388/3613/516x</t>
  </si>
  <si>
    <t>1900/6171/51xx</t>
  </si>
  <si>
    <t>1901/6171/51xx</t>
  </si>
  <si>
    <t>Sběr a svoz komunál.odpadů</t>
  </si>
  <si>
    <t>3730/3722/6121</t>
  </si>
  <si>
    <t xml:space="preserve">                   Podzemní kontejnery PD</t>
  </si>
  <si>
    <t>27927809,97</t>
  </si>
  <si>
    <t xml:space="preserve">             individuální dotace z IP kraje 2022+ -Charita AD 1.644.000, Sl.Diakonie Soc.reh. 596.000, Jinak Podpora sam.bydlení 70.000 + zapojení Fondu soc.služeb v celk. výši 508.023,13</t>
  </si>
  <si>
    <t xml:space="preserve">             převod na účet Fond sociálních služeb § 6330 5349/4134</t>
  </si>
  <si>
    <t>z toho investice (org. 3900): nákup 2 vozidel (elektromobil 1300, hybrid 600)</t>
  </si>
  <si>
    <t xml:space="preserve">             - nákup DDHM a ost.materiálu  5137, 5139 </t>
  </si>
  <si>
    <t xml:space="preserve">             úsek 1 (p. Kabuďová ):  </t>
  </si>
  <si>
    <t xml:space="preserve">             úsek 2 (p. Honešová): </t>
  </si>
  <si>
    <t xml:space="preserve">              SK Straník 147 - realizace ČOV (nákup hmotného maj + PD přístřešku)</t>
  </si>
  <si>
    <t xml:space="preserve">            Hűckelovy vily - internetové připojení AÚ 0800, pol.5162</t>
  </si>
  <si>
    <t xml:space="preserve">                           Msgr. Šrámka 11 - zubní poliklinika - oprava omítek, střechy, atik (Agel-NP č.108 a 109)</t>
  </si>
  <si>
    <t xml:space="preserve">                                      Střecha tržnice - nátěr ocel.konstr.a oprava podlah (WC a kancelář), MŠ Beruška-plot, MN 29-Baby centrum-dveře</t>
  </si>
  <si>
    <t xml:space="preserve">                                     Hotel Praha - oprava kanalizační přípojky a dešťových svodů</t>
  </si>
  <si>
    <t xml:space="preserve">             vratka správních poplatků z minulých let</t>
  </si>
  <si>
    <t xml:space="preserve">             úhrady sankcí jiným rozpočtům</t>
  </si>
  <si>
    <t xml:space="preserve">                vratka části nevyčerp.dotace 2022 - OP Zaměstnanost úz 13013 SR/EU</t>
  </si>
  <si>
    <t xml:space="preserve">                vratka části nevyčerp.dotace 2022 - MŠ Trojlístek-obědy do škol  úz 13014 SR/EU 15+85%</t>
  </si>
  <si>
    <t>z toho:  Potravinová pomoc dětem v soc.nouzi-ZŠ+MŠ Jub SR úz 253=4.900 + EU úz 911=44.100</t>
  </si>
  <si>
    <t xml:space="preserve">            Potravinová pomoc dětem v soc.nouzi ZŠ K66 SR úz 253=7.519 + EU úz 911=67.671</t>
  </si>
  <si>
    <t xml:space="preserve">            Potravinová pomoc dětem v soc.nouzi ZŠ K68 SR úz 253=6.798 + EU úz 911=61.182</t>
  </si>
  <si>
    <t>rok 2023</t>
  </si>
  <si>
    <t xml:space="preserve"> +  převod FSS</t>
  </si>
  <si>
    <t>ř. 4310</t>
  </si>
  <si>
    <t xml:space="preserve"> +  převod soc. fond + FSS</t>
  </si>
  <si>
    <t>minus převody § 6330 741</t>
  </si>
  <si>
    <r>
      <t xml:space="preserve">Změna stavu krátkodobých prostředků na bankovních účtech </t>
    </r>
    <r>
      <rPr>
        <sz val="9"/>
        <rFont val="Arial CE"/>
      </rPr>
      <t>(zapojení konečných zůstatků k 31.12. na účtech města)</t>
    </r>
  </si>
  <si>
    <t xml:space="preserve">           služby - čištění vodních toků</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</si>
</sst>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K_č_-;\-* #,##0.00\ _K_č_-;_-* &quot;-&quot;??\ _K_č_-;_-@_-"/>
    <numFmt numFmtId="164" formatCode="_-* #,##0.00\ _K_č_-;\-* #,##0.00\ _K_č_-;_-* \-??\ _K_č_-;_-@_-"/>
    <numFmt numFmtId="165" formatCode="#,##0.000"/>
    <numFmt numFmtId="166" formatCode="0.0"/>
    <numFmt numFmtId="167" formatCode="d/m/yyyy;@"/>
  </numFmts>
  <fonts count="60" x14ac:knownFonts="1">
    <font>
      <sz val="10"/>
      <color theme="1"/>
      <name val="Arial CE"/>
    </font>
    <font>
      <sz val="10"/>
      <name val="Arial CE"/>
    </font>
    <font>
      <sz val="11"/>
      <color theme="1"/>
      <name val="Calibri"/>
      <scheme val="minor"/>
    </font>
    <font>
      <sz val="11"/>
      <color indexed="64"/>
      <name val="Calibri"/>
    </font>
    <font>
      <b/>
      <sz val="10"/>
      <name val="Arial CE"/>
    </font>
    <font>
      <b/>
      <sz val="12"/>
      <name val="Arial CE"/>
    </font>
    <font>
      <b/>
      <sz val="14"/>
      <name val="Arial CE"/>
    </font>
    <font>
      <b/>
      <sz val="9"/>
      <name val="Arial CE"/>
    </font>
    <font>
      <sz val="14"/>
      <name val="Arial CE"/>
    </font>
    <font>
      <sz val="12"/>
      <name val="Arial CE"/>
    </font>
    <font>
      <b/>
      <i/>
      <sz val="12"/>
      <name val="Arial CE"/>
    </font>
    <font>
      <i/>
      <sz val="12"/>
      <name val="Arial CE"/>
    </font>
    <font>
      <sz val="18"/>
      <name val="Arial CE"/>
    </font>
    <font>
      <b/>
      <sz val="18"/>
      <name val="Arial CE"/>
    </font>
    <font>
      <b/>
      <sz val="16"/>
      <name val="Arial CE"/>
    </font>
    <font>
      <b/>
      <i/>
      <sz val="14"/>
      <name val="Arial CE"/>
    </font>
    <font>
      <b/>
      <i/>
      <sz val="13"/>
      <name val="Arial CE"/>
    </font>
    <font>
      <sz val="16"/>
      <name val="Arial CE"/>
    </font>
    <font>
      <sz val="10"/>
      <color indexed="64"/>
      <name val="Arial"/>
    </font>
    <font>
      <sz val="9"/>
      <name val="Arial CE"/>
    </font>
    <font>
      <b/>
      <sz val="20"/>
      <name val="Arial CE"/>
    </font>
    <font>
      <sz val="20"/>
      <name val="Arial CE"/>
    </font>
    <font>
      <sz val="8"/>
      <name val="Arial CE"/>
    </font>
    <font>
      <sz val="10"/>
      <color indexed="64"/>
      <name val="Arial CE"/>
    </font>
    <font>
      <b/>
      <sz val="12"/>
      <color indexed="64"/>
      <name val="Arial CE"/>
    </font>
    <font>
      <b/>
      <sz val="15"/>
      <name val="Arial CE"/>
    </font>
    <font>
      <sz val="9"/>
      <name val="Arial"/>
    </font>
    <font>
      <sz val="11"/>
      <name val="Calibri"/>
    </font>
    <font>
      <sz val="10"/>
      <color indexed="40"/>
      <name val="Arial CE"/>
    </font>
    <font>
      <sz val="10"/>
      <color indexed="30"/>
      <name val="Arial CE"/>
    </font>
    <font>
      <b/>
      <i/>
      <sz val="10"/>
      <name val="Arial CE"/>
    </font>
    <font>
      <u/>
      <sz val="9"/>
      <name val="Arial CE"/>
    </font>
    <font>
      <b/>
      <sz val="10"/>
      <name val="Arial"/>
    </font>
    <font>
      <b/>
      <i/>
      <sz val="10"/>
      <name val="Arial"/>
    </font>
    <font>
      <sz val="10"/>
      <name val="Arial"/>
    </font>
    <font>
      <sz val="10"/>
      <color indexed="2"/>
      <name val="Arial"/>
    </font>
    <font>
      <b/>
      <sz val="10"/>
      <color indexed="2"/>
      <name val="Arial"/>
    </font>
    <font>
      <i/>
      <sz val="10"/>
      <name val="Arial CE"/>
    </font>
    <font>
      <i/>
      <sz val="10"/>
      <name val="Arial"/>
    </font>
    <font>
      <i/>
      <sz val="11"/>
      <name val="Calibri"/>
    </font>
    <font>
      <sz val="14"/>
      <name val="Arial"/>
    </font>
    <font>
      <i/>
      <sz val="12"/>
      <name val="Arial"/>
    </font>
    <font>
      <b/>
      <sz val="14"/>
      <color indexed="64"/>
      <name val="Arial CE"/>
    </font>
    <font>
      <b/>
      <sz val="16"/>
      <color indexed="64"/>
      <name val="Arial CE"/>
    </font>
    <font>
      <b/>
      <sz val="10"/>
      <color indexed="64"/>
      <name val="Arial CE"/>
    </font>
    <font>
      <sz val="10"/>
      <color rgb="FF00B0F0"/>
      <name val="Arial CE"/>
    </font>
    <font>
      <sz val="10"/>
      <name val="Calibri"/>
    </font>
    <font>
      <b/>
      <sz val="12"/>
      <name val="Arial"/>
    </font>
    <font>
      <sz val="12"/>
      <name val="Arial"/>
    </font>
    <font>
      <sz val="16"/>
      <name val="Arial"/>
    </font>
    <font>
      <sz val="14"/>
      <color indexed="64"/>
      <name val="Arial CE"/>
    </font>
    <font>
      <sz val="10"/>
      <color indexed="2"/>
      <name val="Arial CE"/>
    </font>
    <font>
      <sz val="11"/>
      <name val="Arial CE"/>
    </font>
    <font>
      <b/>
      <sz val="11"/>
      <name val="Arial CE"/>
    </font>
    <font>
      <i/>
      <sz val="9"/>
      <name val="Arial CE"/>
    </font>
    <font>
      <b/>
      <i/>
      <sz val="9"/>
      <name val="Arial CE"/>
    </font>
    <font>
      <b/>
      <i/>
      <u/>
      <sz val="10"/>
      <name val="Arial"/>
    </font>
    <font>
      <sz val="8"/>
      <name val="Arial"/>
    </font>
    <font>
      <b/>
      <sz val="9"/>
      <name val="Tahoma"/>
    </font>
    <font>
      <sz val="9"/>
      <name val="Tahoma"/>
    </font>
  </fonts>
  <fills count="10">
    <fill>
      <patternFill patternType="none"/>
    </fill>
    <fill>
      <patternFill patternType="gray125"/>
    </fill>
    <fill>
      <patternFill patternType="solid">
        <fgColor indexed="26"/>
      </patternFill>
    </fill>
    <fill>
      <patternFill patternType="solid">
        <fgColor indexed="65"/>
        <bgColor indexed="26"/>
      </patternFill>
    </fill>
    <fill>
      <patternFill patternType="solid">
        <fgColor indexed="42"/>
        <bgColor indexed="27"/>
      </patternFill>
    </fill>
    <fill>
      <patternFill patternType="solid">
        <fgColor indexed="47"/>
        <bgColor indexed="22"/>
      </patternFill>
    </fill>
    <fill>
      <patternFill patternType="solid">
        <fgColor theme="7" tint="0.59999389629810485"/>
        <bgColor theme="7" tint="0.59999389629810485"/>
      </patternFill>
    </fill>
    <fill>
      <patternFill patternType="solid">
        <fgColor theme="2"/>
        <bgColor theme="2"/>
      </patternFill>
    </fill>
    <fill>
      <patternFill patternType="solid">
        <fgColor theme="0"/>
        <bgColor theme="0"/>
      </patternFill>
    </fill>
    <fill>
      <patternFill patternType="solid">
        <fgColor indexed="5"/>
        <bgColor indexed="5"/>
      </patternFill>
    </fill>
  </fills>
  <borders count="152">
    <border>
      <left/>
      <right/>
      <top/>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bottom style="hair">
        <color indexed="64"/>
      </bottom>
      <diagonal/>
    </border>
    <border>
      <left style="medium">
        <color indexed="64"/>
      </left>
      <right/>
      <top/>
      <bottom style="medium">
        <color indexed="64"/>
      </bottom>
      <diagonal/>
    </border>
    <border>
      <left style="medium">
        <color indexed="64"/>
      </left>
      <right/>
      <top style="hair">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hair">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medium">
        <color indexed="64"/>
      </left>
      <right style="medium">
        <color indexed="64"/>
      </right>
      <top/>
      <bottom style="thin">
        <color indexed="64"/>
      </bottom>
      <diagonal/>
    </border>
    <border>
      <left style="hair">
        <color indexed="64"/>
      </left>
      <right style="thin">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style="medium">
        <color auto="1"/>
      </left>
      <right style="medium">
        <color auto="1"/>
      </right>
      <top style="medium">
        <color auto="1"/>
      </top>
      <bottom/>
      <diagonal/>
    </border>
    <border>
      <left style="thin">
        <color auto="1"/>
      </left>
      <right style="thin">
        <color auto="1"/>
      </right>
      <top style="medium">
        <color auto="1"/>
      </top>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style="hair">
        <color auto="1"/>
      </top>
      <bottom style="medium">
        <color auto="1"/>
      </bottom>
      <diagonal/>
    </border>
    <border>
      <left style="medium">
        <color auto="1"/>
      </left>
      <right style="medium">
        <color auto="1"/>
      </right>
      <top style="medium">
        <color auto="1"/>
      </top>
      <bottom style="medium">
        <color indexed="64"/>
      </bottom>
      <diagonal/>
    </border>
    <border>
      <left style="medium">
        <color indexed="64"/>
      </left>
      <right style="medium">
        <color indexed="64"/>
      </right>
      <top/>
      <bottom style="hair">
        <color auto="1"/>
      </bottom>
      <diagonal/>
    </border>
    <border>
      <left style="medium">
        <color indexed="64"/>
      </left>
      <right style="medium">
        <color indexed="64"/>
      </right>
      <top style="hair">
        <color auto="1"/>
      </top>
      <bottom style="hair">
        <color auto="1"/>
      </bottom>
      <diagonal/>
    </border>
    <border>
      <left style="medium">
        <color indexed="64"/>
      </left>
      <right style="medium">
        <color indexed="64"/>
      </right>
      <top style="hair">
        <color auto="1"/>
      </top>
      <bottom style="medium">
        <color indexed="64"/>
      </bottom>
      <diagonal/>
    </border>
    <border>
      <left style="medium">
        <color auto="1"/>
      </left>
      <right style="medium">
        <color auto="1"/>
      </right>
      <top style="medium">
        <color indexed="64"/>
      </top>
      <bottom style="medium">
        <color auto="1"/>
      </bottom>
      <diagonal/>
    </border>
    <border>
      <left style="medium">
        <color auto="1"/>
      </left>
      <right style="medium">
        <color indexed="64"/>
      </right>
      <top style="medium">
        <color indexed="64"/>
      </top>
      <bottom style="medium">
        <color auto="1"/>
      </bottom>
      <diagonal/>
    </border>
    <border>
      <left style="medium">
        <color indexed="64"/>
      </left>
      <right style="medium">
        <color indexed="64"/>
      </right>
      <top style="medium">
        <color indexed="64"/>
      </top>
      <bottom style="medium">
        <color auto="1"/>
      </bottom>
      <diagonal/>
    </border>
    <border>
      <left style="medium">
        <color indexed="64"/>
      </left>
      <right/>
      <top style="medium">
        <color indexed="64"/>
      </top>
      <bottom style="medium">
        <color auto="1"/>
      </bottom>
      <diagonal/>
    </border>
    <border>
      <left style="medium">
        <color auto="1"/>
      </left>
      <right style="medium">
        <color auto="1"/>
      </right>
      <top/>
      <bottom style="medium">
        <color indexed="64"/>
      </bottom>
      <diagonal/>
    </border>
    <border>
      <left/>
      <right style="medium">
        <color auto="1"/>
      </right>
      <top/>
      <bottom style="medium">
        <color indexed="64"/>
      </bottom>
      <diagonal/>
    </border>
    <border>
      <left style="medium">
        <color auto="1"/>
      </left>
      <right style="medium">
        <color auto="1"/>
      </right>
      <top/>
      <bottom/>
      <diagonal/>
    </border>
    <border>
      <left style="medium">
        <color indexed="64"/>
      </left>
      <right style="medium">
        <color auto="1"/>
      </right>
      <top/>
      <bottom style="medium">
        <color indexed="64"/>
      </bottom>
      <diagonal/>
    </border>
    <border>
      <left style="medium">
        <color auto="1"/>
      </left>
      <right style="medium">
        <color auto="1"/>
      </right>
      <top style="medium">
        <color indexed="64"/>
      </top>
      <bottom style="medium">
        <color indexed="64"/>
      </bottom>
      <diagonal/>
    </border>
    <border>
      <left/>
      <right style="medium">
        <color auto="1"/>
      </right>
      <top style="medium">
        <color indexed="64"/>
      </top>
      <bottom style="medium">
        <color indexed="64"/>
      </bottom>
      <diagonal/>
    </border>
    <border>
      <left style="medium">
        <color indexed="64"/>
      </left>
      <right style="medium">
        <color auto="1"/>
      </right>
      <top/>
      <bottom/>
      <diagonal/>
    </border>
    <border>
      <left style="medium">
        <color auto="1"/>
      </left>
      <right style="medium">
        <color auto="1"/>
      </right>
      <top/>
      <bottom style="hair">
        <color indexed="64"/>
      </bottom>
      <diagonal/>
    </border>
    <border>
      <left/>
      <right style="medium">
        <color auto="1"/>
      </right>
      <top/>
      <bottom style="hair">
        <color indexed="64"/>
      </bottom>
      <diagonal/>
    </border>
    <border>
      <left style="medium">
        <color indexed="64"/>
      </left>
      <right style="medium">
        <color auto="1"/>
      </right>
      <top style="medium">
        <color indexed="64"/>
      </top>
      <bottom style="hair">
        <color indexed="64"/>
      </bottom>
      <diagonal/>
    </border>
    <border>
      <left style="medium">
        <color auto="1"/>
      </left>
      <right style="medium">
        <color auto="1"/>
      </right>
      <top style="hair">
        <color indexed="64"/>
      </top>
      <bottom style="hair">
        <color indexed="64"/>
      </bottom>
      <diagonal/>
    </border>
    <border>
      <left/>
      <right style="medium">
        <color auto="1"/>
      </right>
      <top style="hair">
        <color indexed="64"/>
      </top>
      <bottom style="hair">
        <color indexed="64"/>
      </bottom>
      <diagonal/>
    </border>
    <border>
      <left style="medium">
        <color indexed="64"/>
      </left>
      <right style="medium">
        <color auto="1"/>
      </right>
      <top/>
      <bottom style="hair">
        <color indexed="64"/>
      </bottom>
      <diagonal/>
    </border>
    <border>
      <left style="medium">
        <color auto="1"/>
      </left>
      <right style="medium">
        <color auto="1"/>
      </right>
      <top/>
      <bottom style="hair">
        <color auto="1"/>
      </bottom>
      <diagonal/>
    </border>
    <border>
      <left style="medium">
        <color indexed="64"/>
      </left>
      <right style="medium">
        <color auto="1"/>
      </right>
      <top style="hair">
        <color indexed="64"/>
      </top>
      <bottom style="hair">
        <color indexed="64"/>
      </bottom>
      <diagonal/>
    </border>
    <border>
      <left style="medium">
        <color auto="1"/>
      </left>
      <right style="medium">
        <color auto="1"/>
      </right>
      <top style="hair">
        <color indexed="64"/>
      </top>
      <bottom style="medium">
        <color indexed="64"/>
      </bottom>
      <diagonal/>
    </border>
    <border>
      <left/>
      <right style="medium">
        <color auto="1"/>
      </right>
      <top style="hair">
        <color indexed="64"/>
      </top>
      <bottom style="medium">
        <color indexed="64"/>
      </bottom>
      <diagonal/>
    </border>
    <border>
      <left style="medium">
        <color auto="1"/>
      </left>
      <right style="medium">
        <color auto="1"/>
      </right>
      <top/>
      <bottom style="medium">
        <color auto="1"/>
      </bottom>
      <diagonal/>
    </border>
    <border>
      <left style="medium">
        <color indexed="64"/>
      </left>
      <right style="medium">
        <color auto="1"/>
      </right>
      <top style="hair">
        <color indexed="64"/>
      </top>
      <bottom style="medium">
        <color indexed="64"/>
      </bottom>
      <diagonal/>
    </border>
    <border>
      <left style="medium">
        <color auto="1"/>
      </left>
      <right style="medium">
        <color auto="1"/>
      </right>
      <top style="medium">
        <color indexed="64"/>
      </top>
      <bottom style="hair">
        <color indexed="64"/>
      </bottom>
      <diagonal/>
    </border>
    <border>
      <left style="medium">
        <color auto="1"/>
      </left>
      <right style="medium">
        <color auto="1"/>
      </right>
      <top style="hair">
        <color indexed="64"/>
      </top>
      <bottom style="hair">
        <color auto="1"/>
      </bottom>
      <diagonal/>
    </border>
    <border>
      <left/>
      <right style="medium">
        <color auto="1"/>
      </right>
      <top style="hair">
        <color indexed="64"/>
      </top>
      <bottom style="hair">
        <color auto="1"/>
      </bottom>
      <diagonal/>
    </border>
    <border>
      <left style="medium">
        <color auto="1"/>
      </left>
      <right style="medium">
        <color auto="1"/>
      </right>
      <top style="hair">
        <color indexed="64"/>
      </top>
      <bottom/>
      <diagonal/>
    </border>
    <border>
      <left/>
      <right style="medium">
        <color auto="1"/>
      </right>
      <top style="hair">
        <color indexed="64"/>
      </top>
      <bottom/>
      <diagonal/>
    </border>
    <border>
      <left style="medium">
        <color indexed="64"/>
      </left>
      <right style="medium">
        <color auto="1"/>
      </right>
      <top style="medium">
        <color indexed="64"/>
      </top>
      <bottom style="medium">
        <color indexed="64"/>
      </bottom>
      <diagonal/>
    </border>
    <border>
      <left/>
      <right style="medium">
        <color auto="1"/>
      </right>
      <top style="medium">
        <color indexed="64"/>
      </top>
      <bottom style="hair">
        <color indexed="64"/>
      </bottom>
      <diagonal/>
    </border>
    <border>
      <left style="medium">
        <color auto="1"/>
      </left>
      <right style="medium">
        <color auto="1"/>
      </right>
      <top style="medium">
        <color auto="1"/>
      </top>
      <bottom style="hair">
        <color indexed="64"/>
      </bottom>
      <diagonal/>
    </border>
    <border>
      <left/>
      <right style="medium">
        <color auto="1"/>
      </right>
      <top/>
      <bottom/>
      <diagonal/>
    </border>
    <border>
      <left/>
      <right style="medium">
        <color auto="1"/>
      </right>
      <top style="medium">
        <color auto="1"/>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hair">
        <color indexed="64"/>
      </bottom>
      <diagonal/>
    </border>
    <border>
      <left style="medium">
        <color auto="1"/>
      </left>
      <right style="medium">
        <color auto="1"/>
      </right>
      <top style="hair">
        <color auto="1"/>
      </top>
      <bottom style="hair">
        <color indexed="64"/>
      </bottom>
      <diagonal/>
    </border>
    <border>
      <left/>
      <right style="medium">
        <color auto="1"/>
      </right>
      <top style="hair">
        <color auto="1"/>
      </top>
      <bottom/>
      <diagonal/>
    </border>
    <border>
      <left style="medium">
        <color auto="1"/>
      </left>
      <right style="medium">
        <color auto="1"/>
      </right>
      <top style="hair">
        <color auto="1"/>
      </top>
      <bottom/>
      <diagonal/>
    </border>
    <border>
      <left/>
      <right style="medium">
        <color auto="1"/>
      </right>
      <top style="hair">
        <color auto="1"/>
      </top>
      <bottom style="hair">
        <color auto="1"/>
      </bottom>
      <diagonal/>
    </border>
    <border>
      <left/>
      <right style="medium">
        <color auto="1"/>
      </right>
      <top/>
      <bottom style="medium">
        <color auto="1"/>
      </bottom>
      <diagonal/>
    </border>
    <border>
      <left style="medium">
        <color auto="1"/>
      </left>
      <right style="medium">
        <color auto="1"/>
      </right>
      <top style="medium">
        <color indexed="64"/>
      </top>
      <bottom style="hair">
        <color auto="1"/>
      </bottom>
      <diagonal/>
    </border>
    <border>
      <left/>
      <right style="medium">
        <color auto="1"/>
      </right>
      <top style="medium">
        <color auto="1"/>
      </top>
      <bottom style="medium">
        <color indexed="64"/>
      </bottom>
      <diagonal/>
    </border>
    <border>
      <left style="medium">
        <color indexed="64"/>
      </left>
      <right style="medium">
        <color auto="1"/>
      </right>
      <top style="medium">
        <color indexed="64"/>
      </top>
      <bottom/>
      <diagonal/>
    </border>
    <border>
      <left/>
      <right style="medium">
        <color auto="1"/>
      </right>
      <top style="medium">
        <color indexed="64"/>
      </top>
      <bottom style="medium">
        <color auto="1"/>
      </bottom>
      <diagonal/>
    </border>
    <border>
      <left/>
      <right style="medium">
        <color auto="1"/>
      </right>
      <top/>
      <bottom style="hair">
        <color auto="1"/>
      </bottom>
      <diagonal/>
    </border>
    <border>
      <left style="medium">
        <color auto="1"/>
      </left>
      <right style="medium">
        <color auto="1"/>
      </right>
      <top style="hair">
        <color auto="1"/>
      </top>
      <bottom style="medium">
        <color indexed="64"/>
      </bottom>
      <diagonal/>
    </border>
    <border>
      <left/>
      <right style="medium">
        <color auto="1"/>
      </right>
      <top style="medium">
        <color auto="1"/>
      </top>
      <bottom style="medium">
        <color auto="1"/>
      </bottom>
      <diagonal/>
    </border>
    <border>
      <left/>
      <right style="medium">
        <color auto="1"/>
      </right>
      <top style="medium">
        <color auto="1"/>
      </top>
      <bottom style="hair">
        <color auto="1"/>
      </bottom>
      <diagonal/>
    </border>
    <border>
      <left style="medium">
        <color auto="1"/>
      </left>
      <right style="medium">
        <color auto="1"/>
      </right>
      <top style="hair">
        <color auto="1"/>
      </top>
      <bottom style="thin">
        <color indexed="64"/>
      </bottom>
      <diagonal/>
    </border>
    <border>
      <left/>
      <right style="medium">
        <color auto="1"/>
      </right>
      <top style="hair">
        <color auto="1"/>
      </top>
      <bottom style="thin">
        <color indexed="64"/>
      </bottom>
      <diagonal/>
    </border>
    <border>
      <left/>
      <right style="medium">
        <color auto="1"/>
      </right>
      <top style="medium">
        <color indexed="64"/>
      </top>
      <bottom style="hair">
        <color auto="1"/>
      </bottom>
      <diagonal/>
    </border>
    <border>
      <left style="medium">
        <color auto="1"/>
      </left>
      <right style="medium">
        <color auto="1"/>
      </right>
      <top style="hair">
        <color auto="1"/>
      </top>
      <bottom style="thin">
        <color auto="1"/>
      </bottom>
      <diagonal/>
    </border>
    <border>
      <left/>
      <right style="medium">
        <color auto="1"/>
      </right>
      <top style="hair">
        <color auto="1"/>
      </top>
      <bottom style="medium">
        <color auto="1"/>
      </bottom>
      <diagonal/>
    </border>
    <border>
      <left/>
      <right/>
      <top style="thin">
        <color auto="1"/>
      </top>
      <bottom/>
      <diagonal/>
    </border>
    <border>
      <left/>
      <right/>
      <top/>
      <bottom style="thin">
        <color auto="1"/>
      </bottom>
      <diagonal/>
    </border>
    <border>
      <left style="medium">
        <color auto="1"/>
      </left>
      <right style="medium">
        <color auto="1"/>
      </right>
      <top style="thin">
        <color indexed="64"/>
      </top>
      <bottom style="hair">
        <color auto="1"/>
      </bottom>
      <diagonal/>
    </border>
    <border>
      <left/>
      <right style="medium">
        <color auto="1"/>
      </right>
      <top style="thin">
        <color indexed="64"/>
      </top>
      <bottom style="hair">
        <color auto="1"/>
      </bottom>
      <diagonal/>
    </border>
    <border>
      <left/>
      <right style="medium">
        <color auto="1"/>
      </right>
      <top style="hair">
        <color indexed="64"/>
      </top>
      <bottom style="medium">
        <color auto="1"/>
      </bottom>
      <diagonal/>
    </border>
    <border>
      <left style="medium">
        <color auto="1"/>
      </left>
      <right style="medium">
        <color auto="1"/>
      </right>
      <top style="medium">
        <color indexed="64"/>
      </top>
      <bottom/>
      <diagonal/>
    </border>
    <border>
      <left style="medium">
        <color indexed="64"/>
      </left>
      <right style="medium">
        <color auto="1"/>
      </right>
      <top style="hair">
        <color indexed="64"/>
      </top>
      <bottom/>
      <diagonal/>
    </border>
    <border>
      <left/>
      <right style="medium">
        <color auto="1"/>
      </right>
      <top style="medium">
        <color indexed="64"/>
      </top>
      <bottom/>
      <diagonal/>
    </border>
    <border>
      <left style="medium">
        <color indexed="64"/>
      </left>
      <right style="medium">
        <color auto="1"/>
      </right>
      <top style="medium">
        <color auto="1"/>
      </top>
      <bottom style="hair">
        <color indexed="64"/>
      </bottom>
      <diagonal/>
    </border>
    <border>
      <left style="medium">
        <color indexed="64"/>
      </left>
      <right style="medium">
        <color auto="1"/>
      </right>
      <top style="hair">
        <color indexed="64"/>
      </top>
      <bottom style="medium">
        <color auto="1"/>
      </bottom>
      <diagonal/>
    </border>
    <border>
      <left style="medium">
        <color indexed="64"/>
      </left>
      <right style="medium">
        <color auto="1"/>
      </right>
      <top style="medium">
        <color indexed="64"/>
      </top>
      <bottom style="medium">
        <color auto="1"/>
      </bottom>
      <diagonal/>
    </border>
    <border>
      <left style="medium">
        <color auto="1"/>
      </left>
      <right style="medium">
        <color indexed="64"/>
      </right>
      <top style="medium">
        <color indexed="64"/>
      </top>
      <bottom style="hair">
        <color auto="1"/>
      </bottom>
      <diagonal/>
    </border>
    <border>
      <left style="medium">
        <color auto="1"/>
      </left>
      <right style="medium">
        <color indexed="64"/>
      </right>
      <top style="hair">
        <color auto="1"/>
      </top>
      <bottom style="hair">
        <color auto="1"/>
      </bottom>
      <diagonal/>
    </border>
    <border>
      <left style="medium">
        <color auto="1"/>
      </left>
      <right/>
      <top/>
      <bottom/>
      <diagonal/>
    </border>
    <border>
      <left style="medium">
        <color auto="1"/>
      </left>
      <right style="medium">
        <color indexed="64"/>
      </right>
      <top style="hair">
        <color indexed="64"/>
      </top>
      <bottom style="hair">
        <color indexed="64"/>
      </bottom>
      <diagonal/>
    </border>
    <border>
      <left style="medium">
        <color auto="1"/>
      </left>
      <right/>
      <top style="hair">
        <color auto="1"/>
      </top>
      <bottom style="hair">
        <color auto="1"/>
      </bottom>
      <diagonal/>
    </border>
    <border>
      <left style="medium">
        <color auto="1"/>
      </left>
      <right style="medium">
        <color auto="1"/>
      </right>
      <top style="hair">
        <color indexed="64"/>
      </top>
      <bottom style="medium">
        <color auto="1"/>
      </bottom>
      <diagonal/>
    </border>
    <border>
      <left style="medium">
        <color indexed="64"/>
      </left>
      <right style="medium">
        <color auto="1"/>
      </right>
      <top style="medium">
        <color auto="1"/>
      </top>
      <bottom style="medium">
        <color auto="1"/>
      </bottom>
      <diagonal/>
    </border>
    <border>
      <left style="medium">
        <color auto="1"/>
      </left>
      <right style="medium">
        <color indexed="64"/>
      </right>
      <top/>
      <bottom style="hair">
        <color auto="1"/>
      </bottom>
      <diagonal/>
    </border>
    <border>
      <left style="medium">
        <color auto="1"/>
      </left>
      <right/>
      <top style="hair">
        <color indexed="64"/>
      </top>
      <bottom style="hair">
        <color indexed="64"/>
      </bottom>
      <diagonal/>
    </border>
    <border>
      <left style="medium">
        <color auto="1"/>
      </left>
      <right style="medium">
        <color indexed="64"/>
      </right>
      <top style="hair">
        <color indexed="64"/>
      </top>
      <bottom/>
      <diagonal/>
    </border>
    <border>
      <left/>
      <right style="medium">
        <color auto="1"/>
      </right>
      <top style="hair">
        <color auto="1"/>
      </top>
      <bottom style="hair">
        <color indexed="64"/>
      </bottom>
      <diagonal/>
    </border>
    <border>
      <left/>
      <right style="medium">
        <color auto="1"/>
      </right>
      <top style="hair">
        <color auto="1"/>
      </top>
      <bottom style="medium">
        <color indexed="64"/>
      </bottom>
      <diagonal/>
    </border>
    <border>
      <left style="medium">
        <color indexed="64"/>
      </left>
      <right style="medium">
        <color auto="1"/>
      </right>
      <top style="hair">
        <color indexed="64"/>
      </top>
      <bottom style="hair">
        <color auto="1"/>
      </bottom>
      <diagonal/>
    </border>
    <border>
      <left/>
      <right/>
      <top/>
      <bottom style="hair">
        <color auto="1"/>
      </bottom>
      <diagonal/>
    </border>
    <border>
      <left style="medium">
        <color indexed="64"/>
      </left>
      <right style="medium">
        <color auto="1"/>
      </right>
      <top/>
      <bottom style="hair">
        <color auto="1"/>
      </bottom>
      <diagonal/>
    </border>
    <border>
      <left style="medium">
        <color indexed="64"/>
      </left>
      <right style="medium">
        <color auto="1"/>
      </right>
      <top style="hair">
        <color auto="1"/>
      </top>
      <bottom style="medium">
        <color indexed="64"/>
      </bottom>
      <diagonal/>
    </border>
  </borders>
  <cellStyleXfs count="6">
    <xf numFmtId="0" fontId="0" fillId="0" borderId="0"/>
    <xf numFmtId="164" fontId="1" fillId="0" borderId="0" applyFill="0" applyBorder="0" applyProtection="0"/>
    <xf numFmtId="43" fontId="2" fillId="0" borderId="0" applyFont="0" applyFill="0" applyBorder="0" applyProtection="0"/>
    <xf numFmtId="0" fontId="1" fillId="2" borderId="1" applyNumberFormat="0" applyProtection="0"/>
    <xf numFmtId="0" fontId="1" fillId="0" borderId="0"/>
    <xf numFmtId="0" fontId="3" fillId="0" borderId="0"/>
  </cellStyleXfs>
  <cellXfs count="1199">
    <xf numFmtId="0" fontId="0" fillId="0" borderId="0" xfId="0"/>
    <xf numFmtId="0" fontId="1" fillId="0" borderId="0" xfId="0" applyFont="1"/>
    <xf numFmtId="0" fontId="0" fillId="0" borderId="0" xfId="0"/>
    <xf numFmtId="0" fontId="4" fillId="0" borderId="0" xfId="0" applyFont="1" applyAlignment="1">
      <alignment horizontal="right"/>
    </xf>
    <xf numFmtId="4" fontId="5" fillId="0" borderId="0" xfId="0" applyNumberFormat="1" applyFont="1" applyAlignment="1">
      <alignment horizontal="center" wrapText="1"/>
    </xf>
    <xf numFmtId="4" fontId="0" fillId="0" borderId="0" xfId="0" applyNumberFormat="1" applyAlignment="1">
      <alignment horizontal="center" vertical="center" wrapText="1"/>
    </xf>
    <xf numFmtId="4" fontId="6" fillId="0" borderId="0" xfId="0" applyNumberFormat="1" applyFont="1" applyAlignment="1">
      <alignment horizontal="center" vertical="center" wrapText="1"/>
    </xf>
    <xf numFmtId="0" fontId="1" fillId="0" borderId="0" xfId="0" applyFont="1" applyAlignment="1">
      <alignment horizontal="center" vertical="center"/>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4" fontId="5" fillId="0" borderId="3" xfId="0" applyNumberFormat="1" applyFont="1" applyBorder="1" applyAlignment="1">
      <alignment horizontal="center" vertical="center" wrapText="1"/>
    </xf>
    <xf numFmtId="4" fontId="5" fillId="0" borderId="2" xfId="0" applyNumberFormat="1" applyFont="1" applyBorder="1" applyAlignment="1">
      <alignment horizontal="center" vertical="center" wrapText="1"/>
    </xf>
    <xf numFmtId="0" fontId="8" fillId="0" borderId="0" xfId="0" applyFont="1"/>
    <xf numFmtId="0" fontId="8" fillId="3" borderId="4" xfId="0" applyFont="1" applyFill="1" applyBorder="1"/>
    <xf numFmtId="0" fontId="6" fillId="3" borderId="4" xfId="0" applyFont="1" applyFill="1" applyBorder="1"/>
    <xf numFmtId="0" fontId="6" fillId="3" borderId="5" xfId="0" applyFont="1" applyFill="1" applyBorder="1"/>
    <xf numFmtId="4" fontId="5" fillId="0" borderId="5" xfId="0" applyNumberFormat="1" applyFont="1" applyBorder="1" applyAlignment="1">
      <alignment horizontal="center" wrapText="1"/>
    </xf>
    <xf numFmtId="4" fontId="0" fillId="0" borderId="5" xfId="0" applyNumberFormat="1" applyBorder="1" applyAlignment="1">
      <alignment horizontal="center" vertical="center" wrapText="1"/>
    </xf>
    <xf numFmtId="4" fontId="5" fillId="0" borderId="5" xfId="0" applyNumberFormat="1" applyFont="1" applyBorder="1" applyAlignment="1">
      <alignment horizontal="center" vertical="center" wrapText="1"/>
    </xf>
    <xf numFmtId="0" fontId="9" fillId="0" borderId="0" xfId="0" applyFont="1"/>
    <xf numFmtId="0" fontId="9" fillId="3" borderId="6" xfId="0" applyFont="1" applyFill="1" applyBorder="1"/>
    <xf numFmtId="0" fontId="10" fillId="3" borderId="6" xfId="0" applyFont="1" applyFill="1" applyBorder="1"/>
    <xf numFmtId="4" fontId="10" fillId="3" borderId="4" xfId="0" applyNumberFormat="1" applyFont="1" applyFill="1" applyBorder="1"/>
    <xf numFmtId="0" fontId="9" fillId="0" borderId="0" xfId="0" applyFont="1" applyAlignment="1">
      <alignment vertical="center"/>
    </xf>
    <xf numFmtId="0" fontId="11" fillId="3" borderId="6" xfId="0" applyFont="1" applyFill="1" applyBorder="1"/>
    <xf numFmtId="4" fontId="10" fillId="3" borderId="6" xfId="0" applyNumberFormat="1" applyFont="1" applyFill="1" applyBorder="1"/>
    <xf numFmtId="0" fontId="8" fillId="3" borderId="6" xfId="0" applyFont="1" applyFill="1" applyBorder="1"/>
    <xf numFmtId="0" fontId="6" fillId="3" borderId="6" xfId="0" applyFont="1" applyFill="1" applyBorder="1"/>
    <xf numFmtId="4" fontId="6" fillId="3" borderId="6" xfId="0" applyNumberFormat="1" applyFont="1" applyFill="1" applyBorder="1"/>
    <xf numFmtId="4" fontId="1" fillId="0" borderId="0" xfId="0" applyNumberFormat="1" applyFont="1"/>
    <xf numFmtId="0" fontId="10" fillId="3" borderId="7" xfId="0" applyFont="1" applyFill="1" applyBorder="1"/>
    <xf numFmtId="4" fontId="10" fillId="3" borderId="8" xfId="0" applyNumberFormat="1" applyFont="1" applyFill="1" applyBorder="1"/>
    <xf numFmtId="4" fontId="0" fillId="0" borderId="0" xfId="0" applyNumberFormat="1" applyAlignment="1">
      <alignment vertical="center"/>
    </xf>
    <xf numFmtId="0" fontId="12" fillId="0" borderId="0" xfId="0" applyFont="1"/>
    <xf numFmtId="0" fontId="12" fillId="3" borderId="2" xfId="0" applyFont="1" applyFill="1" applyBorder="1"/>
    <xf numFmtId="0" fontId="13" fillId="3" borderId="2" xfId="0" applyFont="1" applyFill="1" applyBorder="1"/>
    <xf numFmtId="4" fontId="14" fillId="3" borderId="2" xfId="0" applyNumberFormat="1" applyFont="1" applyFill="1" applyBorder="1"/>
    <xf numFmtId="4" fontId="12" fillId="0" borderId="0" xfId="0" applyNumberFormat="1" applyFont="1"/>
    <xf numFmtId="165" fontId="10" fillId="0" borderId="4" xfId="0" applyNumberFormat="1" applyFont="1" applyBorder="1"/>
    <xf numFmtId="165" fontId="11" fillId="0" borderId="4" xfId="0" applyNumberFormat="1" applyFont="1" applyBorder="1"/>
    <xf numFmtId="165" fontId="10" fillId="0" borderId="5" xfId="0" applyNumberFormat="1" applyFont="1" applyBorder="1"/>
    <xf numFmtId="4" fontId="10" fillId="3" borderId="4" xfId="0" applyNumberFormat="1" applyFont="1" applyFill="1" applyBorder="1" applyAlignment="1">
      <alignment vertical="center"/>
    </xf>
    <xf numFmtId="4" fontId="10" fillId="3" borderId="6" xfId="0" applyNumberFormat="1" applyFont="1" applyFill="1" applyBorder="1" applyAlignment="1">
      <alignment vertical="center"/>
    </xf>
    <xf numFmtId="0" fontId="5" fillId="3" borderId="4" xfId="0" applyFont="1" applyFill="1" applyBorder="1"/>
    <xf numFmtId="165" fontId="10" fillId="0" borderId="6" xfId="0" applyNumberFormat="1" applyFont="1" applyBorder="1"/>
    <xf numFmtId="165" fontId="11" fillId="0" borderId="6" xfId="0" applyNumberFormat="1" applyFont="1" applyBorder="1"/>
    <xf numFmtId="0" fontId="15" fillId="3" borderId="9" xfId="0" applyFont="1" applyFill="1" applyBorder="1" applyAlignment="1">
      <alignment vertical="center" wrapText="1"/>
    </xf>
    <xf numFmtId="4" fontId="15" fillId="3" borderId="4" xfId="0" applyNumberFormat="1" applyFont="1" applyFill="1" applyBorder="1" applyAlignment="1">
      <alignment vertical="center"/>
    </xf>
    <xf numFmtId="0" fontId="5" fillId="3" borderId="6" xfId="0" applyFont="1" applyFill="1" applyBorder="1"/>
    <xf numFmtId="0" fontId="10" fillId="3" borderId="4" xfId="0" applyFont="1" applyFill="1" applyBorder="1"/>
    <xf numFmtId="0" fontId="10" fillId="3" borderId="8" xfId="0" applyFont="1" applyFill="1" applyBorder="1"/>
    <xf numFmtId="0" fontId="15" fillId="3" borderId="10" xfId="0" applyFont="1" applyFill="1" applyBorder="1" applyAlignment="1">
      <alignment vertical="center" wrapText="1"/>
    </xf>
    <xf numFmtId="0" fontId="10" fillId="3" borderId="9" xfId="0" applyFont="1" applyFill="1" applyBorder="1"/>
    <xf numFmtId="0" fontId="10" fillId="3" borderId="11" xfId="0" applyFont="1" applyFill="1" applyBorder="1"/>
    <xf numFmtId="4" fontId="10" fillId="3" borderId="11" xfId="0" applyNumberFormat="1" applyFont="1" applyFill="1" applyBorder="1"/>
    <xf numFmtId="0" fontId="10" fillId="3" borderId="2" xfId="0" applyFont="1" applyFill="1" applyBorder="1"/>
    <xf numFmtId="0" fontId="15" fillId="3" borderId="2" xfId="0" applyFont="1" applyFill="1" applyBorder="1"/>
    <xf numFmtId="4" fontId="15" fillId="3" borderId="2" xfId="0" applyNumberFormat="1" applyFont="1" applyFill="1" applyBorder="1"/>
    <xf numFmtId="0" fontId="9" fillId="3" borderId="0" xfId="0" applyFont="1" applyFill="1"/>
    <xf numFmtId="0" fontId="15" fillId="3" borderId="8" xfId="0" applyFont="1" applyFill="1" applyBorder="1"/>
    <xf numFmtId="4" fontId="15" fillId="3" borderId="8" xfId="0" applyNumberFormat="1" applyFont="1" applyFill="1" applyBorder="1"/>
    <xf numFmtId="0" fontId="15" fillId="3" borderId="9" xfId="0" applyFont="1" applyFill="1" applyBorder="1"/>
    <xf numFmtId="4" fontId="15" fillId="3" borderId="9" xfId="0" applyNumberFormat="1" applyFont="1" applyFill="1" applyBorder="1"/>
    <xf numFmtId="0" fontId="9" fillId="4" borderId="0" xfId="0" applyFont="1" applyFill="1"/>
    <xf numFmtId="0" fontId="5" fillId="0" borderId="2" xfId="0" applyFont="1" applyBorder="1"/>
    <xf numFmtId="0" fontId="15" fillId="0" borderId="2" xfId="0" applyFont="1" applyBorder="1" applyAlignment="1">
      <alignment vertical="center" wrapText="1"/>
    </xf>
    <xf numFmtId="4" fontId="15" fillId="0" borderId="2" xfId="0" applyNumberFormat="1" applyFont="1" applyBorder="1" applyAlignment="1">
      <alignment vertical="center"/>
    </xf>
    <xf numFmtId="0" fontId="15" fillId="3" borderId="4" xfId="0" applyFont="1" applyFill="1" applyBorder="1"/>
    <xf numFmtId="4" fontId="16" fillId="3" borderId="4" xfId="0" applyNumberFormat="1" applyFont="1" applyFill="1" applyBorder="1"/>
    <xf numFmtId="4" fontId="15" fillId="3" borderId="4" xfId="0" applyNumberFormat="1" applyFont="1" applyFill="1" applyBorder="1"/>
    <xf numFmtId="0" fontId="15" fillId="3" borderId="11" xfId="0" applyFont="1" applyFill="1" applyBorder="1"/>
    <xf numFmtId="4" fontId="15" fillId="3" borderId="11" xfId="0" applyNumberFormat="1" applyFont="1" applyFill="1" applyBorder="1"/>
    <xf numFmtId="0" fontId="15" fillId="3" borderId="11" xfId="0" applyFont="1" applyFill="1" applyBorder="1" applyAlignment="1">
      <alignment vertical="center" wrapText="1"/>
    </xf>
    <xf numFmtId="4" fontId="16" fillId="3" borderId="2" xfId="0" applyNumberFormat="1" applyFont="1" applyFill="1" applyBorder="1" applyAlignment="1">
      <alignment vertical="center"/>
    </xf>
    <xf numFmtId="4" fontId="15" fillId="3" borderId="2" xfId="0" applyNumberFormat="1" applyFont="1" applyFill="1" applyBorder="1" applyAlignment="1">
      <alignment vertical="center"/>
    </xf>
    <xf numFmtId="0" fontId="10" fillId="3" borderId="5" xfId="0" applyFont="1" applyFill="1" applyBorder="1"/>
    <xf numFmtId="0" fontId="10" fillId="0" borderId="6" xfId="0" applyFont="1" applyBorder="1"/>
    <xf numFmtId="0" fontId="15" fillId="3" borderId="12" xfId="0" applyFont="1" applyFill="1" applyBorder="1"/>
    <xf numFmtId="4" fontId="15" fillId="3" borderId="5" xfId="0" applyNumberFormat="1" applyFont="1" applyFill="1" applyBorder="1"/>
    <xf numFmtId="0" fontId="10" fillId="3" borderId="13" xfId="0" applyFont="1" applyFill="1" applyBorder="1"/>
    <xf numFmtId="4" fontId="15" fillId="3" borderId="6" xfId="0" applyNumberFormat="1" applyFont="1" applyFill="1" applyBorder="1"/>
    <xf numFmtId="0" fontId="10" fillId="3" borderId="14" xfId="0" applyFont="1" applyFill="1" applyBorder="1"/>
    <xf numFmtId="0" fontId="10" fillId="3" borderId="15" xfId="0" applyFont="1" applyFill="1" applyBorder="1"/>
    <xf numFmtId="0" fontId="11" fillId="3" borderId="2" xfId="0" applyFont="1" applyFill="1" applyBorder="1"/>
    <xf numFmtId="4" fontId="16" fillId="3" borderId="2" xfId="0" applyNumberFormat="1" applyFont="1" applyFill="1" applyBorder="1"/>
    <xf numFmtId="0" fontId="17" fillId="0" borderId="0" xfId="0" applyFont="1"/>
    <xf numFmtId="0" fontId="15" fillId="3" borderId="5" xfId="0" applyFont="1" applyFill="1" applyBorder="1"/>
    <xf numFmtId="0" fontId="10" fillId="3" borderId="11" xfId="0" applyFont="1" applyFill="1" applyBorder="1" applyAlignment="1">
      <alignment vertical="center"/>
    </xf>
    <xf numFmtId="4" fontId="0" fillId="0" borderId="0" xfId="0" applyNumberFormat="1"/>
    <xf numFmtId="0" fontId="8" fillId="3" borderId="2" xfId="0" applyFont="1" applyFill="1" applyBorder="1"/>
    <xf numFmtId="0" fontId="14" fillId="3" borderId="2" xfId="0" applyFont="1" applyFill="1" applyBorder="1"/>
    <xf numFmtId="4" fontId="6" fillId="3" borderId="2" xfId="0" applyNumberFormat="1" applyFont="1" applyFill="1" applyBorder="1"/>
    <xf numFmtId="0" fontId="1" fillId="0" borderId="2" xfId="0" applyFont="1" applyBorder="1"/>
    <xf numFmtId="0" fontId="14" fillId="0" borderId="2" xfId="0" applyFont="1" applyBorder="1"/>
    <xf numFmtId="0" fontId="6" fillId="0" borderId="2" xfId="0" applyFont="1" applyBorder="1" applyAlignment="1">
      <alignment horizontal="center"/>
    </xf>
    <xf numFmtId="4" fontId="4" fillId="0" borderId="2" xfId="0" applyNumberFormat="1" applyFont="1" applyBorder="1" applyAlignment="1">
      <alignment vertical="center" shrinkToFit="1"/>
    </xf>
    <xf numFmtId="4" fontId="0" fillId="0" borderId="2" xfId="0" applyNumberFormat="1" applyBorder="1" applyAlignment="1">
      <alignment vertical="center" shrinkToFit="1"/>
    </xf>
    <xf numFmtId="4" fontId="4" fillId="0" borderId="2" xfId="0" applyNumberFormat="1" applyFont="1" applyBorder="1" applyAlignment="1">
      <alignment vertical="center"/>
    </xf>
    <xf numFmtId="0" fontId="4" fillId="0" borderId="0" xfId="0" applyFont="1"/>
    <xf numFmtId="0" fontId="6" fillId="0" borderId="2" xfId="0" applyFont="1" applyBorder="1"/>
    <xf numFmtId="0" fontId="5" fillId="0" borderId="2" xfId="0" applyFont="1" applyBorder="1" applyAlignment="1">
      <alignment vertical="center" wrapText="1"/>
    </xf>
    <xf numFmtId="4" fontId="5" fillId="0" borderId="2" xfId="0" applyNumberFormat="1" applyFont="1" applyBorder="1" applyAlignment="1">
      <alignment shrinkToFit="1"/>
    </xf>
    <xf numFmtId="0" fontId="4" fillId="0" borderId="14" xfId="0" applyFont="1" applyBorder="1" applyAlignment="1">
      <alignment vertical="center"/>
    </xf>
    <xf numFmtId="0" fontId="4" fillId="0" borderId="4" xfId="0" applyFont="1" applyBorder="1" applyAlignment="1">
      <alignment vertical="center"/>
    </xf>
    <xf numFmtId="4" fontId="4" fillId="0" borderId="4" xfId="0" applyNumberFormat="1" applyFont="1" applyBorder="1" applyAlignment="1">
      <alignment vertical="center" shrinkToFit="1"/>
    </xf>
    <xf numFmtId="4" fontId="4" fillId="0" borderId="4" xfId="0" applyNumberFormat="1" applyFont="1" applyBorder="1" applyAlignment="1">
      <alignment vertical="center"/>
    </xf>
    <xf numFmtId="0" fontId="4" fillId="0" borderId="13" xfId="0" applyFont="1" applyBorder="1" applyAlignment="1">
      <alignment vertical="center"/>
    </xf>
    <xf numFmtId="0" fontId="4" fillId="0" borderId="6" xfId="0" applyFont="1" applyBorder="1" applyAlignment="1">
      <alignment vertical="center"/>
    </xf>
    <xf numFmtId="4" fontId="4" fillId="0" borderId="6" xfId="0" applyNumberFormat="1" applyFont="1" applyBorder="1" applyAlignment="1">
      <alignment vertical="center" shrinkToFit="1"/>
    </xf>
    <xf numFmtId="4" fontId="4" fillId="0" borderId="6" xfId="0" applyNumberFormat="1" applyFont="1" applyBorder="1" applyAlignment="1">
      <alignment vertical="center"/>
    </xf>
    <xf numFmtId="0" fontId="4" fillId="0" borderId="6" xfId="0" applyFont="1" applyBorder="1" applyAlignment="1">
      <alignment vertical="center" wrapText="1"/>
    </xf>
    <xf numFmtId="0" fontId="1" fillId="0" borderId="13" xfId="0" applyFont="1" applyBorder="1" applyAlignment="1">
      <alignment vertical="center"/>
    </xf>
    <xf numFmtId="0" fontId="1" fillId="0" borderId="6" xfId="0" applyFont="1" applyBorder="1" applyAlignment="1">
      <alignment vertical="center"/>
    </xf>
    <xf numFmtId="4" fontId="0" fillId="0" borderId="6" xfId="0" applyNumberFormat="1" applyBorder="1" applyAlignment="1">
      <alignment vertical="center"/>
    </xf>
    <xf numFmtId="4" fontId="0" fillId="0" borderId="4" xfId="0" applyNumberFormat="1" applyBorder="1" applyAlignment="1">
      <alignment vertical="center"/>
    </xf>
    <xf numFmtId="0" fontId="0" fillId="0" borderId="13" xfId="0" applyBorder="1" applyAlignment="1">
      <alignment vertical="center"/>
    </xf>
    <xf numFmtId="0" fontId="0" fillId="0" borderId="6" xfId="0" applyBorder="1" applyAlignment="1">
      <alignment vertical="center" wrapText="1"/>
    </xf>
    <xf numFmtId="4" fontId="0" fillId="0" borderId="6" xfId="0" applyNumberFormat="1" applyBorder="1" applyAlignment="1">
      <alignment vertical="center" shrinkToFit="1"/>
    </xf>
    <xf numFmtId="0" fontId="0" fillId="3" borderId="0" xfId="0" applyFill="1"/>
    <xf numFmtId="0" fontId="0" fillId="3" borderId="13" xfId="0" applyFill="1" applyBorder="1" applyAlignment="1">
      <alignment vertical="center"/>
    </xf>
    <xf numFmtId="0" fontId="0" fillId="3" borderId="6" xfId="0" applyFill="1" applyBorder="1" applyAlignment="1">
      <alignment vertical="center" wrapText="1"/>
    </xf>
    <xf numFmtId="4" fontId="0" fillId="3" borderId="6" xfId="0" applyNumberFormat="1" applyFill="1" applyBorder="1" applyAlignment="1">
      <alignment vertical="center"/>
    </xf>
    <xf numFmtId="4" fontId="0" fillId="3" borderId="6" xfId="0" applyNumberFormat="1" applyFill="1" applyBorder="1" applyAlignment="1">
      <alignment vertical="center" shrinkToFit="1"/>
    </xf>
    <xf numFmtId="4" fontId="0" fillId="3" borderId="4" xfId="0" applyNumberFormat="1" applyFill="1" applyBorder="1" applyAlignment="1">
      <alignment vertical="center"/>
    </xf>
    <xf numFmtId="4" fontId="0" fillId="3" borderId="0" xfId="0" applyNumberFormat="1" applyFill="1" applyAlignment="1">
      <alignment vertical="center"/>
    </xf>
    <xf numFmtId="0" fontId="1" fillId="0" borderId="6" xfId="0" applyFont="1" applyBorder="1" applyAlignment="1">
      <alignment vertical="center" wrapText="1"/>
    </xf>
    <xf numFmtId="0" fontId="1" fillId="4" borderId="0" xfId="0" applyFont="1" applyFill="1"/>
    <xf numFmtId="0" fontId="1" fillId="3" borderId="13" xfId="0" applyFont="1" applyFill="1" applyBorder="1" applyAlignment="1">
      <alignment vertical="center"/>
    </xf>
    <xf numFmtId="0" fontId="1" fillId="3" borderId="6" xfId="0" applyFont="1" applyFill="1" applyBorder="1" applyAlignment="1">
      <alignment vertical="center"/>
    </xf>
    <xf numFmtId="4" fontId="0" fillId="3" borderId="0" xfId="0" applyNumberFormat="1" applyFill="1"/>
    <xf numFmtId="0" fontId="1" fillId="3" borderId="0" xfId="0" applyFont="1" applyFill="1"/>
    <xf numFmtId="0" fontId="4" fillId="0" borderId="16" xfId="0" applyFont="1" applyBorder="1" applyAlignment="1">
      <alignment vertical="center"/>
    </xf>
    <xf numFmtId="0" fontId="4" fillId="0" borderId="8" xfId="0" applyFont="1" applyBorder="1" applyAlignment="1">
      <alignment vertical="center"/>
    </xf>
    <xf numFmtId="4" fontId="4" fillId="0" borderId="11" xfId="0" applyNumberFormat="1" applyFont="1" applyBorder="1"/>
    <xf numFmtId="4" fontId="0" fillId="0" borderId="11" xfId="0" applyNumberFormat="1" applyBorder="1"/>
    <xf numFmtId="4" fontId="4" fillId="0" borderId="11" xfId="0" applyNumberFormat="1" applyFont="1" applyBorder="1" applyAlignment="1">
      <alignment vertical="center"/>
    </xf>
    <xf numFmtId="0" fontId="4" fillId="0" borderId="17" xfId="0" applyFont="1" applyBorder="1"/>
    <xf numFmtId="4" fontId="5" fillId="0" borderId="2" xfId="0" applyNumberFormat="1" applyFont="1" applyBorder="1"/>
    <xf numFmtId="0" fontId="4" fillId="3" borderId="14" xfId="0" applyFont="1" applyFill="1" applyBorder="1" applyAlignment="1">
      <alignment vertical="center"/>
    </xf>
    <xf numFmtId="0" fontId="4" fillId="3" borderId="4" xfId="0" applyFont="1" applyFill="1" applyBorder="1" applyAlignment="1">
      <alignment vertical="center"/>
    </xf>
    <xf numFmtId="4" fontId="4" fillId="3" borderId="5" xfId="0" applyNumberFormat="1" applyFont="1" applyFill="1" applyBorder="1" applyAlignment="1">
      <alignment vertical="center"/>
    </xf>
    <xf numFmtId="0" fontId="4" fillId="3" borderId="13" xfId="0" applyFont="1" applyFill="1" applyBorder="1" applyAlignment="1">
      <alignment vertical="center"/>
    </xf>
    <xf numFmtId="4" fontId="18" fillId="0" borderId="9" xfId="0" applyNumberFormat="1" applyFont="1" applyBorder="1"/>
    <xf numFmtId="4" fontId="0" fillId="0" borderId="9" xfId="0" applyNumberFormat="1" applyBorder="1" applyAlignment="1">
      <alignment vertical="center"/>
    </xf>
    <xf numFmtId="0" fontId="4" fillId="3" borderId="6" xfId="0" applyFont="1" applyFill="1" applyBorder="1" applyAlignment="1">
      <alignment vertical="center"/>
    </xf>
    <xf numFmtId="4" fontId="4" fillId="3" borderId="6" xfId="0" applyNumberFormat="1" applyFont="1" applyFill="1" applyBorder="1" applyAlignment="1">
      <alignment vertical="center"/>
    </xf>
    <xf numFmtId="0" fontId="4" fillId="3" borderId="6" xfId="0" applyFont="1" applyFill="1" applyBorder="1" applyAlignment="1">
      <alignment vertical="center" wrapText="1"/>
    </xf>
    <xf numFmtId="0" fontId="1" fillId="3" borderId="6" xfId="0" applyFont="1" applyFill="1" applyBorder="1" applyAlignment="1">
      <alignment vertical="center" wrapText="1"/>
    </xf>
    <xf numFmtId="4" fontId="0" fillId="0" borderId="18" xfId="0" applyNumberFormat="1" applyBorder="1" applyAlignment="1">
      <alignment vertical="center"/>
    </xf>
    <xf numFmtId="4" fontId="0" fillId="0" borderId="6" xfId="0" applyNumberFormat="1" applyBorder="1" applyAlignment="1">
      <alignment horizontal="right" vertical="center"/>
    </xf>
    <xf numFmtId="0" fontId="14" fillId="0" borderId="0" xfId="0" applyFont="1" applyAlignment="1">
      <alignment vertical="center"/>
    </xf>
    <xf numFmtId="4" fontId="1" fillId="0" borderId="6" xfId="0" applyNumberFormat="1" applyFont="1" applyBorder="1" applyAlignment="1">
      <alignment shrinkToFit="1"/>
    </xf>
    <xf numFmtId="4" fontId="0" fillId="0" borderId="6" xfId="0" applyNumberFormat="1" applyBorder="1" applyAlignment="1">
      <alignment shrinkToFit="1"/>
    </xf>
    <xf numFmtId="4" fontId="4" fillId="0" borderId="19" xfId="0" applyNumberFormat="1" applyFont="1" applyBorder="1" applyAlignment="1">
      <alignment vertical="center"/>
    </xf>
    <xf numFmtId="4" fontId="7" fillId="3" borderId="6" xfId="0" applyNumberFormat="1" applyFont="1" applyFill="1" applyBorder="1" applyAlignment="1">
      <alignment vertical="center"/>
    </xf>
    <xf numFmtId="0" fontId="0" fillId="3" borderId="6" xfId="0" applyFill="1" applyBorder="1" applyAlignment="1">
      <alignment vertical="center"/>
    </xf>
    <xf numFmtId="0" fontId="1" fillId="3" borderId="13" xfId="0" applyFont="1" applyFill="1" applyBorder="1"/>
    <xf numFmtId="0" fontId="1" fillId="3" borderId="6" xfId="0" applyFont="1" applyFill="1" applyBorder="1" applyAlignment="1">
      <alignment wrapText="1"/>
    </xf>
    <xf numFmtId="0" fontId="1" fillId="0" borderId="0" xfId="0" applyFont="1" applyAlignment="1">
      <alignment vertical="center"/>
    </xf>
    <xf numFmtId="0" fontId="0" fillId="0" borderId="6" xfId="0" applyBorder="1" applyAlignment="1">
      <alignment vertical="center"/>
    </xf>
    <xf numFmtId="4" fontId="1" fillId="0" borderId="6" xfId="0" applyNumberFormat="1" applyFont="1" applyBorder="1" applyAlignment="1">
      <alignment vertical="center"/>
    </xf>
    <xf numFmtId="0" fontId="4" fillId="3" borderId="20" xfId="0" applyFont="1" applyFill="1" applyBorder="1"/>
    <xf numFmtId="0" fontId="4" fillId="3" borderId="7" xfId="0" applyFont="1" applyFill="1" applyBorder="1"/>
    <xf numFmtId="4" fontId="4" fillId="3" borderId="8" xfId="0" applyNumberFormat="1" applyFont="1" applyFill="1" applyBorder="1"/>
    <xf numFmtId="4" fontId="1" fillId="0" borderId="7" xfId="0" applyNumberFormat="1" applyFont="1" applyBorder="1" applyAlignment="1">
      <alignment shrinkToFit="1"/>
    </xf>
    <xf numFmtId="4" fontId="0" fillId="0" borderId="7" xfId="0" applyNumberFormat="1" applyBorder="1" applyAlignment="1">
      <alignment shrinkToFit="1"/>
    </xf>
    <xf numFmtId="4" fontId="0" fillId="0" borderId="11" xfId="0" applyNumberFormat="1" applyBorder="1" applyAlignment="1">
      <alignment vertical="center"/>
    </xf>
    <xf numFmtId="0" fontId="4" fillId="3" borderId="17" xfId="0" applyFont="1" applyFill="1" applyBorder="1"/>
    <xf numFmtId="0" fontId="5" fillId="3" borderId="2" xfId="0" applyFont="1" applyFill="1" applyBorder="1"/>
    <xf numFmtId="4" fontId="5" fillId="3" borderId="2" xfId="0" applyNumberFormat="1" applyFont="1" applyFill="1" applyBorder="1"/>
    <xf numFmtId="0" fontId="4" fillId="3" borderId="14" xfId="0" applyFont="1" applyFill="1" applyBorder="1" applyAlignment="1">
      <alignment vertical="center" wrapText="1"/>
    </xf>
    <xf numFmtId="4" fontId="4" fillId="0" borderId="18" xfId="0" applyNumberFormat="1" applyFont="1" applyBorder="1" applyAlignment="1">
      <alignment vertical="center"/>
    </xf>
    <xf numFmtId="4" fontId="4" fillId="0" borderId="14" xfId="0" applyNumberFormat="1" applyFont="1" applyBorder="1" applyAlignment="1">
      <alignment vertical="center"/>
    </xf>
    <xf numFmtId="4" fontId="4" fillId="0" borderId="5" xfId="0" applyNumberFormat="1" applyFont="1" applyBorder="1" applyAlignment="1">
      <alignment vertical="center"/>
    </xf>
    <xf numFmtId="4" fontId="4" fillId="3" borderId="21" xfId="0" applyNumberFormat="1" applyFont="1" applyFill="1" applyBorder="1" applyAlignment="1">
      <alignment vertical="center"/>
    </xf>
    <xf numFmtId="4" fontId="4" fillId="3" borderId="13" xfId="0" applyNumberFormat="1" applyFont="1" applyFill="1" applyBorder="1" applyAlignment="1">
      <alignment vertical="center"/>
    </xf>
    <xf numFmtId="0" fontId="1" fillId="3" borderId="20" xfId="0" applyFont="1" applyFill="1" applyBorder="1" applyAlignment="1">
      <alignment vertical="center"/>
    </xf>
    <xf numFmtId="4" fontId="0" fillId="0" borderId="21" xfId="0" applyNumberFormat="1" applyBorder="1" applyAlignment="1">
      <alignment vertical="center"/>
    </xf>
    <xf numFmtId="4" fontId="0" fillId="0" borderId="13" xfId="0" applyNumberFormat="1" applyBorder="1" applyAlignment="1">
      <alignment vertical="center"/>
    </xf>
    <xf numFmtId="4" fontId="1" fillId="3" borderId="6" xfId="0" applyNumberFormat="1" applyFont="1" applyFill="1" applyBorder="1" applyAlignment="1">
      <alignment vertical="center"/>
    </xf>
    <xf numFmtId="4" fontId="4" fillId="0" borderId="21" xfId="0" applyNumberFormat="1" applyFont="1" applyBorder="1" applyAlignment="1">
      <alignment vertical="center"/>
    </xf>
    <xf numFmtId="4" fontId="4" fillId="0" borderId="13" xfId="0" applyNumberFormat="1" applyFont="1" applyBorder="1" applyAlignment="1">
      <alignment vertical="center"/>
    </xf>
    <xf numFmtId="0" fontId="4" fillId="3" borderId="13" xfId="0" applyFont="1" applyFill="1" applyBorder="1" applyAlignment="1">
      <alignment vertical="center" wrapText="1"/>
    </xf>
    <xf numFmtId="0" fontId="4" fillId="3" borderId="20" xfId="0" applyFont="1" applyFill="1" applyBorder="1" applyAlignment="1">
      <alignment vertical="center"/>
    </xf>
    <xf numFmtId="4" fontId="0" fillId="0" borderId="22" xfId="0" applyNumberFormat="1" applyBorder="1" applyAlignment="1">
      <alignment vertical="center"/>
    </xf>
    <xf numFmtId="4" fontId="0" fillId="0" borderId="20" xfId="0" applyNumberFormat="1" applyBorder="1" applyAlignment="1">
      <alignment vertical="center"/>
    </xf>
    <xf numFmtId="0" fontId="4" fillId="3" borderId="7" xfId="0" applyFont="1" applyFill="1" applyBorder="1" applyAlignment="1">
      <alignment vertical="center"/>
    </xf>
    <xf numFmtId="4" fontId="4" fillId="3" borderId="11" xfId="0" applyNumberFormat="1" applyFont="1" applyFill="1" applyBorder="1" applyAlignment="1">
      <alignment vertical="center"/>
    </xf>
    <xf numFmtId="0" fontId="4" fillId="3" borderId="2" xfId="0" applyFont="1" applyFill="1" applyBorder="1"/>
    <xf numFmtId="4" fontId="5" fillId="3" borderId="17" xfId="0" applyNumberFormat="1" applyFont="1" applyFill="1" applyBorder="1"/>
    <xf numFmtId="0" fontId="4" fillId="3" borderId="4" xfId="0" applyFont="1" applyFill="1" applyBorder="1"/>
    <xf numFmtId="4" fontId="4" fillId="3" borderId="4" xfId="0" applyNumberFormat="1" applyFont="1" applyFill="1" applyBorder="1"/>
    <xf numFmtId="4" fontId="4" fillId="3" borderId="14" xfId="0" applyNumberFormat="1" applyFont="1" applyFill="1" applyBorder="1"/>
    <xf numFmtId="0" fontId="0" fillId="3" borderId="4" xfId="0" applyFill="1" applyBorder="1"/>
    <xf numFmtId="4" fontId="0" fillId="3" borderId="4" xfId="0" applyNumberFormat="1" applyFill="1" applyBorder="1"/>
    <xf numFmtId="4" fontId="0" fillId="3" borderId="14" xfId="0" applyNumberFormat="1" applyFill="1" applyBorder="1"/>
    <xf numFmtId="0" fontId="4" fillId="3" borderId="4" xfId="0" applyFont="1" applyFill="1" applyBorder="1" applyAlignment="1">
      <alignment vertical="center" wrapText="1"/>
    </xf>
    <xf numFmtId="4" fontId="4" fillId="3" borderId="4" xfId="0" applyNumberFormat="1" applyFont="1" applyFill="1" applyBorder="1" applyAlignment="1">
      <alignment vertical="center"/>
    </xf>
    <xf numFmtId="4" fontId="0" fillId="3" borderId="13" xfId="0" applyNumberFormat="1" applyFill="1" applyBorder="1" applyAlignment="1">
      <alignment vertical="center"/>
    </xf>
    <xf numFmtId="0" fontId="1" fillId="0" borderId="7" xfId="0" applyFont="1" applyBorder="1" applyAlignment="1">
      <alignment vertical="center"/>
    </xf>
    <xf numFmtId="4" fontId="0" fillId="3" borderId="7" xfId="0" applyNumberFormat="1" applyFill="1" applyBorder="1" applyAlignment="1">
      <alignment vertical="center"/>
    </xf>
    <xf numFmtId="4" fontId="0" fillId="3" borderId="20" xfId="0" applyNumberFormat="1" applyFill="1" applyBorder="1" applyAlignment="1">
      <alignment vertical="center"/>
    </xf>
    <xf numFmtId="0" fontId="4" fillId="0" borderId="7" xfId="0" applyFont="1" applyBorder="1" applyAlignment="1">
      <alignment vertical="center"/>
    </xf>
    <xf numFmtId="4" fontId="1" fillId="0" borderId="7" xfId="0" applyNumberFormat="1" applyFont="1" applyBorder="1" applyAlignment="1">
      <alignment vertical="center"/>
    </xf>
    <xf numFmtId="4" fontId="1" fillId="0" borderId="20" xfId="0" applyNumberFormat="1" applyFont="1" applyBorder="1" applyAlignment="1">
      <alignment vertical="center"/>
    </xf>
    <xf numFmtId="4" fontId="1" fillId="0" borderId="13" xfId="0" applyNumberFormat="1" applyFont="1" applyBorder="1" applyAlignment="1">
      <alignment vertical="center"/>
    </xf>
    <xf numFmtId="0" fontId="19" fillId="3" borderId="6" xfId="0" applyFont="1" applyFill="1" applyBorder="1" applyAlignment="1">
      <alignment horizontal="right" vertical="center"/>
    </xf>
    <xf numFmtId="4" fontId="4" fillId="0" borderId="13" xfId="0" applyNumberFormat="1" applyFont="1" applyBorder="1"/>
    <xf numFmtId="4" fontId="0" fillId="0" borderId="13" xfId="0" applyNumberFormat="1" applyBorder="1"/>
    <xf numFmtId="0" fontId="4" fillId="0" borderId="13" xfId="0" applyFont="1" applyBorder="1" applyAlignment="1">
      <alignment vertical="center" wrapText="1"/>
    </xf>
    <xf numFmtId="4" fontId="4" fillId="0" borderId="6" xfId="3" applyNumberFormat="1" applyFont="1" applyFill="1" applyBorder="1" applyAlignment="1" applyProtection="1">
      <alignment vertical="center"/>
    </xf>
    <xf numFmtId="4" fontId="4" fillId="0" borderId="13" xfId="3" applyNumberFormat="1" applyFont="1" applyFill="1" applyBorder="1" applyAlignment="1" applyProtection="1">
      <alignment vertical="center"/>
    </xf>
    <xf numFmtId="4" fontId="0" fillId="3" borderId="7" xfId="0" applyNumberFormat="1" applyFill="1" applyBorder="1"/>
    <xf numFmtId="0" fontId="1" fillId="3" borderId="7" xfId="0" applyFont="1" applyFill="1" applyBorder="1" applyAlignment="1">
      <alignment vertical="center"/>
    </xf>
    <xf numFmtId="4" fontId="1" fillId="3" borderId="7" xfId="0" applyNumberFormat="1" applyFont="1" applyFill="1" applyBorder="1" applyAlignment="1">
      <alignment vertical="center"/>
    </xf>
    <xf numFmtId="4" fontId="1" fillId="3" borderId="20" xfId="0" applyNumberFormat="1" applyFont="1" applyFill="1" applyBorder="1" applyAlignment="1">
      <alignment vertical="center"/>
    </xf>
    <xf numFmtId="4" fontId="4" fillId="3" borderId="6" xfId="3" applyNumberFormat="1" applyFont="1" applyFill="1" applyBorder="1" applyAlignment="1" applyProtection="1">
      <alignment vertical="center"/>
    </xf>
    <xf numFmtId="4" fontId="4" fillId="3" borderId="13" xfId="3" applyNumberFormat="1" applyFont="1" applyFill="1" applyBorder="1" applyAlignment="1" applyProtection="1">
      <alignment vertical="center"/>
    </xf>
    <xf numFmtId="0" fontId="0" fillId="3" borderId="7" xfId="0" applyFill="1" applyBorder="1" applyAlignment="1">
      <alignment vertical="center"/>
    </xf>
    <xf numFmtId="0" fontId="0" fillId="3" borderId="7" xfId="0" applyFill="1" applyBorder="1" applyAlignment="1">
      <alignment vertical="center" wrapText="1"/>
    </xf>
    <xf numFmtId="4" fontId="0" fillId="3" borderId="6" xfId="0" applyNumberFormat="1" applyFill="1" applyBorder="1"/>
    <xf numFmtId="0" fontId="4" fillId="3" borderId="8" xfId="0" applyFont="1" applyFill="1" applyBorder="1" applyAlignment="1">
      <alignment vertical="center"/>
    </xf>
    <xf numFmtId="0" fontId="1" fillId="3" borderId="7" xfId="0" applyFont="1" applyFill="1" applyBorder="1" applyAlignment="1">
      <alignment vertical="center" wrapText="1"/>
    </xf>
    <xf numFmtId="4" fontId="4" fillId="0" borderId="8" xfId="0" applyNumberFormat="1" applyFont="1" applyBorder="1" applyAlignment="1">
      <alignment vertical="center"/>
    </xf>
    <xf numFmtId="4" fontId="0" fillId="0" borderId="16" xfId="0" applyNumberFormat="1" applyBorder="1" applyAlignment="1">
      <alignment vertical="center"/>
    </xf>
    <xf numFmtId="0" fontId="14" fillId="3" borderId="17" xfId="0" applyFont="1" applyFill="1" applyBorder="1"/>
    <xf numFmtId="4" fontId="6" fillId="3" borderId="2" xfId="0" applyNumberFormat="1" applyFont="1" applyFill="1" applyBorder="1" applyAlignment="1">
      <alignment vertical="center" shrinkToFit="1"/>
    </xf>
    <xf numFmtId="0" fontId="4" fillId="3" borderId="23" xfId="0" applyFont="1" applyFill="1" applyBorder="1"/>
    <xf numFmtId="0" fontId="5" fillId="3" borderId="9" xfId="0" applyFont="1" applyFill="1" applyBorder="1"/>
    <xf numFmtId="4" fontId="1" fillId="3" borderId="2" xfId="0" applyNumberFormat="1" applyFont="1" applyFill="1" applyBorder="1" applyAlignment="1">
      <alignment vertical="center"/>
    </xf>
    <xf numFmtId="4" fontId="0" fillId="3" borderId="2" xfId="0" applyNumberFormat="1" applyFill="1" applyBorder="1" applyAlignment="1">
      <alignment vertical="center"/>
    </xf>
    <xf numFmtId="4" fontId="0" fillId="0" borderId="2" xfId="0" applyNumberFormat="1" applyBorder="1" applyAlignment="1">
      <alignment vertical="center"/>
    </xf>
    <xf numFmtId="4" fontId="5" fillId="3" borderId="2" xfId="0" applyNumberFormat="1" applyFont="1" applyFill="1" applyBorder="1" applyAlignment="1">
      <alignment shrinkToFit="1"/>
    </xf>
    <xf numFmtId="0" fontId="4" fillId="3" borderId="12" xfId="0" applyFont="1" applyFill="1" applyBorder="1" applyAlignment="1">
      <alignment horizontal="left" vertical="center" wrapText="1"/>
    </xf>
    <xf numFmtId="0" fontId="4" fillId="0" borderId="14" xfId="0" applyFont="1" applyBorder="1" applyAlignment="1">
      <alignment horizontal="left" vertical="center" wrapText="1"/>
    </xf>
    <xf numFmtId="0" fontId="20" fillId="0" borderId="0" xfId="0" applyFont="1"/>
    <xf numFmtId="0" fontId="21" fillId="0" borderId="0" xfId="0" applyFont="1"/>
    <xf numFmtId="0" fontId="0" fillId="3" borderId="13" xfId="0" applyFill="1" applyBorder="1" applyAlignment="1">
      <alignment vertical="center" wrapText="1"/>
    </xf>
    <xf numFmtId="0" fontId="1" fillId="3" borderId="23" xfId="0" applyFont="1" applyFill="1" applyBorder="1" applyAlignment="1">
      <alignment vertical="center"/>
    </xf>
    <xf numFmtId="165" fontId="1" fillId="3" borderId="9" xfId="0" applyNumberFormat="1" applyFont="1" applyFill="1" applyBorder="1" applyAlignment="1">
      <alignment vertical="center"/>
    </xf>
    <xf numFmtId="4" fontId="0" fillId="3" borderId="8" xfId="0" applyNumberFormat="1" applyFill="1" applyBorder="1" applyAlignment="1">
      <alignment vertical="center"/>
    </xf>
    <xf numFmtId="4" fontId="0" fillId="0" borderId="8" xfId="0" applyNumberFormat="1" applyBorder="1" applyAlignment="1">
      <alignment vertical="center"/>
    </xf>
    <xf numFmtId="0" fontId="20" fillId="3" borderId="17" xfId="0" applyFont="1" applyFill="1" applyBorder="1"/>
    <xf numFmtId="4" fontId="14" fillId="3" borderId="2" xfId="0" applyNumberFormat="1" applyFont="1" applyFill="1" applyBorder="1" applyAlignment="1">
      <alignment shrinkToFit="1"/>
    </xf>
    <xf numFmtId="0" fontId="5" fillId="0" borderId="0" xfId="0" applyFont="1"/>
    <xf numFmtId="0" fontId="20" fillId="3" borderId="3" xfId="0" applyFont="1" applyFill="1" applyBorder="1"/>
    <xf numFmtId="0" fontId="13" fillId="3" borderId="3" xfId="0" applyFont="1" applyFill="1" applyBorder="1"/>
    <xf numFmtId="165" fontId="13" fillId="3" borderId="3" xfId="0" applyNumberFormat="1" applyFont="1" applyFill="1" applyBorder="1" applyAlignment="1">
      <alignment shrinkToFit="1"/>
    </xf>
    <xf numFmtId="4" fontId="0" fillId="3" borderId="3" xfId="0" applyNumberFormat="1" applyFill="1" applyBorder="1" applyAlignment="1">
      <alignment vertical="center"/>
    </xf>
    <xf numFmtId="4" fontId="0" fillId="0" borderId="3" xfId="0" applyNumberFormat="1" applyBorder="1" applyAlignment="1">
      <alignment vertical="center"/>
    </xf>
    <xf numFmtId="0" fontId="1" fillId="3" borderId="17" xfId="0" applyFont="1" applyFill="1" applyBorder="1"/>
    <xf numFmtId="0" fontId="17" fillId="3" borderId="17" xfId="0" applyFont="1" applyFill="1" applyBorder="1"/>
    <xf numFmtId="0" fontId="5" fillId="3" borderId="2" xfId="0" applyFont="1" applyFill="1" applyBorder="1" applyAlignment="1">
      <alignment vertical="center"/>
    </xf>
    <xf numFmtId="4" fontId="5" fillId="3" borderId="2" xfId="0" applyNumberFormat="1" applyFont="1" applyFill="1" applyBorder="1" applyAlignment="1">
      <alignment vertical="center"/>
    </xf>
    <xf numFmtId="0" fontId="4" fillId="3" borderId="5" xfId="0" applyFont="1" applyFill="1" applyBorder="1" applyAlignment="1">
      <alignment vertical="center"/>
    </xf>
    <xf numFmtId="4" fontId="4" fillId="3" borderId="10" xfId="0" applyNumberFormat="1" applyFont="1" applyFill="1" applyBorder="1" applyAlignment="1">
      <alignment vertical="center"/>
    </xf>
    <xf numFmtId="0" fontId="22" fillId="3" borderId="6" xfId="0" applyFont="1" applyFill="1" applyBorder="1" applyAlignment="1">
      <alignment vertical="center"/>
    </xf>
    <xf numFmtId="4" fontId="0" fillId="3" borderId="6" xfId="0" applyNumberFormat="1" applyFill="1" applyBorder="1" applyAlignment="1">
      <alignment horizontal="right" vertical="center"/>
    </xf>
    <xf numFmtId="0" fontId="4" fillId="3" borderId="9" xfId="0" applyFont="1" applyFill="1" applyBorder="1" applyAlignment="1">
      <alignment vertical="center"/>
    </xf>
    <xf numFmtId="0" fontId="4" fillId="3" borderId="12" xfId="0" applyFont="1" applyFill="1" applyBorder="1" applyAlignment="1">
      <alignment vertical="center"/>
    </xf>
    <xf numFmtId="0" fontId="0" fillId="3" borderId="14" xfId="0" applyFill="1" applyBorder="1" applyAlignment="1">
      <alignment vertical="center"/>
    </xf>
    <xf numFmtId="0" fontId="1" fillId="3" borderId="14" xfId="0" applyFont="1" applyFill="1" applyBorder="1" applyAlignment="1">
      <alignment vertical="center"/>
    </xf>
    <xf numFmtId="0" fontId="4" fillId="3" borderId="23" xfId="0" applyFont="1" applyFill="1" applyBorder="1" applyAlignment="1">
      <alignment vertical="center"/>
    </xf>
    <xf numFmtId="0" fontId="22" fillId="3" borderId="11" xfId="0" applyFont="1" applyFill="1" applyBorder="1" applyAlignment="1">
      <alignment vertical="center"/>
    </xf>
    <xf numFmtId="0" fontId="1" fillId="3" borderId="15" xfId="0" applyFont="1" applyFill="1" applyBorder="1" applyAlignment="1">
      <alignment vertical="center"/>
    </xf>
    <xf numFmtId="4" fontId="0" fillId="3" borderId="11" xfId="0" applyNumberFormat="1" applyFill="1" applyBorder="1" applyAlignment="1">
      <alignment vertical="center"/>
    </xf>
    <xf numFmtId="4" fontId="0" fillId="0" borderId="7" xfId="0" applyNumberFormat="1" applyBorder="1" applyAlignment="1">
      <alignment vertical="center"/>
    </xf>
    <xf numFmtId="4" fontId="23" fillId="0" borderId="4" xfId="0" applyNumberFormat="1" applyFont="1" applyBorder="1" applyAlignment="1">
      <alignment vertical="center"/>
    </xf>
    <xf numFmtId="0" fontId="22" fillId="3" borderId="9" xfId="0" applyFont="1" applyFill="1" applyBorder="1" applyAlignment="1">
      <alignment vertical="center"/>
    </xf>
    <xf numFmtId="0" fontId="22" fillId="3" borderId="7" xfId="0" applyFont="1" applyFill="1" applyBorder="1" applyAlignment="1">
      <alignment vertical="center"/>
    </xf>
    <xf numFmtId="4" fontId="24" fillId="3" borderId="2" xfId="0" applyNumberFormat="1" applyFont="1" applyFill="1" applyBorder="1"/>
    <xf numFmtId="0" fontId="0" fillId="3" borderId="6" xfId="0" applyFill="1" applyBorder="1" applyAlignment="1">
      <alignment horizontal="left" vertical="center"/>
    </xf>
    <xf numFmtId="0" fontId="0" fillId="3" borderId="4" xfId="0" applyFill="1" applyBorder="1" applyAlignment="1">
      <alignment horizontal="left" vertical="center"/>
    </xf>
    <xf numFmtId="0" fontId="22" fillId="3" borderId="4" xfId="0" applyFont="1" applyFill="1" applyBorder="1" applyAlignment="1">
      <alignment vertical="center"/>
    </xf>
    <xf numFmtId="0" fontId="1" fillId="3" borderId="4" xfId="0" applyFont="1" applyFill="1" applyBorder="1" applyAlignment="1">
      <alignment vertical="center"/>
    </xf>
    <xf numFmtId="4" fontId="0" fillId="3" borderId="21" xfId="0" applyNumberFormat="1" applyFill="1" applyBorder="1" applyAlignment="1">
      <alignment vertical="center"/>
    </xf>
    <xf numFmtId="0" fontId="1" fillId="3" borderId="9" xfId="0" applyFont="1" applyFill="1" applyBorder="1" applyAlignment="1">
      <alignment vertical="center"/>
    </xf>
    <xf numFmtId="0" fontId="22" fillId="0" borderId="17" xfId="0" applyFont="1" applyBorder="1" applyAlignment="1">
      <alignment vertical="center"/>
    </xf>
    <xf numFmtId="0" fontId="14" fillId="0" borderId="2" xfId="0" applyFont="1" applyBorder="1" applyAlignment="1">
      <alignment vertical="center"/>
    </xf>
    <xf numFmtId="4" fontId="14" fillId="0" borderId="3" xfId="0" applyNumberFormat="1" applyFont="1" applyBorder="1" applyAlignment="1">
      <alignment vertical="center"/>
    </xf>
    <xf numFmtId="4" fontId="14" fillId="0" borderId="17" xfId="0" applyNumberFormat="1" applyFont="1" applyBorder="1" applyAlignment="1">
      <alignment vertical="center"/>
    </xf>
    <xf numFmtId="4" fontId="14" fillId="0" borderId="2" xfId="0" applyNumberFormat="1" applyFont="1" applyBorder="1" applyAlignment="1">
      <alignment vertical="center"/>
    </xf>
    <xf numFmtId="4" fontId="25" fillId="0" borderId="2" xfId="0" applyNumberFormat="1" applyFont="1" applyBorder="1" applyAlignment="1">
      <alignment vertical="center"/>
    </xf>
    <xf numFmtId="0" fontId="4" fillId="0" borderId="17" xfId="0" applyFont="1" applyBorder="1" applyAlignment="1">
      <alignment vertical="center"/>
    </xf>
    <xf numFmtId="0" fontId="5" fillId="0" borderId="2" xfId="0" applyFont="1" applyBorder="1" applyAlignment="1">
      <alignment vertical="center"/>
    </xf>
    <xf numFmtId="4" fontId="5" fillId="0" borderId="24" xfId="0" applyNumberFormat="1" applyFont="1" applyBorder="1" applyAlignment="1">
      <alignment vertical="center"/>
    </xf>
    <xf numFmtId="4" fontId="5" fillId="0" borderId="25" xfId="0" applyNumberFormat="1" applyFont="1" applyBorder="1" applyAlignment="1">
      <alignment vertical="center"/>
    </xf>
    <xf numFmtId="4" fontId="5" fillId="0" borderId="2" xfId="0" applyNumberFormat="1" applyFont="1" applyBorder="1" applyAlignment="1">
      <alignment vertical="center"/>
    </xf>
    <xf numFmtId="4" fontId="5" fillId="0" borderId="3" xfId="0" applyNumberFormat="1" applyFont="1" applyBorder="1" applyAlignment="1">
      <alignment vertical="center"/>
    </xf>
    <xf numFmtId="0" fontId="4" fillId="0" borderId="12" xfId="0" applyFont="1" applyBorder="1" applyAlignment="1">
      <alignment vertical="center"/>
    </xf>
    <xf numFmtId="0" fontId="4" fillId="0" borderId="5" xfId="0" applyFont="1" applyBorder="1" applyAlignment="1">
      <alignment vertical="center"/>
    </xf>
    <xf numFmtId="4" fontId="4" fillId="0" borderId="26" xfId="0" applyNumberFormat="1" applyFont="1" applyBorder="1" applyAlignment="1">
      <alignment vertical="center"/>
    </xf>
    <xf numFmtId="4" fontId="4" fillId="0" borderId="27" xfId="0" applyNumberFormat="1" applyFont="1" applyBorder="1" applyAlignment="1">
      <alignment vertical="center"/>
    </xf>
    <xf numFmtId="4" fontId="4" fillId="0" borderId="28" xfId="0" applyNumberFormat="1" applyFont="1" applyBorder="1" applyAlignment="1">
      <alignment vertical="center"/>
    </xf>
    <xf numFmtId="0" fontId="22" fillId="0" borderId="13" xfId="0" applyFont="1" applyBorder="1" applyAlignment="1">
      <alignment vertical="center"/>
    </xf>
    <xf numFmtId="4" fontId="0" fillId="0" borderId="29" xfId="0" applyNumberFormat="1" applyBorder="1" applyAlignment="1">
      <alignment vertical="center"/>
    </xf>
    <xf numFmtId="4" fontId="0" fillId="0" borderId="30" xfId="0" applyNumberFormat="1" applyBorder="1" applyAlignment="1">
      <alignment vertical="center"/>
    </xf>
    <xf numFmtId="4" fontId="0" fillId="0" borderId="19" xfId="0" applyNumberFormat="1" applyBorder="1" applyAlignment="1">
      <alignment vertical="center"/>
    </xf>
    <xf numFmtId="4" fontId="0" fillId="0" borderId="31" xfId="0" applyNumberFormat="1" applyBorder="1" applyAlignment="1">
      <alignment vertical="center"/>
    </xf>
    <xf numFmtId="4" fontId="0" fillId="0" borderId="32" xfId="0" applyNumberFormat="1" applyBorder="1" applyAlignment="1">
      <alignment vertical="center"/>
    </xf>
    <xf numFmtId="4" fontId="4" fillId="0" borderId="29" xfId="0" applyNumberFormat="1" applyFont="1" applyBorder="1" applyAlignment="1">
      <alignment vertical="center"/>
    </xf>
    <xf numFmtId="4" fontId="4" fillId="0" borderId="33" xfId="0" applyNumberFormat="1" applyFont="1" applyBorder="1" applyAlignment="1">
      <alignment vertical="center"/>
    </xf>
    <xf numFmtId="4" fontId="4" fillId="0" borderId="34" xfId="0" applyNumberFormat="1" applyFont="1" applyBorder="1" applyAlignment="1">
      <alignment vertical="center"/>
    </xf>
    <xf numFmtId="4" fontId="0" fillId="0" borderId="35" xfId="0" applyNumberFormat="1" applyBorder="1" applyAlignment="1">
      <alignment vertical="center"/>
    </xf>
    <xf numFmtId="4" fontId="0" fillId="0" borderId="33" xfId="0" applyNumberFormat="1" applyBorder="1" applyAlignment="1">
      <alignment vertical="center"/>
    </xf>
    <xf numFmtId="4" fontId="0" fillId="0" borderId="34" xfId="0" applyNumberFormat="1" applyBorder="1" applyAlignment="1">
      <alignment vertical="center"/>
    </xf>
    <xf numFmtId="0" fontId="0" fillId="0" borderId="4" xfId="0" applyBorder="1" applyAlignment="1">
      <alignment vertical="center"/>
    </xf>
    <xf numFmtId="0" fontId="22" fillId="0" borderId="20" xfId="0" applyFont="1" applyBorder="1" applyAlignment="1">
      <alignment vertical="center"/>
    </xf>
    <xf numFmtId="0" fontId="0" fillId="0" borderId="9" xfId="0" applyBorder="1" applyAlignment="1">
      <alignment vertical="center"/>
    </xf>
    <xf numFmtId="4" fontId="0" fillId="0" borderId="36" xfId="0" applyNumberFormat="1" applyBorder="1" applyAlignment="1">
      <alignment vertical="center"/>
    </xf>
    <xf numFmtId="4" fontId="0" fillId="0" borderId="37" xfId="0" applyNumberFormat="1" applyBorder="1" applyAlignment="1">
      <alignment vertical="center"/>
    </xf>
    <xf numFmtId="4" fontId="0" fillId="0" borderId="38" xfId="0" applyNumberFormat="1" applyBorder="1" applyAlignment="1">
      <alignment vertical="center"/>
    </xf>
    <xf numFmtId="0" fontId="5" fillId="0" borderId="17" xfId="0" applyFont="1" applyBorder="1"/>
    <xf numFmtId="4" fontId="4" fillId="0" borderId="30" xfId="0" applyNumberFormat="1" applyFont="1" applyBorder="1" applyAlignment="1">
      <alignment vertical="center"/>
    </xf>
    <xf numFmtId="0" fontId="0" fillId="0" borderId="8" xfId="0" applyBorder="1" applyAlignment="1">
      <alignment vertical="center"/>
    </xf>
    <xf numFmtId="4" fontId="0" fillId="0" borderId="39" xfId="0" applyNumberFormat="1" applyBorder="1" applyAlignment="1">
      <alignment vertical="center"/>
    </xf>
    <xf numFmtId="4" fontId="0" fillId="0" borderId="40" xfId="0" applyNumberFormat="1" applyBorder="1" applyAlignment="1">
      <alignment vertical="center"/>
    </xf>
    <xf numFmtId="4" fontId="0" fillId="0" borderId="41" xfId="0" applyNumberFormat="1" applyBorder="1" applyAlignment="1">
      <alignment vertical="center"/>
    </xf>
    <xf numFmtId="0" fontId="19" fillId="0" borderId="6" xfId="0" applyFont="1" applyBorder="1" applyAlignment="1">
      <alignment vertical="center" wrapText="1"/>
    </xf>
    <xf numFmtId="4" fontId="5" fillId="0" borderId="24" xfId="0" applyNumberFormat="1" applyFont="1" applyBorder="1"/>
    <xf numFmtId="4" fontId="5" fillId="0" borderId="25" xfId="0" applyNumberFormat="1" applyFont="1" applyBorder="1"/>
    <xf numFmtId="4" fontId="5" fillId="0" borderId="3" xfId="0" applyNumberFormat="1" applyFont="1" applyBorder="1"/>
    <xf numFmtId="0" fontId="0" fillId="0" borderId="7" xfId="0" applyBorder="1" applyAlignment="1">
      <alignment vertical="center"/>
    </xf>
    <xf numFmtId="4" fontId="0" fillId="0" borderId="42" xfId="0" applyNumberFormat="1" applyBorder="1" applyAlignment="1">
      <alignment vertical="center"/>
    </xf>
    <xf numFmtId="4" fontId="0" fillId="0" borderId="43" xfId="0" applyNumberFormat="1" applyBorder="1" applyAlignment="1">
      <alignment vertical="center"/>
    </xf>
    <xf numFmtId="4" fontId="0" fillId="0" borderId="44" xfId="0" applyNumberFormat="1" applyBorder="1" applyAlignment="1">
      <alignment vertical="center"/>
    </xf>
    <xf numFmtId="0" fontId="22" fillId="0" borderId="14" xfId="0" applyFont="1" applyBorder="1" applyAlignment="1">
      <alignment vertical="center"/>
    </xf>
    <xf numFmtId="4" fontId="0" fillId="0" borderId="45" xfId="0" applyNumberFormat="1" applyBorder="1" applyAlignment="1">
      <alignment vertical="center"/>
    </xf>
    <xf numFmtId="4" fontId="0" fillId="0" borderId="46" xfId="0" applyNumberFormat="1" applyBorder="1" applyAlignment="1">
      <alignment vertical="center"/>
    </xf>
    <xf numFmtId="0" fontId="22" fillId="0" borderId="16" xfId="0" applyFont="1" applyBorder="1" applyAlignment="1">
      <alignment vertical="center"/>
    </xf>
    <xf numFmtId="0" fontId="4" fillId="3" borderId="2" xfId="0" applyFont="1" applyFill="1" applyBorder="1" applyAlignment="1">
      <alignment vertical="center"/>
    </xf>
    <xf numFmtId="0" fontId="14" fillId="3" borderId="2" xfId="0" applyFont="1" applyFill="1" applyBorder="1" applyAlignment="1">
      <alignment vertical="center"/>
    </xf>
    <xf numFmtId="4" fontId="6" fillId="3" borderId="2" xfId="0" applyNumberFormat="1" applyFont="1" applyFill="1" applyBorder="1" applyAlignment="1">
      <alignment vertical="center"/>
    </xf>
    <xf numFmtId="4" fontId="4" fillId="3" borderId="4" xfId="0" applyNumberFormat="1" applyFont="1" applyFill="1" applyBorder="1" applyAlignment="1">
      <alignment vertical="center" wrapText="1"/>
    </xf>
    <xf numFmtId="4" fontId="4" fillId="0" borderId="0" xfId="0" applyNumberFormat="1" applyFont="1" applyAlignment="1">
      <alignment horizontal="right" vertical="center"/>
    </xf>
    <xf numFmtId="4" fontId="4" fillId="0" borderId="23" xfId="0" applyNumberFormat="1" applyFont="1" applyBorder="1" applyAlignment="1">
      <alignment horizontal="right" vertical="center"/>
    </xf>
    <xf numFmtId="4" fontId="4" fillId="0" borderId="19" xfId="0" applyNumberFormat="1" applyFont="1" applyBorder="1" applyAlignment="1">
      <alignment horizontal="right" vertical="center"/>
    </xf>
    <xf numFmtId="4" fontId="4" fillId="0" borderId="13" xfId="0" applyNumberFormat="1" applyFont="1" applyBorder="1" applyAlignment="1">
      <alignment horizontal="right" vertical="center"/>
    </xf>
    <xf numFmtId="0" fontId="4" fillId="3" borderId="13" xfId="0" applyFont="1" applyFill="1" applyBorder="1"/>
    <xf numFmtId="4" fontId="4" fillId="3" borderId="0" xfId="0" applyNumberFormat="1" applyFont="1" applyFill="1" applyAlignment="1">
      <alignment vertical="center"/>
    </xf>
    <xf numFmtId="4" fontId="0" fillId="3" borderId="23" xfId="0" applyNumberFormat="1" applyFill="1" applyBorder="1" applyAlignment="1">
      <alignment vertical="center"/>
    </xf>
    <xf numFmtId="0" fontId="5" fillId="0" borderId="15" xfId="0" applyFont="1" applyBorder="1"/>
    <xf numFmtId="0" fontId="4" fillId="3" borderId="6" xfId="0" applyFont="1" applyFill="1" applyBorder="1"/>
    <xf numFmtId="0" fontId="4" fillId="3" borderId="0" xfId="0" applyFont="1" applyFill="1"/>
    <xf numFmtId="0" fontId="5" fillId="3" borderId="17" xfId="0" applyFont="1" applyFill="1" applyBorder="1"/>
    <xf numFmtId="4" fontId="14" fillId="3" borderId="2" xfId="0" applyNumberFormat="1" applyFont="1" applyFill="1" applyBorder="1" applyAlignment="1">
      <alignment vertical="center"/>
    </xf>
    <xf numFmtId="4" fontId="14" fillId="3" borderId="17" xfId="0" applyNumberFormat="1" applyFont="1" applyFill="1" applyBorder="1" applyAlignment="1">
      <alignment vertical="center"/>
    </xf>
    <xf numFmtId="4" fontId="4" fillId="3" borderId="46" xfId="0" applyNumberFormat="1" applyFont="1" applyFill="1" applyBorder="1" applyAlignment="1">
      <alignment vertical="center"/>
    </xf>
    <xf numFmtId="4" fontId="4" fillId="3" borderId="14" xfId="0" applyNumberFormat="1" applyFont="1" applyFill="1" applyBorder="1" applyAlignment="1">
      <alignment vertical="center"/>
    </xf>
    <xf numFmtId="4" fontId="4" fillId="3" borderId="19" xfId="0" applyNumberFormat="1" applyFont="1" applyFill="1" applyBorder="1" applyAlignment="1">
      <alignment vertical="center"/>
    </xf>
    <xf numFmtId="0" fontId="4" fillId="3" borderId="16" xfId="0" applyFont="1" applyFill="1" applyBorder="1"/>
    <xf numFmtId="0" fontId="4" fillId="3" borderId="8" xfId="0" applyFont="1" applyFill="1" applyBorder="1"/>
    <xf numFmtId="4" fontId="4" fillId="3" borderId="11" xfId="0" applyNumberFormat="1" applyFont="1" applyFill="1" applyBorder="1"/>
    <xf numFmtId="0" fontId="5" fillId="3" borderId="17" xfId="0" applyFont="1" applyFill="1" applyBorder="1" applyAlignment="1">
      <alignment vertical="center"/>
    </xf>
    <xf numFmtId="0" fontId="19" fillId="3" borderId="13" xfId="0" applyFont="1" applyFill="1" applyBorder="1" applyAlignment="1">
      <alignment vertical="center"/>
    </xf>
    <xf numFmtId="0" fontId="1" fillId="3" borderId="13" xfId="0" applyFont="1" applyFill="1" applyBorder="1" applyAlignment="1">
      <alignment vertical="center" wrapText="1"/>
    </xf>
    <xf numFmtId="0" fontId="19" fillId="3" borderId="13" xfId="0" applyFont="1" applyFill="1" applyBorder="1"/>
    <xf numFmtId="0" fontId="19" fillId="3" borderId="23" xfId="0" applyFont="1" applyFill="1" applyBorder="1"/>
    <xf numFmtId="4" fontId="0" fillId="3" borderId="11" xfId="0" applyNumberFormat="1" applyFill="1" applyBorder="1"/>
    <xf numFmtId="4" fontId="0" fillId="0" borderId="47" xfId="0" applyNumberFormat="1" applyBorder="1" applyAlignment="1">
      <alignment vertical="center"/>
    </xf>
    <xf numFmtId="0" fontId="4" fillId="3" borderId="15" xfId="0" applyFont="1" applyFill="1" applyBorder="1" applyAlignment="1">
      <alignment vertical="center"/>
    </xf>
    <xf numFmtId="0" fontId="4" fillId="3" borderId="11" xfId="0" applyFont="1" applyFill="1" applyBorder="1" applyAlignment="1">
      <alignment vertical="center"/>
    </xf>
    <xf numFmtId="4" fontId="6" fillId="0" borderId="11" xfId="0" applyNumberFormat="1" applyFont="1" applyBorder="1"/>
    <xf numFmtId="4" fontId="6" fillId="0" borderId="2" xfId="0" applyNumberFormat="1" applyFont="1" applyBorder="1"/>
    <xf numFmtId="4" fontId="6" fillId="0" borderId="17" xfId="0" applyNumberFormat="1" applyFont="1" applyBorder="1"/>
    <xf numFmtId="0" fontId="4" fillId="0" borderId="9" xfId="0" applyFont="1" applyBorder="1" applyAlignment="1">
      <alignment vertical="center"/>
    </xf>
    <xf numFmtId="4" fontId="4" fillId="0" borderId="9" xfId="0" applyNumberFormat="1" applyFont="1" applyBorder="1" applyAlignment="1">
      <alignment vertical="center"/>
    </xf>
    <xf numFmtId="4" fontId="4" fillId="0" borderId="23" xfId="0" applyNumberFormat="1" applyFont="1" applyBorder="1" applyAlignment="1">
      <alignment vertical="center"/>
    </xf>
    <xf numFmtId="0" fontId="14" fillId="0" borderId="2" xfId="0" applyFont="1" applyBorder="1" applyAlignment="1">
      <alignment wrapText="1"/>
    </xf>
    <xf numFmtId="0" fontId="5" fillId="0" borderId="2" xfId="0" applyFont="1" applyBorder="1" applyAlignment="1">
      <alignment wrapText="1"/>
    </xf>
    <xf numFmtId="0" fontId="4" fillId="0" borderId="4" xfId="0" applyFont="1" applyBorder="1" applyAlignment="1">
      <alignment vertical="center" wrapText="1"/>
    </xf>
    <xf numFmtId="0" fontId="26" fillId="0" borderId="6" xfId="0" applyFont="1" applyBorder="1" applyAlignment="1">
      <alignment vertical="center" wrapText="1"/>
    </xf>
    <xf numFmtId="4" fontId="26" fillId="3" borderId="6" xfId="0" applyNumberFormat="1" applyFont="1" applyFill="1" applyBorder="1" applyAlignment="1">
      <alignment vertical="center"/>
    </xf>
    <xf numFmtId="4" fontId="26" fillId="0" borderId="6" xfId="0" applyNumberFormat="1" applyFont="1" applyBorder="1" applyAlignment="1">
      <alignment vertical="center"/>
    </xf>
    <xf numFmtId="4" fontId="27" fillId="0" borderId="6" xfId="0" applyNumberFormat="1" applyFont="1" applyBorder="1" applyAlignment="1">
      <alignment vertical="center"/>
    </xf>
    <xf numFmtId="0" fontId="28" fillId="0" borderId="13" xfId="0" applyFont="1" applyBorder="1" applyAlignment="1">
      <alignment vertical="center"/>
    </xf>
    <xf numFmtId="0" fontId="29" fillId="0" borderId="6" xfId="0" applyFont="1" applyBorder="1" applyAlignment="1">
      <alignment vertical="center" wrapText="1"/>
    </xf>
    <xf numFmtId="4" fontId="1" fillId="0" borderId="6" xfId="0" applyNumberFormat="1" applyFont="1" applyBorder="1" applyAlignment="1">
      <alignment vertical="center" wrapText="1"/>
    </xf>
    <xf numFmtId="0" fontId="30" fillId="0" borderId="6" xfId="0" applyFont="1" applyBorder="1" applyAlignment="1">
      <alignment vertical="center" wrapText="1"/>
    </xf>
    <xf numFmtId="0" fontId="28" fillId="0" borderId="0" xfId="0" applyFont="1"/>
    <xf numFmtId="4" fontId="27" fillId="0" borderId="7" xfId="0" applyNumberFormat="1" applyFont="1" applyBorder="1" applyAlignment="1">
      <alignment vertical="center" wrapText="1"/>
    </xf>
    <xf numFmtId="4" fontId="4" fillId="3" borderId="7" xfId="0" applyNumberFormat="1" applyFont="1" applyFill="1" applyBorder="1" applyAlignment="1">
      <alignment vertical="center"/>
    </xf>
    <xf numFmtId="4" fontId="4" fillId="0" borderId="7" xfId="0" applyNumberFormat="1" applyFont="1" applyBorder="1" applyAlignment="1">
      <alignment vertical="center"/>
    </xf>
    <xf numFmtId="4" fontId="27" fillId="0" borderId="6" xfId="0" applyNumberFormat="1" applyFont="1" applyBorder="1" applyAlignment="1">
      <alignment vertical="center" wrapText="1"/>
    </xf>
    <xf numFmtId="4" fontId="0" fillId="0" borderId="14" xfId="0" applyNumberFormat="1" applyBorder="1" applyAlignment="1">
      <alignment vertical="center"/>
    </xf>
    <xf numFmtId="4" fontId="27" fillId="3" borderId="6" xfId="0" applyNumberFormat="1" applyFont="1" applyFill="1" applyBorder="1" applyAlignment="1">
      <alignment vertical="center"/>
    </xf>
    <xf numFmtId="4" fontId="0" fillId="0" borderId="23" xfId="0" applyNumberFormat="1" applyBorder="1"/>
    <xf numFmtId="4" fontId="0" fillId="0" borderId="23" xfId="0" applyNumberFormat="1" applyBorder="1" applyAlignment="1">
      <alignment vertical="center"/>
    </xf>
    <xf numFmtId="4" fontId="0" fillId="0" borderId="6" xfId="0" applyNumberFormat="1" applyBorder="1"/>
    <xf numFmtId="49" fontId="4" fillId="0" borderId="14" xfId="0" applyNumberFormat="1" applyFont="1" applyBorder="1" applyAlignment="1">
      <alignment horizontal="right" vertical="center"/>
    </xf>
    <xf numFmtId="2" fontId="4" fillId="0" borderId="4" xfId="0" applyNumberFormat="1" applyFont="1" applyBorder="1" applyAlignment="1">
      <alignment vertical="center" wrapText="1"/>
    </xf>
    <xf numFmtId="49" fontId="1" fillId="0" borderId="13" xfId="0" applyNumberFormat="1" applyFont="1" applyBorder="1" applyAlignment="1">
      <alignment horizontal="right" vertical="center"/>
    </xf>
    <xf numFmtId="2" fontId="1" fillId="0" borderId="6" xfId="0" applyNumberFormat="1" applyFont="1" applyBorder="1" applyAlignment="1">
      <alignment vertical="center" wrapText="1"/>
    </xf>
    <xf numFmtId="4" fontId="27" fillId="0" borderId="4" xfId="0" applyNumberFormat="1" applyFont="1" applyBorder="1" applyAlignment="1">
      <alignment vertical="center"/>
    </xf>
    <xf numFmtId="49" fontId="4" fillId="0" borderId="13" xfId="0" applyNumberFormat="1" applyFont="1" applyBorder="1" applyAlignment="1">
      <alignment horizontal="right" vertical="center"/>
    </xf>
    <xf numFmtId="2" fontId="4" fillId="3" borderId="6" xfId="0" applyNumberFormat="1" applyFont="1" applyFill="1" applyBorder="1" applyAlignment="1">
      <alignment vertical="center" wrapText="1"/>
    </xf>
    <xf numFmtId="2" fontId="1" fillId="3" borderId="6" xfId="0" applyNumberFormat="1" applyFont="1" applyFill="1" applyBorder="1" applyAlignment="1">
      <alignment vertical="center" wrapText="1"/>
    </xf>
    <xf numFmtId="2" fontId="19" fillId="3" borderId="6" xfId="0" applyNumberFormat="1" applyFont="1" applyFill="1" applyBorder="1" applyAlignment="1">
      <alignment vertical="center" wrapText="1"/>
    </xf>
    <xf numFmtId="2" fontId="4" fillId="0" borderId="6" xfId="0" applyNumberFormat="1" applyFont="1" applyBorder="1" applyAlignment="1">
      <alignment vertical="center" wrapText="1"/>
    </xf>
    <xf numFmtId="4" fontId="27" fillId="0" borderId="8" xfId="0" applyNumberFormat="1" applyFont="1" applyBorder="1" applyAlignment="1">
      <alignment vertical="center"/>
    </xf>
    <xf numFmtId="4" fontId="5" fillId="0" borderId="2" xfId="0" applyNumberFormat="1" applyFont="1" applyBorder="1" applyAlignment="1">
      <alignment vertical="center" shrinkToFit="1"/>
    </xf>
    <xf numFmtId="4" fontId="6" fillId="3" borderId="2" xfId="1" applyNumberFormat="1" applyFont="1" applyFill="1" applyBorder="1" applyAlignment="1" applyProtection="1">
      <alignment horizontal="right"/>
    </xf>
    <xf numFmtId="4" fontId="14" fillId="3" borderId="2" xfId="1" applyNumberFormat="1" applyFont="1" applyFill="1" applyBorder="1" applyAlignment="1" applyProtection="1">
      <alignment horizontal="right"/>
    </xf>
    <xf numFmtId="4" fontId="4" fillId="3" borderId="4" xfId="1" applyNumberFormat="1" applyFont="1" applyFill="1" applyBorder="1" applyAlignment="1" applyProtection="1">
      <alignment vertical="center"/>
    </xf>
    <xf numFmtId="4" fontId="0" fillId="3" borderId="6" xfId="1" applyNumberFormat="1" applyFont="1" applyFill="1" applyBorder="1" applyAlignment="1" applyProtection="1">
      <alignment vertical="center"/>
    </xf>
    <xf numFmtId="0" fontId="4" fillId="0" borderId="15" xfId="0" applyFont="1" applyBorder="1" applyAlignment="1">
      <alignment vertical="center"/>
    </xf>
    <xf numFmtId="0" fontId="1" fillId="3" borderId="15" xfId="0" applyFont="1" applyFill="1" applyBorder="1" applyAlignment="1">
      <alignment vertical="center" wrapText="1"/>
    </xf>
    <xf numFmtId="4" fontId="19" fillId="3" borderId="11" xfId="0" applyNumberFormat="1" applyFont="1" applyFill="1" applyBorder="1" applyAlignment="1">
      <alignment horizontal="right"/>
    </xf>
    <xf numFmtId="0" fontId="19" fillId="3" borderId="6" xfId="0" applyFont="1" applyFill="1" applyBorder="1" applyAlignment="1">
      <alignment vertical="center" wrapText="1"/>
    </xf>
    <xf numFmtId="0" fontId="31" fillId="3" borderId="6" xfId="0" applyFont="1" applyFill="1" applyBorder="1" applyAlignment="1">
      <alignment vertical="center" wrapText="1"/>
    </xf>
    <xf numFmtId="4" fontId="0" fillId="0" borderId="0" xfId="0" applyNumberFormat="1" applyAlignment="1">
      <alignment horizontal="right" vertical="center"/>
    </xf>
    <xf numFmtId="0" fontId="4" fillId="0" borderId="16" xfId="0" applyFont="1" applyBorder="1"/>
    <xf numFmtId="4" fontId="6" fillId="3" borderId="2" xfId="0" applyNumberFormat="1" applyFont="1" applyFill="1" applyBorder="1" applyAlignment="1">
      <alignment shrinkToFit="1"/>
    </xf>
    <xf numFmtId="0" fontId="19" fillId="3" borderId="4" xfId="0" applyFont="1" applyFill="1" applyBorder="1" applyAlignment="1">
      <alignment vertical="center" wrapText="1"/>
    </xf>
    <xf numFmtId="0" fontId="5" fillId="0" borderId="14" xfId="0" applyFont="1" applyBorder="1"/>
    <xf numFmtId="4" fontId="0" fillId="3" borderId="4" xfId="0" applyNumberFormat="1" applyFill="1" applyBorder="1" applyAlignment="1">
      <alignment vertical="center" shrinkToFit="1"/>
    </xf>
    <xf numFmtId="0" fontId="4" fillId="0" borderId="15" xfId="0" applyFont="1" applyBorder="1"/>
    <xf numFmtId="0" fontId="4" fillId="3" borderId="11" xfId="0" applyFont="1" applyFill="1" applyBorder="1"/>
    <xf numFmtId="166" fontId="4" fillId="3" borderId="6" xfId="0" applyNumberFormat="1" applyFont="1" applyFill="1" applyBorder="1" applyAlignment="1">
      <alignment vertical="center"/>
    </xf>
    <xf numFmtId="166" fontId="4" fillId="0" borderId="0" xfId="0" applyNumberFormat="1" applyFont="1"/>
    <xf numFmtId="4" fontId="4" fillId="3" borderId="8" xfId="0" applyNumberFormat="1" applyFont="1" applyFill="1" applyBorder="1" applyAlignment="1">
      <alignment vertical="center"/>
    </xf>
    <xf numFmtId="0" fontId="4" fillId="0" borderId="20" xfId="0" applyFont="1" applyBorder="1" applyAlignment="1">
      <alignment vertical="center"/>
    </xf>
    <xf numFmtId="0" fontId="1" fillId="3" borderId="8" xfId="0" applyFont="1" applyFill="1" applyBorder="1" applyAlignment="1">
      <alignment vertical="center"/>
    </xf>
    <xf numFmtId="0" fontId="14" fillId="3" borderId="11" xfId="0" applyFont="1" applyFill="1" applyBorder="1" applyAlignment="1">
      <alignment vertical="center"/>
    </xf>
    <xf numFmtId="0" fontId="4" fillId="0" borderId="23" xfId="0" applyFont="1" applyBorder="1" applyAlignment="1">
      <alignment vertical="center"/>
    </xf>
    <xf numFmtId="4" fontId="4" fillId="3" borderId="5" xfId="0" applyNumberFormat="1" applyFont="1" applyFill="1" applyBorder="1" applyAlignment="1">
      <alignment horizontal="right" vertical="center"/>
    </xf>
    <xf numFmtId="4" fontId="0" fillId="3" borderId="4" xfId="0" applyNumberFormat="1" applyFill="1" applyBorder="1" applyAlignment="1">
      <alignment horizontal="right" vertical="center"/>
    </xf>
    <xf numFmtId="0" fontId="1" fillId="3" borderId="11" xfId="0" applyFont="1" applyFill="1" applyBorder="1" applyAlignment="1">
      <alignment vertical="center"/>
    </xf>
    <xf numFmtId="4" fontId="4" fillId="5" borderId="4" xfId="0" applyNumberFormat="1" applyFont="1" applyFill="1" applyBorder="1" applyAlignment="1">
      <alignment vertical="center"/>
    </xf>
    <xf numFmtId="4" fontId="4" fillId="5" borderId="6" xfId="0" applyNumberFormat="1" applyFont="1" applyFill="1" applyBorder="1" applyAlignment="1">
      <alignment vertical="center"/>
    </xf>
    <xf numFmtId="4" fontId="0" fillId="5" borderId="6" xfId="0" applyNumberFormat="1" applyFill="1" applyBorder="1" applyAlignment="1">
      <alignment vertical="center"/>
    </xf>
    <xf numFmtId="4" fontId="0" fillId="5" borderId="7" xfId="0" applyNumberFormat="1" applyFill="1" applyBorder="1" applyAlignment="1">
      <alignment vertical="center"/>
    </xf>
    <xf numFmtId="4" fontId="4" fillId="0" borderId="6" xfId="0" applyNumberFormat="1" applyFont="1" applyBorder="1"/>
    <xf numFmtId="4" fontId="0" fillId="5" borderId="6" xfId="0" applyNumberFormat="1" applyFill="1" applyBorder="1"/>
    <xf numFmtId="4" fontId="0" fillId="5" borderId="4" xfId="0" applyNumberFormat="1" applyFill="1" applyBorder="1" applyAlignment="1">
      <alignment vertical="center"/>
    </xf>
    <xf numFmtId="4" fontId="4" fillId="5" borderId="7" xfId="0" applyNumberFormat="1" applyFont="1" applyFill="1" applyBorder="1" applyAlignment="1">
      <alignment vertical="center"/>
    </xf>
    <xf numFmtId="4" fontId="4" fillId="3" borderId="9" xfId="0" applyNumberFormat="1" applyFont="1" applyFill="1" applyBorder="1" applyAlignment="1">
      <alignment vertical="center"/>
    </xf>
    <xf numFmtId="0" fontId="6" fillId="0" borderId="17" xfId="0" applyFont="1" applyBorder="1" applyAlignment="1">
      <alignment horizontal="center" vertical="center"/>
    </xf>
    <xf numFmtId="0" fontId="32" fillId="0" borderId="10" xfId="0" applyFont="1" applyBorder="1" applyAlignment="1">
      <alignment horizontal="right" vertical="center"/>
    </xf>
    <xf numFmtId="49" fontId="32" fillId="0" borderId="5" xfId="0" applyNumberFormat="1" applyFont="1" applyBorder="1" applyAlignment="1">
      <alignment vertical="center" wrapText="1"/>
    </xf>
    <xf numFmtId="4" fontId="32" fillId="0" borderId="5" xfId="0" applyNumberFormat="1" applyFont="1" applyBorder="1" applyAlignment="1">
      <alignment vertical="center"/>
    </xf>
    <xf numFmtId="4" fontId="32" fillId="0" borderId="48" xfId="0" applyNumberFormat="1" applyFont="1" applyBorder="1" applyAlignment="1">
      <alignment vertical="center"/>
    </xf>
    <xf numFmtId="4" fontId="32" fillId="0" borderId="49" xfId="0" applyNumberFormat="1" applyFont="1" applyBorder="1" applyAlignment="1">
      <alignment vertical="center"/>
    </xf>
    <xf numFmtId="0" fontId="32" fillId="0" borderId="6" xfId="0" applyFont="1" applyBorder="1" applyAlignment="1">
      <alignment horizontal="right" vertical="center"/>
    </xf>
    <xf numFmtId="0" fontId="32" fillId="0" borderId="6" xfId="0" applyFont="1" applyBorder="1" applyAlignment="1">
      <alignment vertical="center"/>
    </xf>
    <xf numFmtId="4" fontId="32" fillId="0" borderId="4" xfId="0" applyNumberFormat="1" applyFont="1" applyBorder="1" applyAlignment="1">
      <alignment vertical="center"/>
    </xf>
    <xf numFmtId="4" fontId="32" fillId="0" borderId="30" xfId="0" applyNumberFormat="1" applyFont="1" applyBorder="1" applyAlignment="1">
      <alignment vertical="center"/>
    </xf>
    <xf numFmtId="4" fontId="32" fillId="0" borderId="6" xfId="0" applyNumberFormat="1" applyFont="1" applyBorder="1" applyAlignment="1">
      <alignment vertical="center"/>
    </xf>
    <xf numFmtId="0" fontId="33" fillId="0" borderId="6" xfId="0" applyFont="1" applyBorder="1" applyAlignment="1">
      <alignment vertical="center" wrapText="1"/>
    </xf>
    <xf numFmtId="0" fontId="34" fillId="0" borderId="6" xfId="0" applyFont="1" applyBorder="1" applyAlignment="1">
      <alignment vertical="center"/>
    </xf>
    <xf numFmtId="4" fontId="34" fillId="0" borderId="4" xfId="0" applyNumberFormat="1" applyFont="1" applyBorder="1" applyAlignment="1">
      <alignment vertical="center"/>
    </xf>
    <xf numFmtId="4" fontId="34" fillId="0" borderId="30" xfId="0" applyNumberFormat="1" applyFont="1" applyBorder="1" applyAlignment="1">
      <alignment vertical="center"/>
    </xf>
    <xf numFmtId="4" fontId="34" fillId="0" borderId="6" xfId="0" applyNumberFormat="1" applyFont="1" applyBorder="1" applyAlignment="1">
      <alignment vertical="center"/>
    </xf>
    <xf numFmtId="0" fontId="34" fillId="0" borderId="6" xfId="0" applyFont="1" applyBorder="1" applyAlignment="1">
      <alignment vertical="center" wrapText="1"/>
    </xf>
    <xf numFmtId="4" fontId="34" fillId="0" borderId="50" xfId="0" applyNumberFormat="1" applyFont="1" applyBorder="1" applyAlignment="1">
      <alignment vertical="center"/>
    </xf>
    <xf numFmtId="4" fontId="34" fillId="0" borderId="51" xfId="0" applyNumberFormat="1" applyFont="1" applyBorder="1" applyAlignment="1">
      <alignment vertical="center"/>
    </xf>
    <xf numFmtId="49" fontId="34" fillId="0" borderId="6" xfId="0" applyNumberFormat="1" applyFont="1" applyBorder="1" applyAlignment="1">
      <alignment vertical="center" wrapText="1"/>
    </xf>
    <xf numFmtId="4" fontId="34" fillId="0" borderId="52" xfId="0" applyNumberFormat="1" applyFont="1" applyBorder="1" applyAlignment="1">
      <alignment vertical="center"/>
    </xf>
    <xf numFmtId="4" fontId="0" fillId="0" borderId="9" xfId="0" applyNumberFormat="1" applyBorder="1" applyAlignment="1">
      <alignment horizontal="right" vertical="center"/>
    </xf>
    <xf numFmtId="4" fontId="34" fillId="0" borderId="53" xfId="0" applyNumberFormat="1" applyFont="1" applyBorder="1" applyAlignment="1">
      <alignment vertical="center"/>
    </xf>
    <xf numFmtId="4" fontId="34" fillId="0" borderId="34" xfId="0" applyNumberFormat="1" applyFont="1" applyBorder="1" applyAlignment="1">
      <alignment vertical="center"/>
    </xf>
    <xf numFmtId="4" fontId="34" fillId="0" borderId="54" xfId="0" applyNumberFormat="1" applyFont="1" applyBorder="1" applyAlignment="1">
      <alignment vertical="center"/>
    </xf>
    <xf numFmtId="4" fontId="0" fillId="0" borderId="30" xfId="0" applyNumberFormat="1" applyBorder="1" applyAlignment="1">
      <alignment horizontal="right" vertical="center"/>
    </xf>
    <xf numFmtId="4" fontId="32" fillId="0" borderId="55" xfId="0" applyNumberFormat="1" applyFont="1" applyBorder="1" applyAlignment="1">
      <alignment vertical="center"/>
    </xf>
    <xf numFmtId="4" fontId="32" fillId="0" borderId="34" xfId="0" applyNumberFormat="1" applyFont="1" applyBorder="1" applyAlignment="1">
      <alignment vertical="center"/>
    </xf>
    <xf numFmtId="4" fontId="34" fillId="0" borderId="56" xfId="0" applyNumberFormat="1" applyFont="1" applyBorder="1" applyAlignment="1">
      <alignment vertical="center"/>
    </xf>
    <xf numFmtId="4" fontId="0" fillId="0" borderId="57" xfId="0" applyNumberFormat="1" applyBorder="1" applyAlignment="1">
      <alignment vertical="center"/>
    </xf>
    <xf numFmtId="0" fontId="34" fillId="0" borderId="4" xfId="0" applyFont="1" applyBorder="1" applyAlignment="1">
      <alignment vertical="center" wrapText="1"/>
    </xf>
    <xf numFmtId="4" fontId="34" fillId="0" borderId="58" xfId="0" applyNumberFormat="1" applyFont="1" applyBorder="1" applyAlignment="1">
      <alignment vertical="center"/>
    </xf>
    <xf numFmtId="4" fontId="32" fillId="0" borderId="50" xfId="0" applyNumberFormat="1" applyFont="1" applyBorder="1" applyAlignment="1">
      <alignment vertical="center"/>
    </xf>
    <xf numFmtId="4" fontId="32" fillId="0" borderId="33" xfId="0" applyNumberFormat="1" applyFont="1" applyBorder="1" applyAlignment="1">
      <alignment vertical="center"/>
    </xf>
    <xf numFmtId="0" fontId="34" fillId="0" borderId="6" xfId="0" applyFont="1" applyBorder="1" applyAlignment="1">
      <alignment horizontal="right" vertical="center"/>
    </xf>
    <xf numFmtId="0" fontId="34" fillId="0" borderId="4" xfId="0" applyFont="1" applyBorder="1" applyAlignment="1">
      <alignment vertical="center"/>
    </xf>
    <xf numFmtId="0" fontId="33" fillId="0" borderId="6" xfId="0" applyFont="1" applyBorder="1" applyAlignment="1">
      <alignment vertical="center"/>
    </xf>
    <xf numFmtId="49" fontId="34" fillId="0" borderId="4" xfId="0" applyNumberFormat="1" applyFont="1" applyBorder="1" applyAlignment="1">
      <alignment vertical="center"/>
    </xf>
    <xf numFmtId="0" fontId="35" fillId="0" borderId="6" xfId="0" applyFont="1" applyBorder="1" applyAlignment="1">
      <alignment horizontal="right" vertical="center"/>
    </xf>
    <xf numFmtId="4" fontId="0" fillId="0" borderId="33" xfId="0" applyNumberFormat="1" applyBorder="1"/>
    <xf numFmtId="4" fontId="0" fillId="0" borderId="4" xfId="0" applyNumberFormat="1" applyBorder="1"/>
    <xf numFmtId="4" fontId="18" fillId="0" borderId="50" xfId="0" applyNumberFormat="1" applyFont="1" applyBorder="1" applyAlignment="1">
      <alignment vertical="center"/>
    </xf>
    <xf numFmtId="4" fontId="18" fillId="0" borderId="51" xfId="0" applyNumberFormat="1" applyFont="1" applyBorder="1" applyAlignment="1">
      <alignment vertical="center"/>
    </xf>
    <xf numFmtId="4" fontId="18" fillId="0" borderId="58" xfId="0" applyNumberFormat="1" applyFont="1" applyBorder="1" applyAlignment="1">
      <alignment vertical="center"/>
    </xf>
    <xf numFmtId="0" fontId="36" fillId="0" borderId="6" xfId="0" applyFont="1" applyBorder="1" applyAlignment="1">
      <alignment horizontal="right" vertical="center"/>
    </xf>
    <xf numFmtId="4" fontId="35" fillId="0" borderId="50" xfId="0" applyNumberFormat="1" applyFont="1" applyBorder="1" applyAlignment="1">
      <alignment vertical="center"/>
    </xf>
    <xf numFmtId="4" fontId="35" fillId="0" borderId="58" xfId="0" applyNumberFormat="1" applyFont="1" applyBorder="1" applyAlignment="1">
      <alignment vertical="center"/>
    </xf>
    <xf numFmtId="4" fontId="34" fillId="0" borderId="33" xfId="0" applyNumberFormat="1" applyFont="1" applyBorder="1"/>
    <xf numFmtId="4" fontId="34" fillId="0" borderId="6" xfId="0" applyNumberFormat="1" applyFont="1" applyBorder="1"/>
    <xf numFmtId="4" fontId="35" fillId="0" borderId="51" xfId="0" applyNumberFormat="1" applyFont="1" applyBorder="1" applyAlignment="1">
      <alignment vertical="center"/>
    </xf>
    <xf numFmtId="4" fontId="34" fillId="0" borderId="4" xfId="0" applyNumberFormat="1" applyFont="1" applyBorder="1"/>
    <xf numFmtId="0" fontId="37" fillId="0" borderId="0" xfId="0" applyFont="1"/>
    <xf numFmtId="0" fontId="38" fillId="0" borderId="6" xfId="0" applyFont="1" applyBorder="1" applyAlignment="1">
      <alignment horizontal="right" vertical="center"/>
    </xf>
    <xf numFmtId="4" fontId="38" fillId="0" borderId="4" xfId="0" applyNumberFormat="1" applyFont="1" applyBorder="1" applyAlignment="1">
      <alignment vertical="center"/>
    </xf>
    <xf numFmtId="4" fontId="38" fillId="0" borderId="50" xfId="0" applyNumberFormat="1" applyFont="1" applyBorder="1" applyAlignment="1">
      <alignment vertical="center"/>
    </xf>
    <xf numFmtId="4" fontId="38" fillId="0" borderId="51" xfId="0" applyNumberFormat="1" applyFont="1" applyBorder="1" applyAlignment="1">
      <alignment vertical="center"/>
    </xf>
    <xf numFmtId="4" fontId="39" fillId="0" borderId="33" xfId="0" applyNumberFormat="1" applyFont="1" applyBorder="1" applyAlignment="1">
      <alignment horizontal="right" vertical="center"/>
    </xf>
    <xf numFmtId="4" fontId="27" fillId="0" borderId="4" xfId="0" applyNumberFormat="1" applyFont="1" applyBorder="1" applyAlignment="1">
      <alignment horizontal="right" vertical="center"/>
    </xf>
    <xf numFmtId="4" fontId="0" fillId="0" borderId="50" xfId="0" applyNumberFormat="1" applyBorder="1" applyAlignment="1">
      <alignment vertical="center"/>
    </xf>
    <xf numFmtId="4" fontId="38" fillId="0" borderId="33" xfId="0" applyNumberFormat="1" applyFont="1" applyBorder="1" applyAlignment="1">
      <alignment vertical="center"/>
    </xf>
    <xf numFmtId="4" fontId="38" fillId="0" borderId="6" xfId="0" applyNumberFormat="1" applyFont="1" applyBorder="1" applyAlignment="1">
      <alignment vertical="center"/>
    </xf>
    <xf numFmtId="4" fontId="34" fillId="0" borderId="33" xfId="0" applyNumberFormat="1" applyFont="1" applyBorder="1" applyAlignment="1">
      <alignment vertical="center"/>
    </xf>
    <xf numFmtId="49" fontId="34" fillId="0" borderId="4" xfId="0" applyNumberFormat="1" applyFont="1" applyBorder="1" applyAlignment="1">
      <alignment vertical="center" wrapText="1"/>
    </xf>
    <xf numFmtId="4" fontId="38" fillId="0" borderId="58" xfId="0" applyNumberFormat="1" applyFont="1" applyBorder="1" applyAlignment="1">
      <alignment vertical="center"/>
    </xf>
    <xf numFmtId="4" fontId="39" fillId="0" borderId="33" xfId="0" applyNumberFormat="1" applyFont="1" applyBorder="1" applyAlignment="1">
      <alignment vertical="center"/>
    </xf>
    <xf numFmtId="4" fontId="39" fillId="0" borderId="6" xfId="0" applyNumberFormat="1" applyFont="1" applyBorder="1" applyAlignment="1">
      <alignment vertical="center"/>
    </xf>
    <xf numFmtId="4" fontId="27" fillId="0" borderId="33" xfId="0" applyNumberFormat="1" applyFont="1" applyBorder="1" applyAlignment="1">
      <alignment horizontal="right" vertical="center"/>
    </xf>
    <xf numFmtId="4" fontId="27" fillId="0" borderId="6" xfId="0" applyNumberFormat="1" applyFont="1" applyBorder="1" applyAlignment="1">
      <alignment horizontal="right" vertical="center"/>
    </xf>
    <xf numFmtId="0" fontId="34" fillId="0" borderId="32" xfId="0" applyFont="1" applyBorder="1" applyAlignment="1">
      <alignment vertical="center"/>
    </xf>
    <xf numFmtId="4" fontId="18" fillId="0" borderId="59" xfId="0" applyNumberFormat="1" applyFont="1" applyBorder="1" applyAlignment="1">
      <alignment vertical="center"/>
    </xf>
    <xf numFmtId="4" fontId="0" fillId="0" borderId="53" xfId="0" applyNumberFormat="1" applyBorder="1" applyAlignment="1">
      <alignment vertical="center"/>
    </xf>
    <xf numFmtId="0" fontId="34" fillId="0" borderId="55" xfId="0" applyFont="1" applyBorder="1" applyAlignment="1">
      <alignment vertical="center"/>
    </xf>
    <xf numFmtId="4" fontId="34" fillId="0" borderId="55" xfId="0" applyNumberFormat="1" applyFont="1" applyBorder="1" applyAlignment="1">
      <alignment vertical="center"/>
    </xf>
    <xf numFmtId="4" fontId="27" fillId="0" borderId="33" xfId="0" applyNumberFormat="1" applyFont="1" applyBorder="1" applyAlignment="1">
      <alignment vertical="center"/>
    </xf>
    <xf numFmtId="49" fontId="34" fillId="0" borderId="6" xfId="0" applyNumberFormat="1" applyFont="1" applyBorder="1" applyAlignment="1">
      <alignment vertical="center"/>
    </xf>
    <xf numFmtId="4" fontId="37" fillId="0" borderId="33" xfId="0" applyNumberFormat="1" applyFont="1" applyBorder="1" applyAlignment="1">
      <alignment vertical="center"/>
    </xf>
    <xf numFmtId="4" fontId="37" fillId="0" borderId="4" xfId="0" applyNumberFormat="1" applyFont="1" applyBorder="1" applyAlignment="1">
      <alignment vertical="center"/>
    </xf>
    <xf numFmtId="0" fontId="34" fillId="0" borderId="6" xfId="4" applyFont="1" applyBorder="1" applyAlignment="1">
      <alignment vertical="center"/>
    </xf>
    <xf numFmtId="0" fontId="34" fillId="0" borderId="6" xfId="4" applyFont="1" applyBorder="1" applyAlignment="1">
      <alignment vertical="center" wrapText="1"/>
    </xf>
    <xf numFmtId="0" fontId="34" fillId="0" borderId="4" xfId="4" applyFont="1" applyBorder="1" applyAlignment="1">
      <alignment vertical="center" wrapText="1"/>
    </xf>
    <xf numFmtId="49" fontId="34" fillId="0" borderId="6" xfId="4" applyNumberFormat="1" applyFont="1" applyBorder="1" applyAlignment="1">
      <alignment vertical="center" wrapText="1"/>
    </xf>
    <xf numFmtId="0" fontId="34" fillId="0" borderId="4" xfId="0" applyFont="1" applyBorder="1" applyAlignment="1">
      <alignment horizontal="right" vertical="center"/>
    </xf>
    <xf numFmtId="0" fontId="32" fillId="0" borderId="4" xfId="0" applyFont="1" applyBorder="1" applyAlignment="1">
      <alignment horizontal="right" vertical="center"/>
    </xf>
    <xf numFmtId="0" fontId="33" fillId="0" borderId="6" xfId="0" applyFont="1" applyBorder="1" applyAlignment="1">
      <alignment horizontal="right" vertical="center"/>
    </xf>
    <xf numFmtId="4" fontId="33" fillId="0" borderId="33" xfId="0" applyNumberFormat="1" applyFont="1" applyBorder="1" applyAlignment="1">
      <alignment vertical="center"/>
    </xf>
    <xf numFmtId="4" fontId="34" fillId="0" borderId="33" xfId="0" applyNumberFormat="1" applyFont="1" applyBorder="1" applyAlignment="1">
      <alignment horizontal="right" vertical="center"/>
    </xf>
    <xf numFmtId="4" fontId="34" fillId="0" borderId="6" xfId="0" applyNumberFormat="1" applyFont="1" applyBorder="1" applyAlignment="1">
      <alignment horizontal="right" vertical="center"/>
    </xf>
    <xf numFmtId="2" fontId="34" fillId="0" borderId="6" xfId="0" applyNumberFormat="1" applyFont="1" applyBorder="1" applyAlignment="1">
      <alignment vertical="center" wrapText="1"/>
    </xf>
    <xf numFmtId="0" fontId="34" fillId="0" borderId="6" xfId="5" applyFont="1" applyBorder="1" applyAlignment="1">
      <alignment vertical="center" wrapText="1"/>
    </xf>
    <xf numFmtId="0" fontId="38" fillId="0" borderId="6" xfId="0" applyFont="1" applyBorder="1" applyAlignment="1">
      <alignment vertical="center"/>
    </xf>
    <xf numFmtId="2" fontId="34" fillId="0" borderId="32" xfId="0" applyNumberFormat="1" applyFont="1" applyBorder="1" applyAlignment="1">
      <alignment vertical="center" wrapText="1"/>
    </xf>
    <xf numFmtId="4" fontId="34" fillId="0" borderId="59" xfId="0" applyNumberFormat="1" applyFont="1" applyBorder="1" applyAlignment="1">
      <alignment vertical="center"/>
    </xf>
    <xf numFmtId="4" fontId="34" fillId="0" borderId="60" xfId="0" applyNumberFormat="1" applyFont="1" applyBorder="1" applyAlignment="1">
      <alignment vertical="center"/>
    </xf>
    <xf numFmtId="4" fontId="37" fillId="0" borderId="6" xfId="0" applyNumberFormat="1" applyFont="1" applyBorder="1" applyAlignment="1">
      <alignment vertical="center"/>
    </xf>
    <xf numFmtId="4" fontId="37" fillId="0" borderId="50" xfId="0" applyNumberFormat="1" applyFont="1" applyBorder="1" applyAlignment="1">
      <alignment vertical="center"/>
    </xf>
    <xf numFmtId="49" fontId="34" fillId="0" borderId="4" xfId="4" applyNumberFormat="1" applyFont="1" applyBorder="1" applyAlignment="1">
      <alignment vertical="center" wrapText="1"/>
    </xf>
    <xf numFmtId="4" fontId="0" fillId="0" borderId="33" xfId="0" applyNumberFormat="1" applyBorder="1" applyAlignment="1">
      <alignment horizontal="right" vertical="center"/>
    </xf>
    <xf numFmtId="0" fontId="33" fillId="0" borderId="6" xfId="4" applyFont="1" applyBorder="1" applyAlignment="1">
      <alignment vertical="center"/>
    </xf>
    <xf numFmtId="4" fontId="34" fillId="0" borderId="61" xfId="0" applyNumberFormat="1" applyFont="1" applyBorder="1" applyAlignment="1">
      <alignment vertical="center"/>
    </xf>
    <xf numFmtId="4" fontId="34" fillId="0" borderId="37" xfId="0" applyNumberFormat="1" applyFont="1" applyBorder="1" applyAlignment="1">
      <alignment vertical="center"/>
    </xf>
    <xf numFmtId="0" fontId="32" fillId="0" borderId="4" xfId="0" applyFont="1" applyBorder="1" applyAlignment="1">
      <alignment vertical="center"/>
    </xf>
    <xf numFmtId="0" fontId="0" fillId="0" borderId="34" xfId="0" applyBorder="1"/>
    <xf numFmtId="49" fontId="34" fillId="0" borderId="6" xfId="5" applyNumberFormat="1" applyFont="1" applyBorder="1" applyAlignment="1">
      <alignment vertical="center" wrapText="1"/>
    </xf>
    <xf numFmtId="49" fontId="34" fillId="0" borderId="4" xfId="5" applyNumberFormat="1" applyFont="1" applyBorder="1" applyAlignment="1">
      <alignment vertical="center" wrapText="1"/>
    </xf>
    <xf numFmtId="0" fontId="34" fillId="0" borderId="4" xfId="5" applyFont="1" applyBorder="1" applyAlignment="1">
      <alignment vertical="center" wrapText="1"/>
    </xf>
    <xf numFmtId="0" fontId="34" fillId="0" borderId="7" xfId="0" applyFont="1" applyBorder="1" applyAlignment="1">
      <alignment horizontal="right" vertical="center"/>
    </xf>
    <xf numFmtId="49" fontId="34" fillId="0" borderId="4" xfId="4" applyNumberFormat="1" applyFont="1" applyBorder="1" applyAlignment="1">
      <alignment vertical="center"/>
    </xf>
    <xf numFmtId="0" fontId="34" fillId="0" borderId="11" xfId="0" applyFont="1" applyBorder="1" applyAlignment="1">
      <alignment horizontal="right" vertical="center"/>
    </xf>
    <xf numFmtId="0" fontId="34" fillId="0" borderId="0" xfId="0" applyFont="1" applyAlignment="1">
      <alignment vertical="center"/>
    </xf>
    <xf numFmtId="0" fontId="14" fillId="0" borderId="3" xfId="0" applyFont="1" applyBorder="1"/>
    <xf numFmtId="4" fontId="14" fillId="0" borderId="62" xfId="0" applyNumberFormat="1" applyFont="1" applyBorder="1" applyAlignment="1">
      <alignment vertical="center"/>
    </xf>
    <xf numFmtId="0" fontId="1" fillId="0" borderId="20" xfId="0" applyFont="1" applyBorder="1" applyAlignment="1">
      <alignment vertical="center"/>
    </xf>
    <xf numFmtId="0" fontId="1" fillId="0" borderId="17" xfId="0" applyFont="1" applyBorder="1" applyAlignment="1">
      <alignment vertical="center"/>
    </xf>
    <xf numFmtId="0" fontId="32" fillId="0" borderId="0" xfId="0" applyFont="1" applyAlignment="1">
      <alignment vertical="center"/>
    </xf>
    <xf numFmtId="4" fontId="14" fillId="0" borderId="2" xfId="0" applyNumberFormat="1" applyFont="1" applyBorder="1"/>
    <xf numFmtId="4" fontId="25" fillId="0" borderId="2" xfId="0" applyNumberFormat="1" applyFont="1" applyBorder="1"/>
    <xf numFmtId="0" fontId="5" fillId="0" borderId="0" xfId="0" applyFont="1" applyAlignment="1">
      <alignment vertical="center"/>
    </xf>
    <xf numFmtId="0" fontId="19" fillId="0" borderId="14" xfId="0" applyFont="1" applyBorder="1" applyAlignment="1">
      <alignment horizontal="right" vertical="center"/>
    </xf>
    <xf numFmtId="4" fontId="4" fillId="0" borderId="4" xfId="0" applyNumberFormat="1" applyFont="1" applyBorder="1" applyAlignment="1">
      <alignment vertical="center" wrapText="1"/>
    </xf>
    <xf numFmtId="0" fontId="19" fillId="0" borderId="14" xfId="0" applyFont="1" applyBorder="1" applyAlignment="1">
      <alignment horizontal="right" vertical="center" wrapText="1"/>
    </xf>
    <xf numFmtId="0" fontId="14" fillId="0" borderId="0" xfId="0" applyFont="1" applyAlignment="1">
      <alignment wrapText="1"/>
    </xf>
    <xf numFmtId="0" fontId="14" fillId="0" borderId="0" xfId="0" applyFont="1"/>
    <xf numFmtId="0" fontId="4" fillId="0" borderId="4" xfId="0" applyFont="1" applyBorder="1" applyAlignment="1">
      <alignment vertical="top" wrapText="1"/>
    </xf>
    <xf numFmtId="0" fontId="1" fillId="0" borderId="16" xfId="0" applyFont="1" applyBorder="1" applyAlignment="1">
      <alignment vertical="center"/>
    </xf>
    <xf numFmtId="0" fontId="1" fillId="0" borderId="8" xfId="0" applyFont="1" applyBorder="1" applyAlignment="1">
      <alignment vertical="center" wrapText="1"/>
    </xf>
    <xf numFmtId="0" fontId="13" fillId="0" borderId="17" xfId="0" applyFont="1" applyBorder="1"/>
    <xf numFmtId="0" fontId="13" fillId="0" borderId="2" xfId="0" applyFont="1" applyBorder="1"/>
    <xf numFmtId="0" fontId="34" fillId="0" borderId="0" xfId="0" applyFont="1" applyAlignment="1">
      <alignment horizontal="left"/>
    </xf>
    <xf numFmtId="0" fontId="7" fillId="0" borderId="63" xfId="0" applyFont="1" applyBorder="1" applyAlignment="1">
      <alignment horizontal="center" vertical="center" wrapText="1"/>
    </xf>
    <xf numFmtId="0" fontId="6" fillId="0" borderId="64" xfId="0" applyFont="1" applyBorder="1" applyAlignment="1">
      <alignment horizontal="center" vertical="center" wrapText="1"/>
    </xf>
    <xf numFmtId="4" fontId="5" fillId="0" borderId="63" xfId="0" applyNumberFormat="1" applyFont="1" applyBorder="1" applyAlignment="1">
      <alignment horizontal="center" vertical="center" wrapText="1"/>
    </xf>
    <xf numFmtId="0" fontId="1" fillId="0" borderId="65" xfId="0" applyFont="1" applyBorder="1"/>
    <xf numFmtId="0" fontId="14" fillId="0" borderId="65" xfId="0" applyFont="1" applyBorder="1"/>
    <xf numFmtId="4" fontId="5" fillId="0" borderId="65" xfId="0" applyNumberFormat="1" applyFont="1" applyBorder="1" applyAlignment="1">
      <alignment horizontal="center" vertical="center" wrapText="1"/>
    </xf>
    <xf numFmtId="0" fontId="6" fillId="0" borderId="65" xfId="0" applyFont="1" applyBorder="1" applyAlignment="1">
      <alignment horizontal="center"/>
    </xf>
    <xf numFmtId="4" fontId="4" fillId="0" borderId="65" xfId="0" applyNumberFormat="1" applyFont="1" applyBorder="1" applyAlignment="1">
      <alignment vertical="center" shrinkToFit="1"/>
    </xf>
    <xf numFmtId="4" fontId="0" fillId="0" borderId="65" xfId="0" applyNumberFormat="1" applyBorder="1" applyAlignment="1">
      <alignment vertical="center" shrinkToFit="1"/>
    </xf>
    <xf numFmtId="4" fontId="5" fillId="0" borderId="0" xfId="0" applyNumberFormat="1" applyFont="1" applyAlignment="1">
      <alignment horizontal="center" vertical="center" wrapText="1"/>
    </xf>
    <xf numFmtId="0" fontId="6" fillId="0" borderId="66" xfId="0" applyFont="1" applyBorder="1"/>
    <xf numFmtId="0" fontId="6" fillId="0" borderId="66" xfId="0" applyFont="1" applyBorder="1" applyAlignment="1">
      <alignment vertical="center" wrapText="1"/>
    </xf>
    <xf numFmtId="4" fontId="6" fillId="0" borderId="66" xfId="0" applyNumberFormat="1" applyFont="1" applyBorder="1" applyAlignment="1">
      <alignment shrinkToFit="1"/>
    </xf>
    <xf numFmtId="4" fontId="4" fillId="0" borderId="0" xfId="0" applyNumberFormat="1" applyFont="1"/>
    <xf numFmtId="0" fontId="4" fillId="0" borderId="66" xfId="0" applyFont="1" applyBorder="1"/>
    <xf numFmtId="4" fontId="6" fillId="0" borderId="66" xfId="0" applyNumberFormat="1" applyFont="1" applyBorder="1"/>
    <xf numFmtId="0" fontId="14" fillId="0" borderId="66" xfId="0" applyFont="1" applyBorder="1"/>
    <xf numFmtId="4" fontId="14" fillId="0" borderId="66" xfId="0" applyNumberFormat="1" applyFont="1" applyBorder="1" applyAlignment="1">
      <alignment vertical="center" shrinkToFit="1"/>
    </xf>
    <xf numFmtId="0" fontId="4" fillId="0" borderId="67" xfId="0" applyFont="1" applyBorder="1"/>
    <xf numFmtId="0" fontId="6" fillId="0" borderId="67" xfId="0" applyFont="1" applyBorder="1"/>
    <xf numFmtId="4" fontId="6" fillId="0" borderId="67" xfId="0" applyNumberFormat="1" applyFont="1" applyBorder="1" applyAlignment="1">
      <alignment shrinkToFit="1"/>
    </xf>
    <xf numFmtId="0" fontId="20" fillId="0" borderId="68" xfId="0" applyFont="1" applyBorder="1"/>
    <xf numFmtId="0" fontId="13" fillId="0" borderId="68" xfId="0" applyFont="1" applyBorder="1"/>
    <xf numFmtId="4" fontId="14" fillId="0" borderId="68" xfId="0" applyNumberFormat="1" applyFont="1" applyBorder="1" applyAlignment="1">
      <alignment shrinkToFit="1"/>
    </xf>
    <xf numFmtId="0" fontId="1" fillId="0" borderId="10" xfId="0" applyFont="1" applyBorder="1"/>
    <xf numFmtId="0" fontId="14" fillId="0" borderId="10" xfId="0" applyFont="1" applyBorder="1"/>
    <xf numFmtId="4" fontId="40" fillId="0" borderId="10" xfId="0" applyNumberFormat="1" applyFont="1" applyBorder="1" applyAlignment="1">
      <alignment vertical="center"/>
    </xf>
    <xf numFmtId="4" fontId="40" fillId="0" borderId="10" xfId="0" applyNumberFormat="1" applyFont="1" applyBorder="1"/>
    <xf numFmtId="0" fontId="10" fillId="0" borderId="0" xfId="0" applyFont="1" applyAlignment="1">
      <alignment vertical="center"/>
    </xf>
    <xf numFmtId="0" fontId="11" fillId="0" borderId="69" xfId="0" applyFont="1" applyBorder="1" applyAlignment="1">
      <alignment vertical="center"/>
    </xf>
    <xf numFmtId="4" fontId="41" fillId="0" borderId="69" xfId="0" applyNumberFormat="1" applyFont="1" applyBorder="1" applyAlignment="1">
      <alignment vertical="center"/>
    </xf>
    <xf numFmtId="0" fontId="11" fillId="3" borderId="70" xfId="0" applyFont="1" applyFill="1" applyBorder="1" applyAlignment="1">
      <alignment vertical="center"/>
    </xf>
    <xf numFmtId="0" fontId="11" fillId="0" borderId="70" xfId="0" applyFont="1" applyBorder="1" applyAlignment="1">
      <alignment vertical="center"/>
    </xf>
    <xf numFmtId="4" fontId="41" fillId="0" borderId="70" xfId="0" applyNumberFormat="1" applyFont="1" applyBorder="1" applyAlignment="1">
      <alignment vertical="center"/>
    </xf>
    <xf numFmtId="0" fontId="8" fillId="3" borderId="70" xfId="0" applyFont="1" applyFill="1" applyBorder="1"/>
    <xf numFmtId="0" fontId="6" fillId="0" borderId="70" xfId="0" applyFont="1" applyBorder="1"/>
    <xf numFmtId="4" fontId="6" fillId="0" borderId="70" xfId="0" applyNumberFormat="1" applyFont="1" applyBorder="1"/>
    <xf numFmtId="0" fontId="6" fillId="3" borderId="70" xfId="0" applyFont="1" applyFill="1" applyBorder="1"/>
    <xf numFmtId="0" fontId="6" fillId="0" borderId="0" xfId="0" applyFont="1"/>
    <xf numFmtId="4" fontId="6" fillId="0" borderId="70" xfId="0" applyNumberFormat="1" applyFont="1" applyBorder="1" applyAlignment="1">
      <alignment vertical="center"/>
    </xf>
    <xf numFmtId="0" fontId="6" fillId="3" borderId="70" xfId="0" applyFont="1" applyFill="1" applyBorder="1" applyAlignment="1">
      <alignment vertical="center"/>
    </xf>
    <xf numFmtId="0" fontId="42" fillId="0" borderId="0" xfId="0" applyFont="1" applyAlignment="1">
      <alignment horizontal="right"/>
    </xf>
    <xf numFmtId="0" fontId="6" fillId="0" borderId="70" xfId="0" applyFont="1" applyBorder="1" applyAlignment="1">
      <alignment vertical="center"/>
    </xf>
    <xf numFmtId="0" fontId="6" fillId="0" borderId="70" xfId="0" applyFont="1" applyBorder="1" applyAlignment="1">
      <alignment wrapText="1"/>
    </xf>
    <xf numFmtId="4" fontId="6" fillId="0" borderId="70" xfId="0" applyNumberFormat="1" applyFont="1" applyBorder="1" applyAlignment="1">
      <alignment shrinkToFit="1"/>
    </xf>
    <xf numFmtId="0" fontId="40" fillId="0" borderId="0" xfId="0" applyFont="1" applyAlignment="1">
      <alignment vertical="center"/>
    </xf>
    <xf numFmtId="0" fontId="6" fillId="0" borderId="71" xfId="0" applyFont="1" applyBorder="1"/>
    <xf numFmtId="4" fontId="6" fillId="0" borderId="71" xfId="0" applyNumberFormat="1" applyFont="1" applyBorder="1"/>
    <xf numFmtId="0" fontId="13" fillId="0" borderId="72" xfId="0" applyFont="1" applyBorder="1"/>
    <xf numFmtId="4" fontId="14" fillId="0" borderId="73" xfId="0" applyNumberFormat="1" applyFont="1" applyBorder="1"/>
    <xf numFmtId="4" fontId="14" fillId="0" borderId="74" xfId="0" applyNumberFormat="1" applyFont="1" applyBorder="1"/>
    <xf numFmtId="4" fontId="14" fillId="0" borderId="75" xfId="0" applyNumberFormat="1" applyFont="1" applyBorder="1"/>
    <xf numFmtId="0" fontId="1" fillId="0" borderId="76" xfId="0" applyFont="1" applyBorder="1"/>
    <xf numFmtId="0" fontId="14" fillId="0" borderId="77" xfId="0" applyFont="1" applyBorder="1"/>
    <xf numFmtId="4" fontId="5" fillId="0" borderId="78" xfId="0" applyNumberFormat="1" applyFont="1" applyBorder="1" applyAlignment="1">
      <alignment horizontal="center" vertical="center" wrapText="1"/>
    </xf>
    <xf numFmtId="4" fontId="5" fillId="0" borderId="79" xfId="0" applyNumberFormat="1" applyFont="1" applyBorder="1" applyAlignment="1">
      <alignment horizontal="center" vertical="center" wrapText="1"/>
    </xf>
    <xf numFmtId="0" fontId="5" fillId="0" borderId="80" xfId="0" applyFont="1" applyBorder="1"/>
    <xf numFmtId="0" fontId="5" fillId="0" borderId="81" xfId="0" applyFont="1" applyBorder="1" applyAlignment="1">
      <alignment vertical="center" wrapText="1"/>
    </xf>
    <xf numFmtId="4" fontId="5" fillId="0" borderId="80" xfId="0" applyNumberFormat="1" applyFont="1" applyBorder="1" applyAlignment="1">
      <alignment shrinkToFit="1"/>
    </xf>
    <xf numFmtId="4" fontId="5" fillId="0" borderId="82" xfId="0" applyNumberFormat="1" applyFont="1" applyBorder="1" applyAlignment="1">
      <alignment shrinkToFit="1"/>
    </xf>
    <xf numFmtId="0" fontId="4" fillId="0" borderId="83" xfId="0" applyFont="1" applyBorder="1" applyAlignment="1">
      <alignment horizontal="right" vertical="center"/>
    </xf>
    <xf numFmtId="0" fontId="4" fillId="0" borderId="84" xfId="0" applyFont="1" applyBorder="1" applyAlignment="1">
      <alignment vertical="center"/>
    </xf>
    <xf numFmtId="4" fontId="4" fillId="0" borderId="85" xfId="0" applyNumberFormat="1" applyFont="1" applyBorder="1"/>
    <xf numFmtId="0" fontId="4" fillId="0" borderId="86" xfId="0" applyFont="1" applyBorder="1" applyAlignment="1">
      <alignment horizontal="right" vertical="center"/>
    </xf>
    <xf numFmtId="0" fontId="4" fillId="0" borderId="87" xfId="0" applyFont="1" applyBorder="1" applyAlignment="1">
      <alignment vertical="center"/>
    </xf>
    <xf numFmtId="4" fontId="4" fillId="0" borderId="66" xfId="0" applyNumberFormat="1" applyFont="1" applyBorder="1" applyAlignment="1">
      <alignment vertical="center" shrinkToFit="1"/>
    </xf>
    <xf numFmtId="4" fontId="4" fillId="0" borderId="88" xfId="0" applyNumberFormat="1" applyFont="1" applyBorder="1"/>
    <xf numFmtId="4" fontId="4" fillId="0" borderId="89" xfId="0" applyNumberFormat="1" applyFont="1" applyBorder="1" applyAlignment="1">
      <alignment vertical="center" shrinkToFit="1"/>
    </xf>
    <xf numFmtId="4" fontId="4" fillId="0" borderId="90" xfId="0" applyNumberFormat="1" applyFont="1" applyBorder="1"/>
    <xf numFmtId="0" fontId="4" fillId="0" borderId="87" xfId="0" applyFont="1" applyBorder="1" applyAlignment="1">
      <alignment vertical="center" wrapText="1"/>
    </xf>
    <xf numFmtId="4" fontId="4" fillId="0" borderId="86" xfId="0" applyNumberFormat="1" applyFont="1" applyBorder="1" applyAlignment="1">
      <alignment vertical="center"/>
    </xf>
    <xf numFmtId="4" fontId="4" fillId="0" borderId="90" xfId="0" applyNumberFormat="1" applyFont="1" applyBorder="1" applyAlignment="1">
      <alignment vertical="center"/>
    </xf>
    <xf numFmtId="4" fontId="4" fillId="0" borderId="83" xfId="0" applyNumberFormat="1" applyFont="1" applyBorder="1" applyAlignment="1">
      <alignment vertical="center"/>
    </xf>
    <xf numFmtId="4" fontId="4" fillId="0" borderId="82" xfId="0" applyNumberFormat="1" applyFont="1" applyBorder="1"/>
    <xf numFmtId="4" fontId="4" fillId="0" borderId="88" xfId="0" applyNumberFormat="1" applyFont="1" applyBorder="1" applyAlignment="1">
      <alignment vertical="center"/>
    </xf>
    <xf numFmtId="4" fontId="4" fillId="0" borderId="86" xfId="0" applyNumberFormat="1" applyFont="1" applyBorder="1" applyAlignment="1">
      <alignment vertical="center" shrinkToFit="1"/>
    </xf>
    <xf numFmtId="4" fontId="4" fillId="0" borderId="90" xfId="0" applyNumberFormat="1" applyFont="1" applyBorder="1" applyAlignment="1">
      <alignment vertical="center" shrinkToFit="1"/>
    </xf>
    <xf numFmtId="0" fontId="19" fillId="0" borderId="86" xfId="0" applyFont="1" applyBorder="1" applyAlignment="1">
      <alignment horizontal="right" vertical="center"/>
    </xf>
    <xf numFmtId="0" fontId="1" fillId="0" borderId="87" xfId="0" applyFont="1" applyBorder="1" applyAlignment="1">
      <alignment vertical="center"/>
    </xf>
    <xf numFmtId="4" fontId="0" fillId="0" borderId="83" xfId="0" applyNumberFormat="1" applyBorder="1" applyAlignment="1">
      <alignment vertical="center"/>
    </xf>
    <xf numFmtId="4" fontId="1" fillId="0" borderId="90" xfId="0" applyNumberFormat="1" applyFont="1" applyBorder="1"/>
    <xf numFmtId="0" fontId="1" fillId="0" borderId="86" xfId="0" applyFont="1" applyBorder="1" applyAlignment="1">
      <alignment horizontal="right" vertical="center"/>
    </xf>
    <xf numFmtId="4" fontId="1" fillId="0" borderId="82" xfId="0" applyNumberFormat="1" applyFont="1" applyBorder="1"/>
    <xf numFmtId="0" fontId="4" fillId="0" borderId="86" xfId="0" applyFont="1" applyBorder="1" applyAlignment="1">
      <alignment horizontal="right" vertical="center" wrapText="1"/>
    </xf>
    <xf numFmtId="0" fontId="0" fillId="0" borderId="86" xfId="0" applyBorder="1" applyAlignment="1">
      <alignment horizontal="right" vertical="center"/>
    </xf>
    <xf numFmtId="0" fontId="1" fillId="0" borderId="87" xfId="0" applyFont="1" applyBorder="1" applyAlignment="1">
      <alignment vertical="center" wrapText="1"/>
    </xf>
    <xf numFmtId="4" fontId="0" fillId="0" borderId="90" xfId="0" applyNumberFormat="1" applyBorder="1" applyAlignment="1">
      <alignment vertical="center"/>
    </xf>
    <xf numFmtId="4" fontId="0" fillId="0" borderId="86" xfId="0" applyNumberFormat="1" applyBorder="1" applyAlignment="1">
      <alignment vertical="center"/>
    </xf>
    <xf numFmtId="0" fontId="4" fillId="0" borderId="91" xfId="0" applyFont="1" applyBorder="1" applyAlignment="1">
      <alignment horizontal="right" vertical="center"/>
    </xf>
    <xf numFmtId="0" fontId="4" fillId="0" borderId="92" xfId="0" applyFont="1" applyBorder="1" applyAlignment="1">
      <alignment vertical="center"/>
    </xf>
    <xf numFmtId="4" fontId="4" fillId="0" borderId="93" xfId="0" applyNumberFormat="1" applyFont="1" applyBorder="1" applyAlignment="1">
      <alignment vertical="center"/>
    </xf>
    <xf numFmtId="4" fontId="4" fillId="0" borderId="94" xfId="0" applyNumberFormat="1" applyFont="1" applyBorder="1"/>
    <xf numFmtId="0" fontId="5" fillId="0" borderId="81" xfId="0" applyFont="1" applyBorder="1"/>
    <xf numFmtId="4" fontId="5" fillId="0" borderId="68" xfId="0" applyNumberFormat="1" applyFont="1" applyBorder="1"/>
    <xf numFmtId="4" fontId="5" fillId="0" borderId="79" xfId="0" applyNumberFormat="1" applyFont="1" applyBorder="1"/>
    <xf numFmtId="0" fontId="4" fillId="0" borderId="83" xfId="0" applyFont="1" applyBorder="1" applyAlignment="1">
      <alignment vertical="center"/>
    </xf>
    <xf numFmtId="4" fontId="4" fillId="0" borderId="95" xfId="0" applyNumberFormat="1" applyFont="1" applyBorder="1" applyAlignment="1">
      <alignment vertical="center"/>
    </xf>
    <xf numFmtId="4" fontId="4" fillId="0" borderId="85" xfId="0" applyNumberFormat="1" applyFont="1" applyBorder="1" applyAlignment="1">
      <alignment vertical="center"/>
    </xf>
    <xf numFmtId="0" fontId="4" fillId="0" borderId="86" xfId="0" applyFont="1" applyBorder="1" applyAlignment="1">
      <alignment vertical="center"/>
    </xf>
    <xf numFmtId="0" fontId="1" fillId="0" borderId="86" xfId="0" applyFont="1" applyBorder="1" applyAlignment="1">
      <alignment vertical="center"/>
    </xf>
    <xf numFmtId="0" fontId="1" fillId="6" borderId="0" xfId="0" applyFont="1" applyFill="1"/>
    <xf numFmtId="0" fontId="4" fillId="6" borderId="0" xfId="0" applyFont="1" applyFill="1"/>
    <xf numFmtId="4" fontId="32" fillId="0" borderId="86" xfId="0" applyNumberFormat="1" applyFont="1" applyBorder="1"/>
    <xf numFmtId="0" fontId="0" fillId="0" borderId="87" xfId="0" applyBorder="1" applyAlignment="1">
      <alignment vertical="center" wrapText="1"/>
    </xf>
    <xf numFmtId="4" fontId="1" fillId="0" borderId="83" xfId="0" applyNumberFormat="1" applyFont="1" applyBorder="1" applyAlignment="1">
      <alignment vertical="center"/>
    </xf>
    <xf numFmtId="4" fontId="0" fillId="0" borderId="88" xfId="0" applyNumberFormat="1" applyBorder="1" applyAlignment="1">
      <alignment vertical="center"/>
    </xf>
    <xf numFmtId="4" fontId="0" fillId="0" borderId="90" xfId="0" applyNumberFormat="1" applyBorder="1"/>
    <xf numFmtId="0" fontId="0" fillId="0" borderId="87" xfId="0" applyBorder="1" applyAlignment="1">
      <alignment vertical="center"/>
    </xf>
    <xf numFmtId="0" fontId="1" fillId="0" borderId="86" xfId="0" applyFont="1" applyBorder="1"/>
    <xf numFmtId="0" fontId="1" fillId="0" borderId="87" xfId="0" applyFont="1" applyBorder="1" applyAlignment="1">
      <alignment wrapText="1"/>
    </xf>
    <xf numFmtId="4" fontId="1" fillId="0" borderId="90" xfId="0" applyNumberFormat="1" applyFont="1" applyBorder="1" applyAlignment="1">
      <alignment vertical="center"/>
    </xf>
    <xf numFmtId="0" fontId="1" fillId="0" borderId="96" xfId="0" applyFont="1" applyBorder="1" applyAlignment="1">
      <alignment vertical="center"/>
    </xf>
    <xf numFmtId="0" fontId="1" fillId="0" borderId="97" xfId="0" applyFont="1" applyBorder="1" applyAlignment="1">
      <alignment vertical="center" wrapText="1"/>
    </xf>
    <xf numFmtId="4" fontId="0" fillId="0" borderId="96" xfId="0" applyNumberFormat="1" applyBorder="1" applyAlignment="1">
      <alignment vertical="center"/>
    </xf>
    <xf numFmtId="0" fontId="0" fillId="0" borderId="84" xfId="0" applyBorder="1" applyAlignment="1">
      <alignment vertical="center"/>
    </xf>
    <xf numFmtId="0" fontId="4" fillId="0" borderId="98" xfId="0" applyFont="1" applyBorder="1"/>
    <xf numFmtId="0" fontId="4" fillId="0" borderId="99" xfId="0" applyFont="1" applyBorder="1"/>
    <xf numFmtId="4" fontId="0" fillId="0" borderId="93" xfId="0" applyNumberFormat="1" applyBorder="1" applyAlignment="1">
      <alignment vertical="center"/>
    </xf>
    <xf numFmtId="4" fontId="1" fillId="0" borderId="79" xfId="0" applyNumberFormat="1" applyFont="1" applyBorder="1"/>
    <xf numFmtId="4" fontId="5" fillId="0" borderId="78" xfId="0" applyNumberFormat="1" applyFont="1" applyBorder="1"/>
    <xf numFmtId="4" fontId="5" fillId="0" borderId="100" xfId="0" applyNumberFormat="1" applyFont="1" applyBorder="1"/>
    <xf numFmtId="0" fontId="4" fillId="0" borderId="101" xfId="0" applyFont="1" applyBorder="1" applyAlignment="1">
      <alignment vertical="center" wrapText="1"/>
    </xf>
    <xf numFmtId="4" fontId="4" fillId="0" borderId="102" xfId="0" applyNumberFormat="1" applyFont="1" applyBorder="1" applyAlignment="1">
      <alignment vertical="center"/>
    </xf>
    <xf numFmtId="0" fontId="4" fillId="0" borderId="84" xfId="0" applyFont="1" applyBorder="1" applyAlignment="1">
      <alignment vertical="center" wrapText="1"/>
    </xf>
    <xf numFmtId="0" fontId="4" fillId="0" borderId="90" xfId="0" applyFont="1" applyBorder="1"/>
    <xf numFmtId="0" fontId="1" fillId="0" borderId="99" xfId="0" applyFont="1" applyBorder="1" applyAlignment="1">
      <alignment vertical="center"/>
    </xf>
    <xf numFmtId="0" fontId="4" fillId="0" borderId="88" xfId="0" applyFont="1" applyBorder="1"/>
    <xf numFmtId="0" fontId="4" fillId="0" borderId="98" xfId="0" applyFont="1" applyBorder="1" applyAlignment="1">
      <alignment vertical="center"/>
    </xf>
    <xf numFmtId="0" fontId="34" fillId="0" borderId="87" xfId="0" applyFont="1" applyBorder="1" applyAlignment="1">
      <alignment vertical="center"/>
    </xf>
    <xf numFmtId="4" fontId="0" fillId="0" borderId="78" xfId="0" applyNumberFormat="1" applyBorder="1" applyAlignment="1">
      <alignment vertical="center"/>
    </xf>
    <xf numFmtId="4" fontId="0" fillId="0" borderId="66" xfId="0" applyNumberFormat="1" applyBorder="1" applyAlignment="1">
      <alignment vertical="center"/>
    </xf>
    <xf numFmtId="0" fontId="4" fillId="0" borderId="82" xfId="0" applyFont="1" applyBorder="1"/>
    <xf numFmtId="0" fontId="4" fillId="0" borderId="96" xfId="0" applyFont="1" applyBorder="1" applyAlignment="1">
      <alignment vertical="center"/>
    </xf>
    <xf numFmtId="0" fontId="4" fillId="0" borderId="89" xfId="0" applyFont="1" applyBorder="1"/>
    <xf numFmtId="0" fontId="4" fillId="0" borderId="78" xfId="0" applyFont="1" applyBorder="1" applyAlignment="1">
      <alignment vertical="center"/>
    </xf>
    <xf numFmtId="0" fontId="1" fillId="0" borderId="103" xfId="0" applyFont="1" applyBorder="1" applyAlignment="1">
      <alignment vertical="center"/>
    </xf>
    <xf numFmtId="0" fontId="5" fillId="0" borderId="104" xfId="0" applyFont="1" applyBorder="1"/>
    <xf numFmtId="4" fontId="5" fillId="0" borderId="105" xfId="0" applyNumberFormat="1" applyFont="1" applyBorder="1"/>
    <xf numFmtId="0" fontId="4" fillId="0" borderId="83" xfId="0" applyFont="1" applyBorder="1"/>
    <xf numFmtId="0" fontId="4" fillId="0" borderId="106" xfId="0" applyFont="1" applyBorder="1"/>
    <xf numFmtId="4" fontId="4" fillId="0" borderId="102" xfId="0" applyNumberFormat="1" applyFont="1" applyBorder="1"/>
    <xf numFmtId="4" fontId="0" fillId="0" borderId="102" xfId="0" applyNumberFormat="1" applyBorder="1"/>
    <xf numFmtId="0" fontId="4" fillId="0" borderId="83" xfId="0" applyFont="1" applyBorder="1" applyAlignment="1">
      <alignment horizontal="right"/>
    </xf>
    <xf numFmtId="0" fontId="0" fillId="0" borderId="84" xfId="0" applyBorder="1"/>
    <xf numFmtId="4" fontId="0" fillId="0" borderId="83" xfId="0" applyNumberFormat="1" applyBorder="1"/>
    <xf numFmtId="0" fontId="4" fillId="0" borderId="86" xfId="0" applyFont="1" applyBorder="1"/>
    <xf numFmtId="0" fontId="1" fillId="0" borderId="78" xfId="0" applyFont="1" applyBorder="1"/>
    <xf numFmtId="4" fontId="0" fillId="0" borderId="86" xfId="0" applyNumberFormat="1" applyBorder="1"/>
    <xf numFmtId="2" fontId="1" fillId="0" borderId="86" xfId="0" applyNumberFormat="1" applyFont="1" applyBorder="1"/>
    <xf numFmtId="0" fontId="1" fillId="0" borderId="83" xfId="0" applyFont="1" applyBorder="1"/>
    <xf numFmtId="0" fontId="0" fillId="0" borderId="86" xfId="0" applyBorder="1" applyAlignment="1">
      <alignment vertical="center"/>
    </xf>
    <xf numFmtId="0" fontId="0" fillId="0" borderId="96" xfId="0" applyBorder="1"/>
    <xf numFmtId="0" fontId="0" fillId="0" borderId="66" xfId="0" applyBorder="1"/>
    <xf numFmtId="4" fontId="4" fillId="0" borderId="86" xfId="3" applyNumberFormat="1" applyFont="1" applyFill="1" applyBorder="1" applyAlignment="1" applyProtection="1">
      <alignment vertical="center"/>
    </xf>
    <xf numFmtId="4" fontId="4" fillId="0" borderId="107" xfId="0" applyNumberFormat="1" applyFont="1" applyBorder="1"/>
    <xf numFmtId="0" fontId="37" fillId="0" borderId="87" xfId="0" applyFont="1" applyBorder="1" applyAlignment="1">
      <alignment vertical="center"/>
    </xf>
    <xf numFmtId="4" fontId="4" fillId="0" borderId="86" xfId="0" applyNumberFormat="1" applyFont="1" applyBorder="1"/>
    <xf numFmtId="4" fontId="4" fillId="0" borderId="83" xfId="0" applyNumberFormat="1" applyFont="1" applyBorder="1"/>
    <xf numFmtId="0" fontId="37" fillId="0" borderId="99" xfId="0" applyFont="1" applyBorder="1" applyAlignment="1">
      <alignment vertical="center"/>
    </xf>
    <xf numFmtId="4" fontId="1" fillId="0" borderId="86" xfId="0" applyNumberFormat="1" applyFont="1" applyBorder="1" applyAlignment="1">
      <alignment vertical="center"/>
    </xf>
    <xf numFmtId="4" fontId="4" fillId="0" borderId="96" xfId="0" applyNumberFormat="1" applyFont="1" applyBorder="1"/>
    <xf numFmtId="4" fontId="1" fillId="0" borderId="107" xfId="0" applyNumberFormat="1" applyFont="1" applyBorder="1"/>
    <xf numFmtId="0" fontId="1" fillId="0" borderId="108" xfId="0" applyFont="1" applyBorder="1" applyAlignment="1">
      <alignment vertical="center" wrapText="1"/>
    </xf>
    <xf numFmtId="4" fontId="0" fillId="0" borderId="109" xfId="0" applyNumberFormat="1" applyBorder="1" applyAlignment="1">
      <alignment vertical="center"/>
    </xf>
    <xf numFmtId="0" fontId="4" fillId="0" borderId="96" xfId="0" applyFont="1" applyBorder="1"/>
    <xf numFmtId="0" fontId="4" fillId="0" borderId="66" xfId="0" applyFont="1" applyBorder="1" applyAlignment="1">
      <alignment vertical="center"/>
    </xf>
    <xf numFmtId="0" fontId="1" fillId="0" borderId="110" xfId="0" applyFont="1" applyBorder="1" applyAlignment="1">
      <alignment vertical="center"/>
    </xf>
    <xf numFmtId="0" fontId="4" fillId="0" borderId="76" xfId="0" applyFont="1" applyBorder="1" applyAlignment="1">
      <alignment vertical="center"/>
    </xf>
    <xf numFmtId="0" fontId="1" fillId="0" borderId="111" xfId="0" applyFont="1" applyBorder="1" applyAlignment="1">
      <alignment vertical="center"/>
    </xf>
    <xf numFmtId="0" fontId="14" fillId="0" borderId="80" xfId="0" applyFont="1" applyBorder="1"/>
    <xf numFmtId="4" fontId="14" fillId="0" borderId="105" xfId="0" applyNumberFormat="1" applyFont="1" applyBorder="1" applyAlignment="1">
      <alignment vertical="center" shrinkToFit="1"/>
    </xf>
    <xf numFmtId="4" fontId="6" fillId="0" borderId="79" xfId="0" applyNumberFormat="1" applyFont="1" applyBorder="1" applyAlignment="1">
      <alignment vertical="center" shrinkToFit="1"/>
    </xf>
    <xf numFmtId="0" fontId="4" fillId="0" borderId="78" xfId="0" applyFont="1" applyBorder="1"/>
    <xf numFmtId="0" fontId="5" fillId="0" borderId="103" xfId="0" applyFont="1" applyBorder="1"/>
    <xf numFmtId="4" fontId="0" fillId="0" borderId="76" xfId="0" applyNumberFormat="1" applyBorder="1" applyAlignment="1">
      <alignment vertical="center"/>
    </xf>
    <xf numFmtId="0" fontId="4" fillId="0" borderId="100" xfId="0" applyFont="1" applyBorder="1"/>
    <xf numFmtId="4" fontId="5" fillId="0" borderId="72" xfId="0" applyNumberFormat="1" applyFont="1" applyBorder="1" applyAlignment="1">
      <alignment shrinkToFit="1"/>
    </xf>
    <xf numFmtId="4" fontId="5" fillId="0" borderId="100" xfId="0" applyNumberFormat="1" applyFont="1" applyBorder="1" applyAlignment="1">
      <alignment shrinkToFit="1"/>
    </xf>
    <xf numFmtId="0" fontId="4" fillId="0" borderId="101" xfId="0" applyFont="1" applyBorder="1" applyAlignment="1">
      <alignment horizontal="left" vertical="center" wrapText="1"/>
    </xf>
    <xf numFmtId="0" fontId="1" fillId="0" borderId="85" xfId="0" applyFont="1" applyBorder="1"/>
    <xf numFmtId="0" fontId="4" fillId="0" borderId="84" xfId="0" applyFont="1" applyBorder="1" applyAlignment="1">
      <alignment horizontal="left" vertical="center" wrapText="1"/>
    </xf>
    <xf numFmtId="0" fontId="1" fillId="0" borderId="90" xfId="0" applyFont="1" applyBorder="1"/>
    <xf numFmtId="0" fontId="20" fillId="0" borderId="90" xfId="0" applyFont="1" applyBorder="1"/>
    <xf numFmtId="0" fontId="21" fillId="0" borderId="90" xfId="0" applyFont="1" applyBorder="1"/>
    <xf numFmtId="0" fontId="1" fillId="0" borderId="78" xfId="0" applyFont="1" applyBorder="1" applyAlignment="1">
      <alignment vertical="center"/>
    </xf>
    <xf numFmtId="4" fontId="0" fillId="0" borderId="91" xfId="0" applyNumberFormat="1" applyBorder="1" applyAlignment="1">
      <alignment vertical="center"/>
    </xf>
    <xf numFmtId="0" fontId="1" fillId="0" borderId="82" xfId="0" applyFont="1" applyBorder="1"/>
    <xf numFmtId="0" fontId="13" fillId="0" borderId="80" xfId="0" applyFont="1" applyBorder="1"/>
    <xf numFmtId="0" fontId="13" fillId="0" borderId="81" xfId="0" applyFont="1" applyBorder="1"/>
    <xf numFmtId="4" fontId="13" fillId="0" borderId="80" xfId="0" applyNumberFormat="1" applyFont="1" applyBorder="1" applyAlignment="1">
      <alignment shrinkToFit="1"/>
    </xf>
    <xf numFmtId="4" fontId="13" fillId="0" borderId="100" xfId="0" applyNumberFormat="1" applyFont="1" applyBorder="1" applyAlignment="1">
      <alignment shrinkToFit="1"/>
    </xf>
    <xf numFmtId="0" fontId="1" fillId="0" borderId="80" xfId="0" applyFont="1" applyBorder="1"/>
    <xf numFmtId="0" fontId="14" fillId="0" borderId="81" xfId="0" applyFont="1" applyBorder="1"/>
    <xf numFmtId="4" fontId="0" fillId="0" borderId="80" xfId="0" applyNumberFormat="1" applyBorder="1" applyAlignment="1">
      <alignment vertical="center"/>
    </xf>
    <xf numFmtId="0" fontId="17" fillId="0" borderId="80" xfId="0" applyFont="1" applyBorder="1"/>
    <xf numFmtId="4" fontId="14" fillId="0" borderId="80" xfId="0" applyNumberFormat="1" applyFont="1" applyBorder="1"/>
    <xf numFmtId="4" fontId="14" fillId="0" borderId="100" xfId="0" applyNumberFormat="1" applyFont="1" applyBorder="1"/>
    <xf numFmtId="0" fontId="5" fillId="0" borderId="80" xfId="0" applyFont="1" applyBorder="1" applyAlignment="1">
      <alignment vertical="center"/>
    </xf>
    <xf numFmtId="0" fontId="5" fillId="0" borderId="81" xfId="0" applyFont="1" applyBorder="1" applyAlignment="1">
      <alignment vertical="center"/>
    </xf>
    <xf numFmtId="4" fontId="5" fillId="0" borderId="80" xfId="0" applyNumberFormat="1" applyFont="1" applyBorder="1" applyAlignment="1">
      <alignment vertical="center"/>
    </xf>
    <xf numFmtId="4" fontId="5" fillId="0" borderId="100" xfId="0" applyNumberFormat="1" applyFont="1" applyBorder="1" applyAlignment="1">
      <alignment vertical="center"/>
    </xf>
    <xf numFmtId="0" fontId="4" fillId="0" borderId="95" xfId="0" applyFont="1" applyBorder="1" applyAlignment="1">
      <alignment vertical="center"/>
    </xf>
    <xf numFmtId="0" fontId="4" fillId="0" borderId="101" xfId="0" applyFont="1" applyBorder="1" applyAlignment="1">
      <alignment vertical="center"/>
    </xf>
    <xf numFmtId="4" fontId="4" fillId="0" borderId="112" xfId="0" applyNumberFormat="1" applyFont="1" applyBorder="1" applyAlignment="1">
      <alignment vertical="center"/>
    </xf>
    <xf numFmtId="0" fontId="22" fillId="0" borderId="86" xfId="0" applyFont="1" applyBorder="1" applyAlignment="1">
      <alignment vertical="center"/>
    </xf>
    <xf numFmtId="0" fontId="19" fillId="0" borderId="87" xfId="0" applyFont="1" applyBorder="1" applyAlignment="1">
      <alignment vertical="center"/>
    </xf>
    <xf numFmtId="4" fontId="4" fillId="0" borderId="96" xfId="0" applyNumberFormat="1" applyFont="1" applyBorder="1" applyAlignment="1">
      <alignment vertical="center"/>
    </xf>
    <xf numFmtId="4" fontId="5" fillId="0" borderId="68" xfId="0" applyNumberFormat="1" applyFont="1" applyBorder="1" applyAlignment="1">
      <alignment vertical="center"/>
    </xf>
    <xf numFmtId="0" fontId="1" fillId="0" borderId="84" xfId="0" applyFont="1" applyBorder="1" applyAlignment="1">
      <alignment vertical="center"/>
    </xf>
    <xf numFmtId="0" fontId="22" fillId="0" borderId="98" xfId="0" applyFont="1" applyBorder="1" applyAlignment="1">
      <alignment vertical="center"/>
    </xf>
    <xf numFmtId="0" fontId="22" fillId="0" borderId="83" xfId="0" applyFont="1" applyBorder="1" applyAlignment="1">
      <alignment vertical="center"/>
    </xf>
    <xf numFmtId="0" fontId="1" fillId="0" borderId="77" xfId="0" applyFont="1" applyBorder="1" applyAlignment="1">
      <alignment vertical="center"/>
    </xf>
    <xf numFmtId="4" fontId="5" fillId="0" borderId="80" xfId="0" applyNumberFormat="1" applyFont="1" applyBorder="1"/>
    <xf numFmtId="0" fontId="22" fillId="0" borderId="78" xfId="0" applyFont="1" applyBorder="1" applyAlignment="1">
      <alignment vertical="center"/>
    </xf>
    <xf numFmtId="0" fontId="1" fillId="0" borderId="92" xfId="0" applyFont="1" applyBorder="1" applyAlignment="1">
      <alignment vertical="center"/>
    </xf>
    <xf numFmtId="4" fontId="5" fillId="0" borderId="72" xfId="0" applyNumberFormat="1" applyFont="1" applyBorder="1"/>
    <xf numFmtId="4" fontId="24" fillId="0" borderId="100" xfId="0" applyNumberFormat="1" applyFont="1" applyBorder="1"/>
    <xf numFmtId="0" fontId="0" fillId="0" borderId="84" xfId="0" applyBorder="1" applyAlignment="1">
      <alignment horizontal="left" vertical="center"/>
    </xf>
    <xf numFmtId="0" fontId="0" fillId="0" borderId="87" xfId="0" applyBorder="1" applyAlignment="1">
      <alignment horizontal="left" vertical="center"/>
    </xf>
    <xf numFmtId="4" fontId="0" fillId="0" borderId="82" xfId="0" applyNumberFormat="1" applyBorder="1" applyAlignment="1">
      <alignment vertical="center"/>
    </xf>
    <xf numFmtId="4" fontId="0" fillId="0" borderId="98" xfId="0" applyNumberFormat="1" applyBorder="1" applyAlignment="1">
      <alignment vertical="center"/>
    </xf>
    <xf numFmtId="0" fontId="17" fillId="0" borderId="68" xfId="0" applyFont="1" applyBorder="1"/>
    <xf numFmtId="0" fontId="14" fillId="0" borderId="113" xfId="0" applyFont="1" applyBorder="1"/>
    <xf numFmtId="4" fontId="14" fillId="0" borderId="63" xfId="0" applyNumberFormat="1" applyFont="1" applyBorder="1"/>
    <xf numFmtId="4" fontId="14" fillId="0" borderId="114" xfId="0" applyNumberFormat="1" applyFont="1" applyBorder="1"/>
    <xf numFmtId="0" fontId="4" fillId="0" borderId="72" xfId="0" applyFont="1" applyBorder="1" applyAlignment="1">
      <alignment vertical="center"/>
    </xf>
    <xf numFmtId="0" fontId="5" fillId="0" borderId="115" xfId="0" applyFont="1" applyBorder="1" applyAlignment="1">
      <alignment vertical="center"/>
    </xf>
    <xf numFmtId="4" fontId="5" fillId="0" borderId="105" xfId="0" applyNumberFormat="1" applyFont="1" applyBorder="1" applyAlignment="1">
      <alignment vertical="center"/>
    </xf>
    <xf numFmtId="0" fontId="4" fillId="0" borderId="89" xfId="0" applyFont="1" applyBorder="1" applyAlignment="1">
      <alignment vertical="center"/>
    </xf>
    <xf numFmtId="0" fontId="4" fillId="0" borderId="116" xfId="0" applyFont="1" applyBorder="1" applyAlignment="1">
      <alignment vertical="center"/>
    </xf>
    <xf numFmtId="4" fontId="4" fillId="0" borderId="89" xfId="0" applyNumberFormat="1" applyFont="1" applyBorder="1" applyAlignment="1">
      <alignment vertical="center"/>
    </xf>
    <xf numFmtId="0" fontId="22" fillId="0" borderId="66" xfId="0" applyFont="1" applyBorder="1" applyAlignment="1">
      <alignment vertical="center"/>
    </xf>
    <xf numFmtId="0" fontId="4" fillId="0" borderId="110" xfId="0" applyFont="1" applyBorder="1" applyAlignment="1">
      <alignment vertical="center"/>
    </xf>
    <xf numFmtId="4" fontId="4" fillId="0" borderId="66" xfId="0" applyNumberFormat="1" applyFont="1" applyBorder="1" applyAlignment="1">
      <alignment vertical="center"/>
    </xf>
    <xf numFmtId="0" fontId="22" fillId="0" borderId="109" xfId="0" applyFont="1" applyBorder="1" applyAlignment="1">
      <alignment vertical="center"/>
    </xf>
    <xf numFmtId="0" fontId="1" fillId="0" borderId="108" xfId="0" applyFont="1" applyBorder="1" applyAlignment="1">
      <alignment vertical="center"/>
    </xf>
    <xf numFmtId="4" fontId="5" fillId="0" borderId="117" xfId="0" applyNumberFormat="1" applyFont="1" applyBorder="1" applyAlignment="1">
      <alignment vertical="center"/>
    </xf>
    <xf numFmtId="0" fontId="5" fillId="0" borderId="105" xfId="0" applyFont="1" applyBorder="1"/>
    <xf numFmtId="0" fontId="5" fillId="0" borderId="118" xfId="0" applyFont="1" applyBorder="1"/>
    <xf numFmtId="4" fontId="4" fillId="0" borderId="72" xfId="0" applyNumberFormat="1" applyFont="1" applyBorder="1" applyAlignment="1">
      <alignment vertical="center"/>
    </xf>
    <xf numFmtId="0" fontId="4" fillId="0" borderId="65" xfId="0" applyFont="1" applyBorder="1" applyAlignment="1">
      <alignment vertical="center"/>
    </xf>
    <xf numFmtId="0" fontId="4" fillId="0" borderId="119" xfId="0" applyFont="1" applyBorder="1" applyAlignment="1">
      <alignment vertical="center"/>
    </xf>
    <xf numFmtId="4" fontId="4" fillId="0" borderId="65" xfId="0" applyNumberFormat="1" applyFont="1" applyBorder="1" applyAlignment="1">
      <alignment vertical="center"/>
    </xf>
    <xf numFmtId="4" fontId="0" fillId="0" borderId="65" xfId="0" applyNumberFormat="1" applyBorder="1" applyAlignment="1">
      <alignment vertical="center"/>
    </xf>
    <xf numFmtId="0" fontId="0" fillId="0" borderId="110" xfId="0" applyBorder="1" applyAlignment="1">
      <alignment vertical="center"/>
    </xf>
    <xf numFmtId="0" fontId="22" fillId="0" borderId="120" xfId="0" applyFont="1" applyBorder="1" applyAlignment="1">
      <alignment vertical="center"/>
    </xf>
    <xf numFmtId="0" fontId="0" fillId="0" borderId="121" xfId="0" applyBorder="1" applyAlignment="1">
      <alignment vertical="center"/>
    </xf>
    <xf numFmtId="4" fontId="5" fillId="0" borderId="67" xfId="0" applyNumberFormat="1" applyFont="1" applyBorder="1"/>
    <xf numFmtId="0" fontId="5" fillId="0" borderId="113" xfId="0" applyFont="1" applyBorder="1"/>
    <xf numFmtId="0" fontId="4" fillId="0" borderId="112" xfId="0" applyFont="1" applyBorder="1" applyAlignment="1">
      <alignment vertical="center"/>
    </xf>
    <xf numFmtId="0" fontId="4" fillId="0" borderId="122" xfId="0" applyFont="1" applyBorder="1" applyAlignment="1">
      <alignment vertical="center"/>
    </xf>
    <xf numFmtId="4" fontId="0" fillId="0" borderId="89" xfId="0" applyNumberFormat="1" applyBorder="1" applyAlignment="1">
      <alignment vertical="center"/>
    </xf>
    <xf numFmtId="0" fontId="22" fillId="0" borderId="123" xfId="0" applyFont="1" applyBorder="1" applyAlignment="1">
      <alignment vertical="center"/>
    </xf>
    <xf numFmtId="4" fontId="0" fillId="0" borderId="123" xfId="0" applyNumberFormat="1" applyBorder="1" applyAlignment="1">
      <alignment vertical="center"/>
    </xf>
    <xf numFmtId="0" fontId="5" fillId="0" borderId="68" xfId="0" applyFont="1" applyBorder="1"/>
    <xf numFmtId="0" fontId="0" fillId="0" borderId="110" xfId="0" applyBorder="1" applyAlignment="1">
      <alignment vertical="center" wrapText="1"/>
    </xf>
    <xf numFmtId="0" fontId="0" fillId="0" borderId="124" xfId="0" applyBorder="1" applyAlignment="1">
      <alignment vertical="center"/>
    </xf>
    <xf numFmtId="0" fontId="22" fillId="0" borderId="105" xfId="0" applyFont="1" applyBorder="1" applyAlignment="1">
      <alignment vertical="center"/>
    </xf>
    <xf numFmtId="0" fontId="5" fillId="0" borderId="118" xfId="0" applyFont="1" applyBorder="1" applyAlignment="1">
      <alignment horizontal="left" vertical="center"/>
    </xf>
    <xf numFmtId="4" fontId="4" fillId="0" borderId="105" xfId="0" applyNumberFormat="1" applyFont="1" applyBorder="1" applyAlignment="1">
      <alignment vertical="center"/>
    </xf>
    <xf numFmtId="4" fontId="0" fillId="0" borderId="105" xfId="0" applyNumberFormat="1" applyBorder="1" applyAlignment="1">
      <alignment vertical="center"/>
    </xf>
    <xf numFmtId="0" fontId="22" fillId="0" borderId="67" xfId="0" applyFont="1" applyBorder="1" applyAlignment="1">
      <alignment vertical="center"/>
    </xf>
    <xf numFmtId="0" fontId="1" fillId="0" borderId="124" xfId="0" applyFont="1" applyBorder="1" applyAlignment="1">
      <alignment vertical="center"/>
    </xf>
    <xf numFmtId="4" fontId="0" fillId="0" borderId="67" xfId="0" applyNumberFormat="1" applyBorder="1" applyAlignment="1">
      <alignment vertical="center"/>
    </xf>
    <xf numFmtId="0" fontId="1" fillId="0" borderId="125" xfId="0" applyFont="1" applyBorder="1"/>
    <xf numFmtId="0" fontId="5" fillId="0" borderId="118" xfId="0" applyFont="1" applyBorder="1" applyAlignment="1">
      <alignment vertical="center"/>
    </xf>
    <xf numFmtId="0" fontId="1" fillId="0" borderId="126" xfId="0" applyFont="1" applyBorder="1"/>
    <xf numFmtId="0" fontId="1" fillId="0" borderId="66" xfId="0" applyFont="1" applyBorder="1" applyAlignment="1">
      <alignment vertical="center"/>
    </xf>
    <xf numFmtId="0" fontId="1" fillId="0" borderId="67" xfId="0" applyFont="1" applyBorder="1" applyAlignment="1">
      <alignment vertical="center"/>
    </xf>
    <xf numFmtId="0" fontId="4" fillId="0" borderId="65" xfId="0" applyFont="1" applyBorder="1"/>
    <xf numFmtId="4" fontId="4" fillId="0" borderId="65" xfId="0" applyNumberFormat="1" applyFont="1" applyBorder="1"/>
    <xf numFmtId="4" fontId="0" fillId="0" borderId="66" xfId="0" applyNumberFormat="1" applyBorder="1"/>
    <xf numFmtId="0" fontId="0" fillId="0" borderId="66" xfId="0" applyBorder="1" applyAlignment="1">
      <alignment vertical="center"/>
    </xf>
    <xf numFmtId="0" fontId="4" fillId="0" borderId="66" xfId="0" applyFont="1" applyBorder="1" applyAlignment="1">
      <alignment horizontal="right" vertical="center"/>
    </xf>
    <xf numFmtId="4" fontId="5" fillId="0" borderId="66" xfId="0" applyNumberFormat="1" applyFont="1" applyBorder="1"/>
    <xf numFmtId="4" fontId="5" fillId="0" borderId="93" xfId="0" applyNumberFormat="1" applyFont="1" applyBorder="1"/>
    <xf numFmtId="4" fontId="5" fillId="0" borderId="66" xfId="0" applyNumberFormat="1" applyFont="1" applyBorder="1" applyAlignment="1">
      <alignment vertical="center"/>
    </xf>
    <xf numFmtId="0" fontId="1" fillId="0" borderId="66" xfId="0" applyFont="1" applyBorder="1"/>
    <xf numFmtId="0" fontId="1" fillId="0" borderId="110" xfId="0" applyFont="1" applyBorder="1"/>
    <xf numFmtId="0" fontId="1" fillId="0" borderId="108" xfId="0" applyFont="1" applyBorder="1"/>
    <xf numFmtId="0" fontId="5" fillId="0" borderId="77" xfId="0" applyFont="1" applyBorder="1"/>
    <xf numFmtId="0" fontId="1" fillId="0" borderId="105" xfId="0" applyFont="1" applyBorder="1"/>
    <xf numFmtId="0" fontId="22" fillId="0" borderId="127" xfId="0" applyFont="1" applyBorder="1" applyAlignment="1" applyProtection="1">
      <alignment vertical="center"/>
      <protection locked="0"/>
    </xf>
    <xf numFmtId="0" fontId="0" fillId="0" borderId="128" xfId="0" applyBorder="1" applyAlignment="1" applyProtection="1">
      <alignment vertical="center"/>
      <protection locked="0"/>
    </xf>
    <xf numFmtId="4" fontId="0" fillId="0" borderId="127" xfId="0" applyNumberFormat="1" applyBorder="1" applyAlignment="1">
      <alignment vertical="center"/>
    </xf>
    <xf numFmtId="0" fontId="22" fillId="0" borderId="67" xfId="0" applyFont="1" applyBorder="1" applyAlignment="1" applyProtection="1">
      <alignment vertical="center"/>
      <protection locked="0"/>
    </xf>
    <xf numFmtId="0" fontId="0" fillId="0" borderId="124" xfId="0" applyBorder="1" applyAlignment="1" applyProtection="1">
      <alignment vertical="center"/>
      <protection locked="0"/>
    </xf>
    <xf numFmtId="0" fontId="1" fillId="0" borderId="67" xfId="0" applyFont="1" applyBorder="1"/>
    <xf numFmtId="0" fontId="14" fillId="0" borderId="105" xfId="0" applyFont="1" applyBorder="1" applyAlignment="1">
      <alignment vertical="center"/>
    </xf>
    <xf numFmtId="0" fontId="14" fillId="0" borderId="118" xfId="0" applyFont="1" applyBorder="1" applyAlignment="1">
      <alignment vertical="center"/>
    </xf>
    <xf numFmtId="4" fontId="14" fillId="0" borderId="105" xfId="0" applyNumberFormat="1" applyFont="1" applyBorder="1" applyAlignment="1">
      <alignment vertical="center"/>
    </xf>
    <xf numFmtId="0" fontId="19" fillId="0" borderId="83" xfId="0" applyFont="1" applyBorder="1" applyAlignment="1">
      <alignment horizontal="right" vertical="center"/>
    </xf>
    <xf numFmtId="0" fontId="5" fillId="0" borderId="76" xfId="0" applyFont="1" applyBorder="1"/>
    <xf numFmtId="2" fontId="5" fillId="0" borderId="117" xfId="0" applyNumberFormat="1" applyFont="1" applyBorder="1"/>
    <xf numFmtId="4" fontId="14" fillId="0" borderId="80" xfId="0" applyNumberFormat="1" applyFont="1" applyBorder="1" applyAlignment="1">
      <alignment vertical="center"/>
    </xf>
    <xf numFmtId="4" fontId="14" fillId="0" borderId="100" xfId="0" applyNumberFormat="1" applyFont="1" applyBorder="1" applyAlignment="1">
      <alignment vertical="center"/>
    </xf>
    <xf numFmtId="0" fontId="4" fillId="0" borderId="91" xfId="0" applyFont="1" applyBorder="1"/>
    <xf numFmtId="0" fontId="4" fillId="0" borderId="129" xfId="0" applyFont="1" applyBorder="1" applyAlignment="1">
      <alignment vertical="center" wrapText="1"/>
    </xf>
    <xf numFmtId="0" fontId="4" fillId="0" borderId="117" xfId="0" applyFont="1" applyBorder="1"/>
    <xf numFmtId="0" fontId="14" fillId="0" borderId="80" xfId="0" applyFont="1" applyBorder="1" applyAlignment="1">
      <alignment vertical="center"/>
    </xf>
    <xf numFmtId="0" fontId="14" fillId="0" borderId="77" xfId="0" applyFont="1" applyBorder="1" applyAlignment="1">
      <alignment vertical="center"/>
    </xf>
    <xf numFmtId="4" fontId="14" fillId="0" borderId="130" xfId="0" applyNumberFormat="1" applyFont="1" applyBorder="1" applyAlignment="1">
      <alignment vertical="center"/>
    </xf>
    <xf numFmtId="0" fontId="1" fillId="0" borderId="87" xfId="0" applyFont="1" applyBorder="1"/>
    <xf numFmtId="0" fontId="1" fillId="0" borderId="97" xfId="0" applyFont="1" applyBorder="1"/>
    <xf numFmtId="4" fontId="0" fillId="0" borderId="96" xfId="0" applyNumberFormat="1" applyBorder="1"/>
    <xf numFmtId="4" fontId="0" fillId="0" borderId="117" xfId="0" applyNumberFormat="1" applyBorder="1"/>
    <xf numFmtId="4" fontId="14" fillId="0" borderId="105" xfId="0" applyNumberFormat="1" applyFont="1" applyBorder="1"/>
    <xf numFmtId="0" fontId="4" fillId="0" borderId="112" xfId="0" applyFont="1" applyBorder="1"/>
    <xf numFmtId="4" fontId="4" fillId="0" borderId="76" xfId="0" applyNumberFormat="1" applyFont="1" applyBorder="1" applyAlignment="1">
      <alignment vertical="center"/>
    </xf>
    <xf numFmtId="2" fontId="4" fillId="0" borderId="79" xfId="0" applyNumberFormat="1" applyFont="1" applyBorder="1"/>
    <xf numFmtId="0" fontId="43" fillId="0" borderId="0" xfId="0" applyFont="1" applyAlignment="1">
      <alignment horizontal="right"/>
    </xf>
    <xf numFmtId="0" fontId="14" fillId="0" borderId="118" xfId="0" applyFont="1" applyBorder="1" applyAlignment="1">
      <alignment wrapText="1"/>
    </xf>
    <xf numFmtId="0" fontId="44" fillId="0" borderId="0" xfId="0" applyFont="1" applyAlignment="1">
      <alignment horizontal="right"/>
    </xf>
    <xf numFmtId="0" fontId="5" fillId="0" borderId="118" xfId="0" applyFont="1" applyBorder="1" applyAlignment="1">
      <alignment wrapText="1"/>
    </xf>
    <xf numFmtId="0" fontId="4" fillId="0" borderId="105" xfId="0" applyFont="1" applyBorder="1"/>
    <xf numFmtId="0" fontId="4" fillId="0" borderId="116" xfId="0" applyFont="1" applyBorder="1" applyAlignment="1">
      <alignment vertical="center" wrapText="1"/>
    </xf>
    <xf numFmtId="0" fontId="26" fillId="0" borderId="110" xfId="0" applyFont="1" applyBorder="1" applyAlignment="1">
      <alignment vertical="center" wrapText="1"/>
    </xf>
    <xf numFmtId="0" fontId="24" fillId="0" borderId="0" xfId="0" applyFont="1" applyAlignment="1">
      <alignment horizontal="right"/>
    </xf>
    <xf numFmtId="0" fontId="5" fillId="0" borderId="66" xfId="0" applyFont="1" applyBorder="1"/>
    <xf numFmtId="0" fontId="1" fillId="0" borderId="110" xfId="0" applyFont="1" applyBorder="1" applyAlignment="1">
      <alignment vertical="center" wrapText="1"/>
    </xf>
    <xf numFmtId="0" fontId="23" fillId="0" borderId="0" xfId="0" applyFont="1" applyAlignment="1">
      <alignment horizontal="right"/>
    </xf>
    <xf numFmtId="0" fontId="30" fillId="0" borderId="110" xfId="0" applyFont="1" applyBorder="1" applyAlignment="1">
      <alignment vertical="center" wrapText="1"/>
    </xf>
    <xf numFmtId="0" fontId="45" fillId="0" borderId="66" xfId="0" applyFont="1" applyBorder="1"/>
    <xf numFmtId="0" fontId="4" fillId="0" borderId="110" xfId="0" applyFont="1" applyBorder="1" applyAlignment="1">
      <alignment vertical="center" wrapText="1"/>
    </xf>
    <xf numFmtId="4" fontId="34" fillId="0" borderId="66" xfId="0" applyNumberFormat="1" applyFont="1" applyBorder="1" applyAlignment="1">
      <alignment vertical="center"/>
    </xf>
    <xf numFmtId="4" fontId="46" fillId="0" borderId="66" xfId="0" applyNumberFormat="1" applyFont="1" applyBorder="1" applyAlignment="1">
      <alignment vertical="center"/>
    </xf>
    <xf numFmtId="49" fontId="4" fillId="0" borderId="89" xfId="0" applyNumberFormat="1" applyFont="1" applyBorder="1" applyAlignment="1">
      <alignment horizontal="right" vertical="center"/>
    </xf>
    <xf numFmtId="2" fontId="4" fillId="0" borderId="116" xfId="0" applyNumberFormat="1" applyFont="1" applyBorder="1" applyAlignment="1">
      <alignment vertical="center" wrapText="1"/>
    </xf>
    <xf numFmtId="49" fontId="1" fillId="0" borderId="66" xfId="0" applyNumberFormat="1" applyFont="1" applyBorder="1" applyAlignment="1">
      <alignment horizontal="right" vertical="center"/>
    </xf>
    <xf numFmtId="2" fontId="1" fillId="0" borderId="110" xfId="0" applyNumberFormat="1" applyFont="1" applyBorder="1" applyAlignment="1">
      <alignment vertical="center" wrapText="1"/>
    </xf>
    <xf numFmtId="49" fontId="4" fillId="0" borderId="66" xfId="0" applyNumberFormat="1" applyFont="1" applyBorder="1" applyAlignment="1">
      <alignment horizontal="right" vertical="center"/>
    </xf>
    <xf numFmtId="2" fontId="4" fillId="0" borderId="110" xfId="0" applyNumberFormat="1" applyFont="1" applyBorder="1" applyAlignment="1">
      <alignment vertical="center" wrapText="1"/>
    </xf>
    <xf numFmtId="2" fontId="19" fillId="0" borderId="110" xfId="0" applyNumberFormat="1" applyFont="1" applyBorder="1" applyAlignment="1">
      <alignment vertical="center" wrapText="1"/>
    </xf>
    <xf numFmtId="4" fontId="5" fillId="0" borderId="105" xfId="0" applyNumberFormat="1" applyFont="1" applyBorder="1" applyAlignment="1">
      <alignment vertical="center" shrinkToFit="1"/>
    </xf>
    <xf numFmtId="0" fontId="1" fillId="0" borderId="124" xfId="0" applyFont="1" applyBorder="1" applyAlignment="1">
      <alignment vertical="center" wrapText="1"/>
    </xf>
    <xf numFmtId="0" fontId="1" fillId="0" borderId="117" xfId="0" applyFont="1" applyBorder="1"/>
    <xf numFmtId="4" fontId="14" fillId="0" borderId="68" xfId="0" applyNumberFormat="1" applyFont="1" applyBorder="1" applyAlignment="1">
      <alignment vertical="center"/>
    </xf>
    <xf numFmtId="49" fontId="0" fillId="0" borderId="83" xfId="0" applyNumberFormat="1" applyBorder="1" applyAlignment="1">
      <alignment horizontal="right" vertical="center" wrapText="1"/>
    </xf>
    <xf numFmtId="49" fontId="0" fillId="0" borderId="66" xfId="0" applyNumberFormat="1" applyBorder="1" applyAlignment="1">
      <alignment horizontal="right" vertical="center" wrapText="1"/>
    </xf>
    <xf numFmtId="0" fontId="1" fillId="0" borderId="77" xfId="0" applyFont="1" applyBorder="1" applyAlignment="1">
      <alignment vertical="center" wrapText="1"/>
    </xf>
    <xf numFmtId="4" fontId="14" fillId="0" borderId="10" xfId="0" applyNumberFormat="1" applyFont="1" applyBorder="1"/>
    <xf numFmtId="0" fontId="4" fillId="0" borderId="78" xfId="0" applyFont="1" applyBorder="1" applyAlignment="1">
      <alignment horizontal="right" vertical="center"/>
    </xf>
    <xf numFmtId="4" fontId="6" fillId="0" borderId="112" xfId="0" applyNumberFormat="1" applyFont="1" applyBorder="1"/>
    <xf numFmtId="0" fontId="19" fillId="0" borderId="87" xfId="0" applyFont="1" applyBorder="1" applyAlignment="1">
      <alignment vertical="center" wrapText="1"/>
    </xf>
    <xf numFmtId="0" fontId="31" fillId="0" borderId="87" xfId="0" applyFont="1" applyBorder="1" applyAlignment="1">
      <alignment vertical="center" wrapText="1"/>
    </xf>
    <xf numFmtId="0" fontId="4" fillId="0" borderId="92" xfId="0" applyFont="1" applyBorder="1"/>
    <xf numFmtId="4" fontId="0" fillId="0" borderId="79" xfId="0" applyNumberFormat="1" applyBorder="1" applyAlignment="1">
      <alignment vertical="center"/>
    </xf>
    <xf numFmtId="4" fontId="14" fillId="0" borderId="76" xfId="0" applyNumberFormat="1" applyFont="1" applyBorder="1" applyAlignment="1">
      <alignment shrinkToFit="1"/>
    </xf>
    <xf numFmtId="4" fontId="14" fillId="0" borderId="79" xfId="0" applyNumberFormat="1" applyFont="1" applyBorder="1" applyAlignment="1">
      <alignment shrinkToFit="1"/>
    </xf>
    <xf numFmtId="0" fontId="4" fillId="0" borderId="103" xfId="0" applyFont="1" applyBorder="1"/>
    <xf numFmtId="0" fontId="4" fillId="0" borderId="85" xfId="0" applyFont="1" applyBorder="1"/>
    <xf numFmtId="4" fontId="4" fillId="0" borderId="107" xfId="0" applyNumberFormat="1" applyFont="1" applyBorder="1" applyAlignment="1">
      <alignment vertical="center"/>
    </xf>
    <xf numFmtId="0" fontId="19" fillId="0" borderId="84" xfId="0" applyFont="1" applyBorder="1" applyAlignment="1">
      <alignment vertical="center" wrapText="1"/>
    </xf>
    <xf numFmtId="0" fontId="5" fillId="0" borderId="83" xfId="0" applyFont="1" applyBorder="1"/>
    <xf numFmtId="4" fontId="4" fillId="0" borderId="78" xfId="0" applyNumberFormat="1" applyFont="1" applyBorder="1" applyAlignment="1">
      <alignment vertical="center"/>
    </xf>
    <xf numFmtId="4" fontId="14" fillId="0" borderId="80" xfId="0" applyNumberFormat="1" applyFont="1" applyBorder="1" applyAlignment="1">
      <alignment shrinkToFit="1"/>
    </xf>
    <xf numFmtId="4" fontId="14" fillId="0" borderId="100" xfId="0" applyNumberFormat="1" applyFont="1" applyBorder="1" applyAlignment="1">
      <alignment shrinkToFit="1"/>
    </xf>
    <xf numFmtId="4" fontId="0" fillId="0" borderId="131" xfId="0" applyNumberFormat="1" applyBorder="1" applyAlignment="1">
      <alignment vertical="center"/>
    </xf>
    <xf numFmtId="166" fontId="4" fillId="0" borderId="87" xfId="0" applyNumberFormat="1" applyFont="1" applyBorder="1" applyAlignment="1">
      <alignment vertical="center"/>
    </xf>
    <xf numFmtId="0" fontId="4" fillId="0" borderId="103" xfId="0" applyFont="1" applyBorder="1" applyAlignment="1">
      <alignment vertical="center"/>
    </xf>
    <xf numFmtId="4" fontId="1" fillId="0" borderId="88" xfId="0" applyNumberFormat="1" applyFont="1" applyBorder="1"/>
    <xf numFmtId="0" fontId="1" fillId="0" borderId="99" xfId="0" applyFont="1" applyBorder="1" applyAlignment="1">
      <alignment vertical="center" wrapText="1"/>
    </xf>
    <xf numFmtId="4" fontId="4" fillId="0" borderId="83" xfId="0" applyNumberFormat="1" applyFont="1" applyBorder="1" applyAlignment="1">
      <alignment horizontal="right" vertical="center"/>
    </xf>
    <xf numFmtId="4" fontId="4" fillId="0" borderId="85" xfId="0" applyNumberFormat="1" applyFont="1" applyBorder="1" applyAlignment="1">
      <alignment horizontal="right" vertical="center"/>
    </xf>
    <xf numFmtId="0" fontId="19" fillId="0" borderId="97" xfId="0" applyFont="1" applyBorder="1" applyAlignment="1">
      <alignment vertical="center" wrapText="1"/>
    </xf>
    <xf numFmtId="0" fontId="1" fillId="0" borderId="94" xfId="0" applyFont="1" applyBorder="1"/>
    <xf numFmtId="4" fontId="14" fillId="0" borderId="114" xfId="0" applyNumberFormat="1" applyFont="1" applyBorder="1" applyAlignment="1">
      <alignment vertical="center"/>
    </xf>
    <xf numFmtId="4" fontId="0" fillId="0" borderId="82" xfId="0" applyNumberFormat="1" applyBorder="1"/>
    <xf numFmtId="0" fontId="1" fillId="0" borderId="130" xfId="0" applyFont="1" applyBorder="1" applyAlignment="1">
      <alignment vertical="center"/>
    </xf>
    <xf numFmtId="0" fontId="5" fillId="0" borderId="132" xfId="0" applyFont="1" applyBorder="1"/>
    <xf numFmtId="4" fontId="5" fillId="0" borderId="130" xfId="0" applyNumberFormat="1" applyFont="1" applyBorder="1" applyAlignment="1">
      <alignment vertical="center"/>
    </xf>
    <xf numFmtId="4" fontId="47" fillId="0" borderId="82" xfId="0" applyNumberFormat="1" applyFont="1" applyBorder="1" applyAlignment="1">
      <alignment vertical="center"/>
    </xf>
    <xf numFmtId="0" fontId="19" fillId="0" borderId="65" xfId="0" applyFont="1" applyBorder="1" applyAlignment="1" applyProtection="1">
      <alignment horizontal="right" vertical="center"/>
      <protection locked="0"/>
    </xf>
    <xf numFmtId="0" fontId="0" fillId="0" borderId="119" xfId="0" applyBorder="1" applyAlignment="1" applyProtection="1">
      <alignment vertical="center"/>
      <protection locked="0"/>
    </xf>
    <xf numFmtId="4" fontId="32" fillId="0" borderId="133" xfId="0" applyNumberFormat="1" applyFont="1" applyBorder="1" applyAlignment="1">
      <alignment vertical="center"/>
    </xf>
    <xf numFmtId="0" fontId="19" fillId="0" borderId="93" xfId="0" applyFont="1" applyBorder="1" applyAlignment="1" applyProtection="1">
      <alignment horizontal="right" vertical="center"/>
      <protection locked="0"/>
    </xf>
    <xf numFmtId="0" fontId="0" fillId="0" borderId="111" xfId="0" applyBorder="1" applyAlignment="1" applyProtection="1">
      <alignment vertical="center"/>
      <protection locked="0"/>
    </xf>
    <xf numFmtId="2" fontId="32" fillId="0" borderId="134" xfId="0" applyNumberFormat="1" applyFont="1" applyBorder="1" applyAlignment="1">
      <alignment vertical="center"/>
    </xf>
    <xf numFmtId="0" fontId="4" fillId="0" borderId="111" xfId="0" applyFont="1" applyBorder="1" applyAlignment="1">
      <alignment vertical="center"/>
    </xf>
    <xf numFmtId="0" fontId="1" fillId="0" borderId="63" xfId="0" applyFont="1" applyBorder="1"/>
    <xf numFmtId="0" fontId="14" fillId="0" borderId="80" xfId="0" applyFont="1" applyBorder="1" applyAlignment="1">
      <alignment horizontal="center" vertical="center"/>
    </xf>
    <xf numFmtId="0" fontId="4" fillId="0" borderId="130" xfId="0" applyFont="1" applyBorder="1" applyAlignment="1">
      <alignment horizontal="right" vertical="center"/>
    </xf>
    <xf numFmtId="49" fontId="4" fillId="0" borderId="101" xfId="0" applyNumberFormat="1" applyFont="1" applyBorder="1" applyAlignment="1">
      <alignment vertical="center" wrapText="1"/>
    </xf>
    <xf numFmtId="4" fontId="9" fillId="0" borderId="112" xfId="0" applyNumberFormat="1" applyFont="1" applyBorder="1"/>
    <xf numFmtId="0" fontId="30" fillId="0" borderId="87" xfId="0" applyFont="1" applyBorder="1" applyAlignment="1">
      <alignment vertical="center" wrapText="1"/>
    </xf>
    <xf numFmtId="4" fontId="9" fillId="0" borderId="66" xfId="0" applyNumberFormat="1" applyFont="1" applyBorder="1"/>
    <xf numFmtId="4" fontId="37" fillId="0" borderId="86" xfId="0" applyNumberFormat="1" applyFont="1" applyBorder="1" applyAlignment="1">
      <alignment vertical="center"/>
    </xf>
    <xf numFmtId="49" fontId="0" fillId="0" borderId="87" xfId="0" applyNumberFormat="1" applyBorder="1" applyAlignment="1">
      <alignment vertical="center" wrapText="1"/>
    </xf>
    <xf numFmtId="0" fontId="44" fillId="0" borderId="0" xfId="0" applyFont="1"/>
    <xf numFmtId="49" fontId="37" fillId="0" borderId="87" xfId="0" applyNumberFormat="1" applyFont="1" applyBorder="1" applyAlignment="1">
      <alignment vertical="center" wrapText="1"/>
    </xf>
    <xf numFmtId="4" fontId="37" fillId="0" borderId="86" xfId="0" applyNumberFormat="1" applyFont="1" applyBorder="1" applyAlignment="1">
      <alignment horizontal="right" vertical="center"/>
    </xf>
    <xf numFmtId="4" fontId="24" fillId="0" borderId="66" xfId="0" applyNumberFormat="1" applyFont="1" applyBorder="1"/>
    <xf numFmtId="0" fontId="24" fillId="0" borderId="0" xfId="0" applyFont="1"/>
    <xf numFmtId="0" fontId="0" fillId="0" borderId="84" xfId="0" applyBorder="1" applyAlignment="1">
      <alignment vertical="center" wrapText="1"/>
    </xf>
    <xf numFmtId="0" fontId="37" fillId="0" borderId="84" xfId="0" applyFont="1" applyBorder="1" applyAlignment="1">
      <alignment vertical="center" wrapText="1"/>
    </xf>
    <xf numFmtId="0" fontId="30" fillId="0" borderId="84" xfId="0" applyFont="1" applyBorder="1" applyAlignment="1">
      <alignment vertical="center"/>
    </xf>
    <xf numFmtId="4" fontId="37" fillId="0" borderId="83" xfId="0" applyNumberFormat="1" applyFont="1" applyBorder="1" applyAlignment="1">
      <alignment vertical="center"/>
    </xf>
    <xf numFmtId="49" fontId="0" fillId="0" borderId="84" xfId="0" applyNumberFormat="1" applyBorder="1" applyAlignment="1">
      <alignment vertical="center"/>
    </xf>
    <xf numFmtId="0" fontId="37" fillId="0" borderId="87" xfId="0" applyFont="1" applyBorder="1" applyAlignment="1">
      <alignment vertical="center" wrapText="1"/>
    </xf>
    <xf numFmtId="4" fontId="37" fillId="0" borderId="86" xfId="0" applyNumberFormat="1" applyFont="1" applyBorder="1"/>
    <xf numFmtId="0" fontId="30" fillId="0" borderId="86" xfId="0" applyFont="1" applyBorder="1" applyAlignment="1">
      <alignment horizontal="right" vertical="center"/>
    </xf>
    <xf numFmtId="4" fontId="30" fillId="0" borderId="83" xfId="0" applyNumberFormat="1" applyFont="1" applyBorder="1"/>
    <xf numFmtId="4" fontId="11" fillId="0" borderId="66" xfId="0" applyNumberFormat="1" applyFont="1" applyBorder="1"/>
    <xf numFmtId="0" fontId="11" fillId="0" borderId="0" xfId="0" applyFont="1"/>
    <xf numFmtId="0" fontId="37" fillId="0" borderId="86" xfId="0" applyFont="1" applyBorder="1" applyAlignment="1">
      <alignment horizontal="right" vertical="center"/>
    </xf>
    <xf numFmtId="4" fontId="0" fillId="0" borderId="83" xfId="0" applyNumberFormat="1" applyBorder="1" applyAlignment="1">
      <alignment horizontal="right" vertical="center"/>
    </xf>
    <xf numFmtId="0" fontId="30" fillId="0" borderId="87" xfId="0" applyFont="1" applyBorder="1" applyAlignment="1">
      <alignment vertical="center"/>
    </xf>
    <xf numFmtId="4" fontId="30" fillId="0" borderId="86" xfId="0" applyNumberFormat="1" applyFont="1" applyBorder="1" applyAlignment="1">
      <alignment vertical="center"/>
    </xf>
    <xf numFmtId="49" fontId="30" fillId="0" borderId="84" xfId="0" applyNumberFormat="1" applyFont="1" applyBorder="1" applyAlignment="1">
      <alignment vertical="center" wrapText="1"/>
    </xf>
    <xf numFmtId="49" fontId="0" fillId="0" borderId="84" xfId="0" applyNumberFormat="1" applyBorder="1" applyAlignment="1">
      <alignment vertical="center" wrapText="1"/>
    </xf>
    <xf numFmtId="4" fontId="0" fillId="0" borderId="86" xfId="0" applyNumberFormat="1" applyBorder="1" applyAlignment="1">
      <alignment horizontal="right" vertical="center"/>
    </xf>
    <xf numFmtId="49" fontId="30" fillId="0" borderId="87" xfId="0" applyNumberFormat="1" applyFont="1" applyBorder="1" applyAlignment="1">
      <alignment vertical="center"/>
    </xf>
    <xf numFmtId="4" fontId="30" fillId="0" borderId="83" xfId="0" applyNumberFormat="1" applyFont="1" applyBorder="1" applyAlignment="1">
      <alignment vertical="center"/>
    </xf>
    <xf numFmtId="4" fontId="48" fillId="0" borderId="66" xfId="0" applyNumberFormat="1" applyFont="1" applyBorder="1"/>
    <xf numFmtId="0" fontId="0" fillId="0" borderId="87" xfId="4" applyFont="1" applyBorder="1" applyAlignment="1">
      <alignment vertical="center"/>
    </xf>
    <xf numFmtId="0" fontId="0" fillId="0" borderId="87" xfId="4" applyFont="1" applyBorder="1" applyAlignment="1">
      <alignment vertical="center" wrapText="1"/>
    </xf>
    <xf numFmtId="0" fontId="0" fillId="0" borderId="84" xfId="4" applyFont="1" applyBorder="1" applyAlignment="1">
      <alignment vertical="center" wrapText="1"/>
    </xf>
    <xf numFmtId="0" fontId="37" fillId="0" borderId="87" xfId="4" applyFont="1" applyBorder="1" applyAlignment="1">
      <alignment vertical="center" wrapText="1"/>
    </xf>
    <xf numFmtId="49" fontId="0" fillId="0" borderId="87" xfId="4" applyNumberFormat="1" applyFont="1" applyBorder="1" applyAlignment="1">
      <alignment vertical="center" wrapText="1"/>
    </xf>
    <xf numFmtId="0" fontId="37" fillId="0" borderId="83" xfId="0" applyFont="1" applyBorder="1" applyAlignment="1">
      <alignment horizontal="right" vertical="center"/>
    </xf>
    <xf numFmtId="0" fontId="37" fillId="0" borderId="87" xfId="4" applyFont="1" applyBorder="1" applyAlignment="1">
      <alignment vertical="center"/>
    </xf>
    <xf numFmtId="2" fontId="0" fillId="0" borderId="87" xfId="0" applyNumberFormat="1" applyBorder="1" applyAlignment="1">
      <alignment vertical="center" wrapText="1"/>
    </xf>
    <xf numFmtId="0" fontId="0" fillId="0" borderId="87" xfId="5" applyFont="1" applyBorder="1" applyAlignment="1">
      <alignment vertical="center" wrapText="1"/>
    </xf>
    <xf numFmtId="0" fontId="0" fillId="0" borderId="84" xfId="5" applyFont="1" applyBorder="1" applyAlignment="1">
      <alignment vertical="center" wrapText="1"/>
    </xf>
    <xf numFmtId="49" fontId="4" fillId="0" borderId="84" xfId="4" applyNumberFormat="1" applyFont="1" applyBorder="1" applyAlignment="1">
      <alignment vertical="center" wrapText="1"/>
    </xf>
    <xf numFmtId="49" fontId="0" fillId="0" borderId="84" xfId="4" applyNumberFormat="1" applyFont="1" applyBorder="1" applyAlignment="1">
      <alignment vertical="center" wrapText="1"/>
    </xf>
    <xf numFmtId="0" fontId="37" fillId="0" borderId="84" xfId="4" applyFont="1" applyBorder="1" applyAlignment="1">
      <alignment vertical="center" wrapText="1"/>
    </xf>
    <xf numFmtId="0" fontId="30" fillId="0" borderId="0" xfId="0" applyFont="1"/>
    <xf numFmtId="0" fontId="4" fillId="0" borderId="84" xfId="4" applyFont="1" applyBorder="1" applyAlignment="1">
      <alignment vertical="center" wrapText="1"/>
    </xf>
    <xf numFmtId="0" fontId="10" fillId="0" borderId="0" xfId="0" applyFont="1"/>
    <xf numFmtId="0" fontId="37" fillId="0" borderId="84" xfId="0" applyFont="1" applyBorder="1" applyAlignment="1">
      <alignment vertical="center"/>
    </xf>
    <xf numFmtId="49" fontId="0" fillId="0" borderId="87" xfId="5" applyNumberFormat="1" applyFont="1" applyBorder="1" applyAlignment="1">
      <alignment vertical="center" wrapText="1"/>
    </xf>
    <xf numFmtId="49" fontId="0" fillId="0" borderId="84" xfId="5" applyNumberFormat="1" applyFont="1" applyBorder="1" applyAlignment="1">
      <alignment vertical="center" wrapText="1"/>
    </xf>
    <xf numFmtId="49" fontId="4" fillId="0" borderId="84" xfId="5" applyNumberFormat="1" applyFont="1" applyBorder="1" applyAlignment="1">
      <alignment vertical="center" wrapText="1"/>
    </xf>
    <xf numFmtId="0" fontId="4" fillId="0" borderId="84" xfId="5" applyFont="1" applyBorder="1" applyAlignment="1">
      <alignment vertical="center" wrapText="1"/>
    </xf>
    <xf numFmtId="0" fontId="0" fillId="0" borderId="98" xfId="0" applyBorder="1" applyAlignment="1">
      <alignment horizontal="right" vertical="center"/>
    </xf>
    <xf numFmtId="49" fontId="0" fillId="0" borderId="84" xfId="4" applyNumberFormat="1" applyFont="1" applyBorder="1" applyAlignment="1">
      <alignment vertical="center"/>
    </xf>
    <xf numFmtId="4" fontId="47" fillId="0" borderId="66" xfId="0" applyNumberFormat="1" applyFont="1" applyBorder="1" applyAlignment="1">
      <alignment vertical="center"/>
    </xf>
    <xf numFmtId="0" fontId="0" fillId="0" borderId="103" xfId="0" applyBorder="1" applyAlignment="1">
      <alignment vertical="center"/>
    </xf>
    <xf numFmtId="0" fontId="0" fillId="0" borderId="66" xfId="0" applyBorder="1" applyAlignment="1">
      <alignment horizontal="right" vertical="center"/>
    </xf>
    <xf numFmtId="0" fontId="9" fillId="0" borderId="66" xfId="0" applyFont="1" applyBorder="1"/>
    <xf numFmtId="0" fontId="34" fillId="0" borderId="76" xfId="0" applyFont="1" applyBorder="1" applyAlignment="1">
      <alignment horizontal="right" vertical="center"/>
    </xf>
    <xf numFmtId="0" fontId="34" fillId="0" borderId="103" xfId="0" applyFont="1" applyBorder="1" applyAlignment="1">
      <alignment vertical="center"/>
    </xf>
    <xf numFmtId="0" fontId="0" fillId="0" borderId="117" xfId="0" applyBorder="1"/>
    <xf numFmtId="0" fontId="49" fillId="0" borderId="0" xfId="0" applyFont="1" applyAlignment="1">
      <alignment vertical="center"/>
    </xf>
    <xf numFmtId="0" fontId="1" fillId="0" borderId="80" xfId="0" applyFont="1" applyBorder="1" applyAlignment="1">
      <alignment vertical="center"/>
    </xf>
    <xf numFmtId="4" fontId="47" fillId="0" borderId="100" xfId="0" applyNumberFormat="1" applyFont="1" applyBorder="1" applyAlignment="1">
      <alignment vertical="center"/>
    </xf>
    <xf numFmtId="4" fontId="32" fillId="0" borderId="85" xfId="0" applyNumberFormat="1" applyFont="1" applyBorder="1" applyAlignment="1">
      <alignment vertical="center"/>
    </xf>
    <xf numFmtId="0" fontId="4" fillId="0" borderId="99" xfId="0" applyFont="1" applyBorder="1" applyAlignment="1">
      <alignment vertical="center"/>
    </xf>
    <xf numFmtId="0" fontId="32" fillId="0" borderId="82" xfId="0" applyFont="1" applyBorder="1" applyAlignment="1">
      <alignment vertical="center"/>
    </xf>
    <xf numFmtId="0" fontId="14" fillId="0" borderId="68" xfId="0" applyFont="1" applyBorder="1"/>
    <xf numFmtId="0" fontId="19" fillId="0" borderId="83" xfId="0" applyFont="1" applyBorder="1" applyAlignment="1">
      <alignment horizontal="right" vertical="center" wrapText="1"/>
    </xf>
    <xf numFmtId="0" fontId="4" fillId="0" borderId="84" xfId="0" applyFont="1" applyBorder="1" applyAlignment="1">
      <alignment vertical="top" wrapText="1"/>
    </xf>
    <xf numFmtId="0" fontId="0" fillId="0" borderId="84" xfId="0" applyBorder="1" applyAlignment="1">
      <alignment vertical="top" wrapText="1"/>
    </xf>
    <xf numFmtId="0" fontId="1" fillId="0" borderId="98" xfId="0" applyFont="1" applyBorder="1" applyAlignment="1">
      <alignment vertical="center"/>
    </xf>
    <xf numFmtId="4" fontId="0" fillId="0" borderId="117" xfId="0" applyNumberFormat="1" applyBorder="1" applyAlignment="1">
      <alignment vertical="center"/>
    </xf>
    <xf numFmtId="0" fontId="13" fillId="0" borderId="118" xfId="0" applyFont="1" applyBorder="1"/>
    <xf numFmtId="4" fontId="14" fillId="0" borderId="93" xfId="0" applyNumberFormat="1" applyFont="1" applyBorder="1"/>
    <xf numFmtId="4" fontId="14" fillId="0" borderId="135" xfId="0" applyNumberFormat="1" applyFont="1" applyBorder="1"/>
    <xf numFmtId="0" fontId="13" fillId="0" borderId="0" xfId="0" applyFont="1"/>
    <xf numFmtId="4" fontId="9" fillId="0" borderId="63" xfId="0" applyNumberFormat="1" applyFont="1" applyBorder="1" applyAlignment="1">
      <alignment horizontal="center" vertical="center" wrapText="1"/>
    </xf>
    <xf numFmtId="4" fontId="1" fillId="0" borderId="0" xfId="0" applyNumberFormat="1" applyFont="1" applyAlignment="1">
      <alignment horizontal="center" vertical="center"/>
    </xf>
    <xf numFmtId="0" fontId="8" fillId="0" borderId="65" xfId="0" applyFont="1" applyBorder="1" applyAlignment="1">
      <alignment horizontal="center"/>
    </xf>
    <xf numFmtId="4" fontId="9" fillId="0" borderId="0" xfId="0" applyNumberFormat="1" applyFont="1" applyAlignment="1">
      <alignment horizontal="center" vertical="center" wrapText="1"/>
    </xf>
    <xf numFmtId="4" fontId="8" fillId="0" borderId="66" xfId="0" applyNumberFormat="1" applyFont="1" applyBorder="1" applyAlignment="1">
      <alignment shrinkToFit="1"/>
    </xf>
    <xf numFmtId="4" fontId="17" fillId="0" borderId="66" xfId="0" applyNumberFormat="1" applyFont="1" applyBorder="1" applyAlignment="1">
      <alignment vertical="center" shrinkToFit="1"/>
    </xf>
    <xf numFmtId="4" fontId="8" fillId="0" borderId="67" xfId="0" applyNumberFormat="1" applyFont="1" applyBorder="1" applyAlignment="1">
      <alignment shrinkToFit="1"/>
    </xf>
    <xf numFmtId="4" fontId="17" fillId="0" borderId="68" xfId="0" applyNumberFormat="1" applyFont="1" applyBorder="1" applyAlignment="1">
      <alignment shrinkToFit="1"/>
    </xf>
    <xf numFmtId="4" fontId="17" fillId="0" borderId="0" xfId="0" applyNumberFormat="1" applyFont="1"/>
    <xf numFmtId="4" fontId="0" fillId="0" borderId="0" xfId="0" applyNumberFormat="1" applyAlignment="1">
      <alignment horizontal="center"/>
    </xf>
    <xf numFmtId="0" fontId="0" fillId="0" borderId="0" xfId="0" applyAlignment="1">
      <alignment horizontal="center"/>
    </xf>
    <xf numFmtId="4" fontId="37" fillId="7" borderId="89" xfId="0" applyNumberFormat="1" applyFont="1" applyFill="1" applyBorder="1" applyAlignment="1">
      <alignment vertical="center"/>
    </xf>
    <xf numFmtId="4" fontId="1" fillId="0" borderId="0" xfId="0" applyNumberFormat="1" applyFont="1" applyAlignment="1">
      <alignment vertical="center"/>
    </xf>
    <xf numFmtId="0" fontId="4" fillId="0" borderId="0" xfId="0" applyFont="1" applyAlignment="1">
      <alignment vertical="center"/>
    </xf>
    <xf numFmtId="4" fontId="8" fillId="0" borderId="70" xfId="0" applyNumberFormat="1" applyFont="1" applyBorder="1"/>
    <xf numFmtId="4" fontId="8" fillId="0" borderId="0" xfId="0" applyNumberFormat="1" applyFont="1"/>
    <xf numFmtId="4" fontId="8" fillId="0" borderId="70" xfId="0" applyNumberFormat="1" applyFont="1" applyBorder="1" applyAlignment="1">
      <alignment vertical="center"/>
    </xf>
    <xf numFmtId="4" fontId="50" fillId="0" borderId="0" xfId="0" applyNumberFormat="1" applyFont="1" applyAlignment="1">
      <alignment horizontal="right"/>
    </xf>
    <xf numFmtId="4" fontId="8" fillId="0" borderId="70" xfId="0" applyNumberFormat="1" applyFont="1" applyBorder="1" applyAlignment="1">
      <alignment shrinkToFit="1"/>
    </xf>
    <xf numFmtId="4" fontId="40" fillId="0" borderId="0" xfId="0" applyNumberFormat="1" applyFont="1" applyAlignment="1">
      <alignment vertical="center"/>
    </xf>
    <xf numFmtId="4" fontId="8" fillId="0" borderId="71" xfId="0" applyNumberFormat="1" applyFont="1" applyBorder="1"/>
    <xf numFmtId="4" fontId="17" fillId="0" borderId="73" xfId="0" applyNumberFormat="1" applyFont="1" applyBorder="1"/>
    <xf numFmtId="4" fontId="9" fillId="0" borderId="78" xfId="0" applyNumberFormat="1" applyFont="1" applyBorder="1" applyAlignment="1">
      <alignment horizontal="center" vertical="center" wrapText="1"/>
    </xf>
    <xf numFmtId="4" fontId="1" fillId="0" borderId="80" xfId="0" applyNumberFormat="1" applyFont="1" applyBorder="1" applyAlignment="1">
      <alignment shrinkToFit="1"/>
    </xf>
    <xf numFmtId="4" fontId="4" fillId="0" borderId="112" xfId="0" applyNumberFormat="1" applyFont="1" applyBorder="1" applyAlignment="1">
      <alignment vertical="center" shrinkToFit="1"/>
    </xf>
    <xf numFmtId="4" fontId="4" fillId="0" borderId="136" xfId="0" applyNumberFormat="1" applyFont="1" applyBorder="1" applyAlignment="1">
      <alignment vertical="center" shrinkToFit="1"/>
    </xf>
    <xf numFmtId="4" fontId="0" fillId="0" borderId="66" xfId="0" applyNumberFormat="1" applyBorder="1" applyAlignment="1">
      <alignment vertical="center" shrinkToFit="1"/>
    </xf>
    <xf numFmtId="4" fontId="4" fillId="0" borderId="137" xfId="0" applyNumberFormat="1" applyFont="1" applyBorder="1" applyAlignment="1">
      <alignment vertical="center" shrinkToFit="1"/>
    </xf>
    <xf numFmtId="4" fontId="0" fillId="0" borderId="89" xfId="0" applyNumberFormat="1" applyBorder="1" applyAlignment="1">
      <alignment vertical="center" shrinkToFit="1"/>
    </xf>
    <xf numFmtId="4" fontId="0" fillId="0" borderId="86" xfId="0" applyNumberFormat="1" applyBorder="1" applyAlignment="1">
      <alignment vertical="center" shrinkToFit="1"/>
    </xf>
    <xf numFmtId="4" fontId="0" fillId="0" borderId="137" xfId="0" applyNumberFormat="1" applyBorder="1" applyAlignment="1">
      <alignment vertical="center" shrinkToFit="1"/>
    </xf>
    <xf numFmtId="4" fontId="0" fillId="0" borderId="88" xfId="0" applyNumberFormat="1" applyBorder="1"/>
    <xf numFmtId="0" fontId="7" fillId="0" borderId="86" xfId="0" applyFont="1" applyBorder="1" applyAlignment="1">
      <alignment horizontal="right" vertical="center"/>
    </xf>
    <xf numFmtId="4" fontId="1" fillId="0" borderId="68" xfId="0" applyNumberFormat="1" applyFont="1" applyBorder="1"/>
    <xf numFmtId="4" fontId="0" fillId="0" borderId="95" xfId="0" applyNumberFormat="1" applyBorder="1" applyAlignment="1">
      <alignment vertical="center"/>
    </xf>
    <xf numFmtId="4" fontId="34" fillId="0" borderId="86" xfId="0" applyNumberFormat="1" applyFont="1" applyBorder="1"/>
    <xf numFmtId="4" fontId="1" fillId="0" borderId="66" xfId="0" applyNumberFormat="1" applyFont="1" applyBorder="1" applyAlignment="1">
      <alignment shrinkToFit="1"/>
    </xf>
    <xf numFmtId="4" fontId="0" fillId="0" borderId="138" xfId="0" applyNumberFormat="1" applyBorder="1"/>
    <xf numFmtId="0" fontId="19" fillId="3" borderId="86" xfId="0" applyFont="1" applyFill="1" applyBorder="1" applyAlignment="1">
      <alignment horizontal="right" vertical="center"/>
    </xf>
    <xf numFmtId="0" fontId="1" fillId="0" borderId="139" xfId="0" applyFont="1" applyBorder="1" applyAlignment="1">
      <alignment vertical="center"/>
    </xf>
    <xf numFmtId="0" fontId="5" fillId="0" borderId="72" xfId="0" applyFont="1" applyBorder="1"/>
    <xf numFmtId="0" fontId="5" fillId="0" borderId="115" xfId="0" applyFont="1" applyBorder="1"/>
    <xf numFmtId="4" fontId="1" fillId="0" borderId="93" xfId="0" applyNumberFormat="1" applyFont="1" applyBorder="1"/>
    <xf numFmtId="4" fontId="1" fillId="0" borderId="105" xfId="0" applyNumberFormat="1" applyFont="1" applyBorder="1"/>
    <xf numFmtId="4" fontId="5" fillId="0" borderId="105" xfId="0" applyNumberFormat="1" applyFont="1" applyBorder="1" applyAlignment="1">
      <alignment shrinkToFit="1"/>
    </xf>
    <xf numFmtId="0" fontId="4" fillId="0" borderId="109" xfId="0" applyFont="1" applyBorder="1" applyAlignment="1">
      <alignment vertical="center"/>
    </xf>
    <xf numFmtId="4" fontId="1" fillId="0" borderId="96" xfId="0" applyNumberFormat="1" applyFont="1" applyBorder="1" applyAlignment="1">
      <alignment vertical="center"/>
    </xf>
    <xf numFmtId="4" fontId="0" fillId="0" borderId="138" xfId="0" applyNumberFormat="1" applyBorder="1" applyAlignment="1">
      <alignment vertical="center"/>
    </xf>
    <xf numFmtId="4" fontId="0" fillId="0" borderId="107" xfId="0" applyNumberFormat="1" applyBorder="1" applyAlignment="1">
      <alignment vertical="center"/>
    </xf>
    <xf numFmtId="0" fontId="4" fillId="0" borderId="140" xfId="0" applyFont="1" applyBorder="1" applyAlignment="1">
      <alignment vertical="center"/>
    </xf>
    <xf numFmtId="4" fontId="0" fillId="8" borderId="66" xfId="0" applyNumberFormat="1" applyFill="1" applyBorder="1" applyAlignment="1">
      <alignment vertical="center"/>
    </xf>
    <xf numFmtId="4" fontId="1" fillId="0" borderId="138" xfId="0" applyNumberFormat="1" applyFont="1" applyBorder="1"/>
    <xf numFmtId="4" fontId="1" fillId="0" borderId="86" xfId="3" applyNumberFormat="1" applyFont="1" applyFill="1" applyBorder="1" applyAlignment="1" applyProtection="1">
      <alignment vertical="center"/>
    </xf>
    <xf numFmtId="4" fontId="1" fillId="0" borderId="105" xfId="0" applyNumberFormat="1" applyFont="1" applyBorder="1" applyAlignment="1">
      <alignment vertical="center" shrinkToFit="1"/>
    </xf>
    <xf numFmtId="4" fontId="1" fillId="0" borderId="72" xfId="0" applyNumberFormat="1" applyFont="1" applyBorder="1" applyAlignment="1">
      <alignment shrinkToFit="1"/>
    </xf>
    <xf numFmtId="0" fontId="1" fillId="8" borderId="140" xfId="0" applyFont="1" applyFill="1" applyBorder="1" applyAlignment="1">
      <alignment vertical="center"/>
    </xf>
    <xf numFmtId="4" fontId="13" fillId="0" borderId="68" xfId="0" applyNumberFormat="1" applyFont="1" applyBorder="1" applyAlignment="1">
      <alignment vertical="center" shrinkToFit="1"/>
    </xf>
    <xf numFmtId="4" fontId="1" fillId="0" borderId="80" xfId="0" applyNumberFormat="1" applyFont="1" applyBorder="1"/>
    <xf numFmtId="4" fontId="14" fillId="0" borderId="79" xfId="0" applyNumberFormat="1" applyFont="1" applyBorder="1" applyAlignment="1">
      <alignment vertical="center" shrinkToFit="1"/>
    </xf>
    <xf numFmtId="4" fontId="1" fillId="0" borderId="80" xfId="0" applyNumberFormat="1" applyFont="1" applyBorder="1" applyAlignment="1">
      <alignment vertical="center"/>
    </xf>
    <xf numFmtId="4" fontId="0" fillId="0" borderId="112" xfId="0" applyNumberFormat="1" applyBorder="1" applyAlignment="1">
      <alignment vertical="center"/>
    </xf>
    <xf numFmtId="4" fontId="0" fillId="0" borderId="68" xfId="0" applyNumberFormat="1" applyBorder="1" applyAlignment="1">
      <alignment vertical="center"/>
    </xf>
    <xf numFmtId="4" fontId="0" fillId="0" borderId="80" xfId="0" applyNumberFormat="1" applyBorder="1"/>
    <xf numFmtId="4" fontId="0" fillId="0" borderId="72" xfId="0" applyNumberFormat="1" applyBorder="1"/>
    <xf numFmtId="4" fontId="0" fillId="0" borderId="102" xfId="0" applyNumberFormat="1" applyBorder="1" applyAlignment="1">
      <alignment vertical="center"/>
    </xf>
    <xf numFmtId="4" fontId="1" fillId="0" borderId="63" xfId="0" applyNumberFormat="1" applyFont="1" applyBorder="1"/>
    <xf numFmtId="4" fontId="14" fillId="0" borderId="68" xfId="0" applyNumberFormat="1" applyFont="1" applyBorder="1" applyAlignment="1">
      <alignment vertical="center" shrinkToFit="1"/>
    </xf>
    <xf numFmtId="4" fontId="1" fillId="0" borderId="105" xfId="0" applyNumberFormat="1" applyFont="1" applyBorder="1" applyAlignment="1">
      <alignment vertical="center"/>
    </xf>
    <xf numFmtId="4" fontId="1" fillId="0" borderId="89" xfId="0" applyNumberFormat="1" applyFont="1" applyBorder="1" applyAlignment="1">
      <alignment vertical="center"/>
    </xf>
    <xf numFmtId="4" fontId="1" fillId="0" borderId="66" xfId="0" applyNumberFormat="1" applyFont="1" applyBorder="1" applyAlignment="1">
      <alignment vertical="center"/>
    </xf>
    <xf numFmtId="4" fontId="1" fillId="0" borderId="65" xfId="0" applyNumberFormat="1" applyFont="1" applyBorder="1" applyAlignment="1">
      <alignment vertical="center"/>
    </xf>
    <xf numFmtId="4" fontId="9" fillId="0" borderId="80" xfId="0" applyNumberFormat="1" applyFont="1" applyBorder="1"/>
    <xf numFmtId="0" fontId="4" fillId="0" borderId="112" xfId="0" applyFont="1" applyBorder="1" applyAlignment="1">
      <alignment horizontal="right" vertical="center"/>
    </xf>
    <xf numFmtId="4" fontId="1" fillId="0" borderId="112" xfId="0" applyNumberFormat="1" applyFont="1" applyBorder="1" applyAlignment="1">
      <alignment vertical="center"/>
    </xf>
    <xf numFmtId="4" fontId="9" fillId="0" borderId="105" xfId="0" applyNumberFormat="1" applyFont="1" applyBorder="1" applyAlignment="1">
      <alignment vertical="center"/>
    </xf>
    <xf numFmtId="4" fontId="0" fillId="0" borderId="65" xfId="0" applyNumberFormat="1" applyBorder="1"/>
    <xf numFmtId="0" fontId="1" fillId="0" borderId="109" xfId="0" applyFont="1" applyBorder="1" applyAlignment="1">
      <alignment vertical="center"/>
    </xf>
    <xf numFmtId="4" fontId="9" fillId="0" borderId="80" xfId="0" applyNumberFormat="1" applyFont="1" applyBorder="1" applyAlignment="1">
      <alignment vertical="center"/>
    </xf>
    <xf numFmtId="4" fontId="17" fillId="0" borderId="105" xfId="0" applyNumberFormat="1" applyFont="1" applyBorder="1" applyAlignment="1">
      <alignment vertical="center"/>
    </xf>
    <xf numFmtId="4" fontId="9" fillId="0" borderId="0" xfId="0" applyNumberFormat="1" applyFont="1"/>
    <xf numFmtId="4" fontId="1" fillId="0" borderId="130" xfId="0" applyNumberFormat="1" applyFont="1" applyBorder="1" applyAlignment="1">
      <alignment vertical="center"/>
    </xf>
    <xf numFmtId="0" fontId="4" fillId="0" borderId="93" xfId="0" applyFont="1" applyBorder="1" applyAlignment="1">
      <alignment vertical="center"/>
    </xf>
    <xf numFmtId="0" fontId="4" fillId="0" borderId="129" xfId="0" applyFont="1" applyBorder="1" applyAlignment="1">
      <alignment vertical="center"/>
    </xf>
    <xf numFmtId="4" fontId="0" fillId="0" borderId="141" xfId="0" applyNumberFormat="1" applyBorder="1" applyAlignment="1">
      <alignment vertical="center"/>
    </xf>
    <xf numFmtId="0" fontId="14" fillId="0" borderId="118" xfId="0" applyFont="1" applyBorder="1"/>
    <xf numFmtId="4" fontId="17" fillId="0" borderId="105" xfId="0" applyNumberFormat="1" applyFont="1" applyBorder="1"/>
    <xf numFmtId="4" fontId="14" fillId="0" borderId="142" xfId="0" applyNumberFormat="1" applyFont="1" applyBorder="1" applyAlignment="1">
      <alignment vertical="center" shrinkToFit="1"/>
    </xf>
    <xf numFmtId="4" fontId="4" fillId="0" borderId="143" xfId="0" applyNumberFormat="1" applyFont="1" applyBorder="1" applyAlignment="1">
      <alignment vertical="center" shrinkToFit="1"/>
    </xf>
    <xf numFmtId="4" fontId="23" fillId="0" borderId="0" xfId="0" applyNumberFormat="1" applyFont="1" applyAlignment="1">
      <alignment horizontal="right"/>
    </xf>
    <xf numFmtId="4" fontId="0" fillId="0" borderId="105" xfId="0" applyNumberFormat="1" applyBorder="1"/>
    <xf numFmtId="4" fontId="23" fillId="0" borderId="0" xfId="0" applyNumberFormat="1" applyFont="1" applyAlignment="1">
      <alignment horizontal="right" vertical="center"/>
    </xf>
    <xf numFmtId="4" fontId="9" fillId="0" borderId="105" xfId="0" applyNumberFormat="1" applyFont="1" applyBorder="1"/>
    <xf numFmtId="4" fontId="9" fillId="0" borderId="105" xfId="0" applyNumberFormat="1" applyFont="1" applyBorder="1" applyAlignment="1">
      <alignment vertical="center" shrinkToFit="1"/>
    </xf>
    <xf numFmtId="4" fontId="17" fillId="0" borderId="68" xfId="0" applyNumberFormat="1" applyFont="1" applyBorder="1" applyAlignment="1">
      <alignment vertical="center"/>
    </xf>
    <xf numFmtId="0" fontId="31" fillId="0" borderId="144" xfId="0" applyFont="1" applyBorder="1" applyAlignment="1">
      <alignment vertical="center" wrapText="1"/>
    </xf>
    <xf numFmtId="0" fontId="4" fillId="0" borderId="144" xfId="0" applyFont="1" applyBorder="1" applyAlignment="1">
      <alignment vertical="center"/>
    </xf>
    <xf numFmtId="4" fontId="1" fillId="0" borderId="76" xfId="0" applyNumberFormat="1" applyFont="1" applyBorder="1" applyAlignment="1">
      <alignment shrinkToFit="1"/>
    </xf>
    <xf numFmtId="4" fontId="0" fillId="0" borderId="80" xfId="0" applyNumberFormat="1" applyBorder="1" applyAlignment="1">
      <alignment shrinkToFit="1"/>
    </xf>
    <xf numFmtId="0" fontId="1" fillId="0" borderId="145" xfId="0" applyFont="1" applyBorder="1" applyAlignment="1">
      <alignment vertical="center"/>
    </xf>
    <xf numFmtId="0" fontId="1" fillId="0" borderId="76" xfId="0" applyFont="1" applyBorder="1" applyAlignment="1">
      <alignment vertical="center"/>
    </xf>
    <xf numFmtId="4" fontId="9" fillId="0" borderId="130" xfId="0" applyNumberFormat="1" applyFont="1" applyBorder="1" applyAlignment="1">
      <alignment vertical="center"/>
    </xf>
    <xf numFmtId="0" fontId="19" fillId="0" borderId="89" xfId="0" applyFont="1" applyBorder="1" applyAlignment="1" applyProtection="1">
      <alignment horizontal="right" vertical="center"/>
      <protection locked="0"/>
    </xf>
    <xf numFmtId="0" fontId="0" fillId="0" borderId="116" xfId="0" applyBorder="1" applyAlignment="1" applyProtection="1">
      <alignment vertical="center"/>
      <protection locked="0"/>
    </xf>
    <xf numFmtId="0" fontId="4" fillId="0" borderId="117" xfId="0" applyFont="1" applyBorder="1" applyAlignment="1">
      <alignment vertical="center"/>
    </xf>
    <xf numFmtId="0" fontId="4" fillId="0" borderId="124" xfId="0" applyFont="1" applyBorder="1" applyAlignment="1">
      <alignment vertical="center"/>
    </xf>
    <xf numFmtId="0" fontId="1" fillId="0" borderId="109" xfId="0" applyFont="1" applyBorder="1"/>
    <xf numFmtId="4" fontId="30" fillId="0" borderId="66" xfId="0" applyNumberFormat="1" applyFont="1" applyBorder="1" applyAlignment="1">
      <alignment vertical="center" shrinkToFit="1"/>
    </xf>
    <xf numFmtId="4" fontId="30" fillId="0" borderId="137" xfId="0" applyNumberFormat="1" applyFont="1" applyBorder="1" applyAlignment="1">
      <alignment vertical="center" shrinkToFit="1"/>
    </xf>
    <xf numFmtId="4" fontId="30" fillId="0" borderId="88" xfId="0" applyNumberFormat="1" applyFont="1" applyBorder="1" applyAlignment="1">
      <alignment vertical="center"/>
    </xf>
    <xf numFmtId="4" fontId="37" fillId="0" borderId="66" xfId="0" applyNumberFormat="1" applyFont="1" applyBorder="1" applyAlignment="1">
      <alignment vertical="center" shrinkToFit="1"/>
    </xf>
    <xf numFmtId="4" fontId="37" fillId="0" borderId="137" xfId="0" applyNumberFormat="1" applyFont="1" applyBorder="1" applyAlignment="1">
      <alignment vertical="center" shrinkToFit="1"/>
    </xf>
    <xf numFmtId="4" fontId="37" fillId="0" borderId="88" xfId="0" applyNumberFormat="1" applyFont="1" applyBorder="1" applyAlignment="1">
      <alignment vertical="center"/>
    </xf>
    <xf numFmtId="4" fontId="23" fillId="0" borderId="0" xfId="0" applyNumberFormat="1" applyFont="1"/>
    <xf numFmtId="4" fontId="37" fillId="0" borderId="83" xfId="0" applyNumberFormat="1" applyFont="1" applyBorder="1"/>
    <xf numFmtId="49" fontId="30" fillId="0" borderId="84" xfId="4" applyNumberFormat="1" applyFont="1" applyBorder="1" applyAlignment="1">
      <alignment vertical="center" wrapText="1"/>
    </xf>
    <xf numFmtId="4" fontId="37" fillId="0" borderId="0" xfId="0" applyNumberFormat="1" applyFont="1"/>
    <xf numFmtId="0" fontId="4" fillId="0" borderId="96" xfId="0" applyFont="1" applyBorder="1" applyAlignment="1">
      <alignment horizontal="right" vertical="center"/>
    </xf>
    <xf numFmtId="0" fontId="0" fillId="0" borderId="116" xfId="4" applyFont="1" applyBorder="1" applyAlignment="1">
      <alignment vertical="center" wrapText="1"/>
    </xf>
    <xf numFmtId="0" fontId="4" fillId="0" borderId="107" xfId="0" applyFont="1" applyBorder="1" applyAlignment="1">
      <alignment horizontal="right" vertical="center"/>
    </xf>
    <xf numFmtId="0" fontId="0" fillId="0" borderId="146" xfId="4" applyFont="1" applyBorder="1" applyAlignment="1">
      <alignment vertical="center" wrapText="1"/>
    </xf>
    <xf numFmtId="0" fontId="0" fillId="0" borderId="96" xfId="0" applyBorder="1" applyAlignment="1">
      <alignment horizontal="right" vertical="center"/>
    </xf>
    <xf numFmtId="0" fontId="0" fillId="0" borderId="97" xfId="0" applyBorder="1" applyAlignment="1">
      <alignment vertical="center"/>
    </xf>
    <xf numFmtId="0" fontId="34" fillId="0" borderId="117" xfId="0" applyFont="1" applyBorder="1" applyAlignment="1">
      <alignment horizontal="right" vertical="center"/>
    </xf>
    <xf numFmtId="0" fontId="34" fillId="0" borderId="147" xfId="0" applyFont="1" applyBorder="1" applyAlignment="1">
      <alignment vertical="center"/>
    </xf>
    <xf numFmtId="4" fontId="17" fillId="0" borderId="80" xfId="0" applyNumberFormat="1" applyFont="1" applyBorder="1" applyAlignment="1">
      <alignment vertical="center"/>
    </xf>
    <xf numFmtId="4" fontId="34" fillId="0" borderId="0" xfId="0" applyNumberFormat="1" applyFont="1" applyAlignment="1">
      <alignment vertical="center"/>
    </xf>
    <xf numFmtId="0" fontId="19" fillId="0" borderId="66" xfId="0" applyFont="1" applyBorder="1" applyAlignment="1">
      <alignment vertical="center"/>
    </xf>
    <xf numFmtId="4" fontId="17" fillId="0" borderId="93" xfId="0" applyNumberFormat="1" applyFont="1" applyBorder="1"/>
    <xf numFmtId="4" fontId="0" fillId="0" borderId="66" xfId="0" applyNumberFormat="1" applyBorder="1" applyAlignment="1">
      <alignment shrinkToFit="1"/>
    </xf>
    <xf numFmtId="4" fontId="0" fillId="8" borderId="66" xfId="0" applyNumberFormat="1" applyFill="1" applyBorder="1"/>
    <xf numFmtId="4" fontId="5" fillId="0" borderId="135" xfId="0" applyNumberFormat="1" applyFont="1" applyBorder="1"/>
    <xf numFmtId="0" fontId="1" fillId="0" borderId="138" xfId="0" applyFont="1" applyBorder="1"/>
    <xf numFmtId="4" fontId="5" fillId="0" borderId="109" xfId="0" applyNumberFormat="1" applyFont="1" applyBorder="1" applyAlignment="1">
      <alignment vertical="center"/>
    </xf>
    <xf numFmtId="2" fontId="32" fillId="0" borderId="148" xfId="0" applyNumberFormat="1" applyFont="1" applyBorder="1" applyAlignment="1">
      <alignment vertical="center"/>
    </xf>
    <xf numFmtId="0" fontId="1" fillId="0" borderId="0" xfId="0" applyFont="1" applyAlignment="1">
      <alignment horizontal="right"/>
    </xf>
    <xf numFmtId="4" fontId="5" fillId="0" borderId="149" xfId="0" applyNumberFormat="1" applyFont="1" applyBorder="1" applyAlignment="1">
      <alignment horizontal="right"/>
    </xf>
    <xf numFmtId="0" fontId="9" fillId="0" borderId="0" xfId="0" applyFont="1" applyAlignment="1">
      <alignment horizontal="center"/>
    </xf>
    <xf numFmtId="4" fontId="5" fillId="0" borderId="0" xfId="0" applyNumberFormat="1" applyFont="1" applyAlignment="1">
      <alignment horizontal="right"/>
    </xf>
    <xf numFmtId="4" fontId="1" fillId="0" borderId="0" xfId="0" applyNumberFormat="1" applyFont="1" applyAlignment="1">
      <alignment horizontal="center"/>
    </xf>
    <xf numFmtId="0" fontId="1" fillId="0" borderId="0" xfId="0" applyFont="1" applyAlignment="1">
      <alignment horizontal="center"/>
    </xf>
    <xf numFmtId="4" fontId="9" fillId="0" borderId="149" xfId="0" applyNumberFormat="1" applyFont="1" applyBorder="1"/>
    <xf numFmtId="4" fontId="9" fillId="0" borderId="126" xfId="0" applyNumberFormat="1" applyFont="1" applyBorder="1"/>
    <xf numFmtId="4" fontId="51" fillId="0" borderId="0" xfId="0" applyNumberFormat="1" applyFont="1"/>
    <xf numFmtId="0" fontId="0" fillId="0" borderId="149" xfId="0" applyBorder="1"/>
    <xf numFmtId="4" fontId="1" fillId="0" borderId="149" xfId="0" applyNumberFormat="1" applyFont="1" applyBorder="1"/>
    <xf numFmtId="0" fontId="5" fillId="0" borderId="149" xfId="0" applyFont="1" applyBorder="1"/>
    <xf numFmtId="0" fontId="1" fillId="0" borderId="149" xfId="0" applyFont="1" applyBorder="1"/>
    <xf numFmtId="4" fontId="5" fillId="0" borderId="149" xfId="0" applyNumberFormat="1" applyFont="1" applyBorder="1"/>
    <xf numFmtId="4" fontId="4" fillId="0" borderId="149" xfId="0" applyNumberFormat="1" applyFont="1" applyBorder="1"/>
    <xf numFmtId="4" fontId="1" fillId="0" borderId="126" xfId="0" applyNumberFormat="1" applyFont="1" applyBorder="1"/>
    <xf numFmtId="0" fontId="4" fillId="0" borderId="149" xfId="0" applyFont="1" applyBorder="1"/>
    <xf numFmtId="0" fontId="22" fillId="0" borderId="0" xfId="0" applyFont="1"/>
    <xf numFmtId="4" fontId="5" fillId="0" borderId="0" xfId="0" applyNumberFormat="1" applyFont="1"/>
    <xf numFmtId="0" fontId="52" fillId="0" borderId="0" xfId="0" applyFont="1"/>
    <xf numFmtId="4" fontId="52" fillId="0" borderId="0" xfId="0" applyNumberFormat="1" applyFont="1"/>
    <xf numFmtId="4" fontId="52" fillId="0" borderId="126" xfId="0" applyNumberFormat="1" applyFont="1" applyBorder="1"/>
    <xf numFmtId="4" fontId="52" fillId="0" borderId="149" xfId="0" applyNumberFormat="1" applyFont="1" applyBorder="1"/>
    <xf numFmtId="0" fontId="52" fillId="0" borderId="149" xfId="0" applyFont="1" applyBorder="1"/>
    <xf numFmtId="4" fontId="53" fillId="0" borderId="149" xfId="0" applyNumberFormat="1" applyFont="1" applyBorder="1"/>
    <xf numFmtId="4" fontId="32" fillId="0" borderId="86" xfId="0" applyNumberFormat="1" applyFont="1" applyBorder="1" applyAlignment="1">
      <alignment vertical="center"/>
    </xf>
    <xf numFmtId="4" fontId="34" fillId="0" borderId="86" xfId="0" applyNumberFormat="1" applyFont="1" applyBorder="1" applyAlignment="1">
      <alignment vertical="center"/>
    </xf>
    <xf numFmtId="0" fontId="4" fillId="0" borderId="97" xfId="0" applyFont="1" applyBorder="1" applyAlignment="1">
      <alignment vertical="center"/>
    </xf>
    <xf numFmtId="4" fontId="4" fillId="0" borderId="150" xfId="0" applyNumberFormat="1" applyFont="1" applyBorder="1"/>
    <xf numFmtId="4" fontId="4" fillId="0" borderId="78" xfId="0" applyNumberFormat="1" applyFont="1" applyBorder="1" applyAlignment="1">
      <alignment vertical="center" shrinkToFit="1"/>
    </xf>
    <xf numFmtId="4" fontId="4" fillId="0" borderId="67" xfId="0" applyNumberFormat="1" applyFont="1" applyBorder="1" applyAlignment="1">
      <alignment vertical="center" shrinkToFit="1"/>
    </xf>
    <xf numFmtId="4" fontId="4" fillId="0" borderId="67" xfId="0" applyNumberFormat="1" applyFont="1" applyBorder="1"/>
    <xf numFmtId="0" fontId="1" fillId="0" borderId="147" xfId="0" applyFont="1" applyBorder="1" applyAlignment="1">
      <alignment vertical="center"/>
    </xf>
    <xf numFmtId="0" fontId="1" fillId="0" borderId="117" xfId="0" applyFont="1" applyBorder="1" applyAlignment="1">
      <alignment vertical="center"/>
    </xf>
    <xf numFmtId="0" fontId="1" fillId="0" borderId="151" xfId="0" applyFont="1" applyBorder="1"/>
    <xf numFmtId="0" fontId="7" fillId="0" borderId="83" xfId="0" applyFont="1" applyBorder="1" applyAlignment="1">
      <alignment horizontal="right" vertical="center" wrapText="1"/>
    </xf>
    <xf numFmtId="4" fontId="17" fillId="9" borderId="0" xfId="0" applyNumberFormat="1" applyFont="1" applyFill="1"/>
    <xf numFmtId="0" fontId="17" fillId="9" borderId="0" xfId="0" applyFont="1" applyFill="1"/>
    <xf numFmtId="4" fontId="1" fillId="9" borderId="0" xfId="0" applyNumberFormat="1" applyFont="1" applyFill="1"/>
    <xf numFmtId="167" fontId="0" fillId="0" borderId="0" xfId="0" applyNumberFormat="1" applyAlignment="1">
      <alignment horizontal="left"/>
    </xf>
  </cellXfs>
  <cellStyles count="6">
    <cellStyle name="Čárka" xfId="1" builtinId="3"/>
    <cellStyle name="Čárka 2" xfId="2"/>
    <cellStyle name="Excel_BuiltIn_Poznámka 1" xfId="3"/>
    <cellStyle name="Normální" xfId="0" builtinId="0"/>
    <cellStyle name="normální 2" xfId="4"/>
    <cellStyle name="Normální 2 2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 " id="{12C036A7-9029-9940-6FD5-03E6B7AE4014}"/>
  <person displayName="Jana Holíková" id="{2F5F6CE8-9486-26C6-27E6-277EBB6962AB}"/>
  <person displayName="Ing. Jana Holíková" id="{8DF53CA1-B0D4-78BB-20C5-B40BD0C91D2C}"/>
  <person displayName="Jana" id="{B5FD8596-77AF-ADAD-A15D-964B5815616B}"/>
</personList>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a:ea typeface="Arial"/>
        <a:cs typeface="Arial"/>
      </a:majorFont>
      <a:minorFont>
        <a:latin typeface="Calibri"/>
        <a:ea typeface="Arial"/>
        <a:cs typeface="Arial"/>
      </a:minorFont>
    </a:fontScheme>
    <a:fmtScheme name="Kancelář">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spPr>
      <a:bodyPr/>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spPr>
      <a:bodyPr/>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628" personId="{12C036A7-9029-9940-6FD5-03E6B7AE4014}" id="{00E8003D-0012-43D1-AE24-005B0076006A}" done="0">
    <text xml:space="preserve">Jana Holíková:
0381 019 6171:
50xx  43.827.695
5424     247.607
5167     507.759,10
5173     122.275
5192-5     0
------------------------
cel     44.952.943,10
</text>
  </threadedComment>
  <threadedComment ref="D767" personId="{12C036A7-9029-9940-6FD5-03E6B7AE4014}" id="{00330095-009E-4160-A3BE-009200BF0005}" done="0">
    <text xml:space="preserve">Gabriela Vlčková:
+391 tis. dotace
</text>
  </threadedComment>
  <threadedComment ref="D812" personId="{12C036A7-9029-9940-6FD5-03E6B7AE4014}" id="{00BD004F-00AF-49B2-825A-0067009900EF}" done="0">
    <text xml:space="preserve">Gabriela Vlčková:
+10.450 mimoř. Př.
</text>
  </threadedComment>
</ThreadedComments>
</file>

<file path=xl/threadedComments/threadedComment2.xml><?xml version="1.0" encoding="utf-8"?>
<ThreadedComments xmlns="http://schemas.microsoft.com/office/spreadsheetml/2018/threadedcomments" xmlns:x="http://schemas.openxmlformats.org/spreadsheetml/2006/main">
  <threadedComment ref="K11" personId="{2F5F6CE8-9486-26C6-27E6-277EBB6962AB}" id="{00320013-0014-4CC8-B558-005100E000F4}" done="0">
    <text xml:space="preserve">ř.4240-4220
</text>
  </threadedComment>
  <threadedComment ref="D108" personId="{2F5F6CE8-9486-26C6-27E6-277EBB6962AB}" id="{00860044-005C-4E80-BE37-001F006E008A}" done="0">
    <text xml:space="preserve">23017/02 
+ 91.051,59   0307
+159.661,95 0305
</text>
  </threadedComment>
  <threadedComment ref="D109" personId="{2F5F6CE8-9486-26C6-27E6-277EBB6962AB}" id="{006400AF-0061-4775-AA7F-00CB00D6001B}" done="0">
    <text xml:space="preserve">23017/02 +29.886,84
</text>
  </threadedComment>
  <threadedComment ref="D110" personId="{2F5F6CE8-9486-26C6-27E6-277EBB6962AB}" id="{00BA006A-009C-4DC5-AFCC-004D001600FA}" done="0">
    <text xml:space="preserve">23017/02 +305.600,85
</text>
  </threadedComment>
  <threadedComment ref="K12" personId="{8DF53CA1-B0D4-78BB-20C5-B40BD0C91D2C}" id="{00590077-00AF-42CF-83D5-009C00BB007D}" done="0">
    <text xml:space="preserve">040 ř.4220
nebo celk výdaje - tř6
nebo
min Závěrečný propočet dle výkazu
</text>
  </threadedComment>
  <threadedComment ref="L12" personId="{2F5F6CE8-9486-26C6-27E6-277EBB6962AB}" id="{000E0023-00F9-41F2-BB39-00B50096001D}" done="0">
    <text xml:space="preserve">ř.4220
</text>
  </threadedComment>
  <threadedComment ref="D111" personId="{2F5F6CE8-9486-26C6-27E6-277EBB6962AB}" id="{004A00A8-0038-4550-99D7-008900EF00CF}" done="0">
    <text xml:space="preserve">23017/02 +151.277,28
</text>
  </threadedComment>
  <threadedComment ref="D112" personId="{2F5F6CE8-9486-26C6-27E6-277EBB6962AB}" id="{000F00CE-0061-4B92-ABC9-00F700F6004F}" done="0">
    <text xml:space="preserve">23038/03 +5.706.845,54
</text>
  </threadedComment>
  <threadedComment ref="D113" personId="{2F5F6CE8-9486-26C6-27E6-277EBB6962AB}" id="{00360046-00CB-4219-86FA-0054006A001D}" done="0">
    <text xml:space="preserve">23038/03 +5.706.845,54
</text>
  </threadedComment>
  <threadedComment ref="D114" personId="{2F5F6CE8-9486-26C6-27E6-277EBB6962AB}" id="{00C30062-00F7-4AF4-AA23-00D400FB0061}" done="0">
    <text xml:space="preserve">23083/06 +265.673,13
</text>
  </threadedComment>
  <threadedComment ref="D116" personId="{2F5F6CE8-9486-26C6-27E6-277EBB6962AB}" id="{00730081-00B0-4524-A6F4-000800EB00E6}" done="0">
    <text xml:space="preserve">23083/06 
+5.360 +147.136
</text>
  </threadedComment>
  <threadedComment ref="D117" personId="{2F5F6CE8-9486-26C6-27E6-277EBB6962AB}" id="{00F70048-0056-4EDA-9FD3-0087007800A6}" done="0">
    <text xml:space="preserve">23016/02 +8.015
</text>
  </threadedComment>
  <threadedComment ref="D118" personId="{2F5F6CE8-9486-26C6-27E6-277EBB6962AB}" id="{00CA0010-0029-4268-8FE8-00E3009D00C0}" done="0">
    <text xml:space="preserve">23016/02 +33.210
</text>
  </threadedComment>
  <threadedComment ref="D119" personId="{2F5F6CE8-9486-26C6-27E6-277EBB6962AB}" id="{00C200DC-0080-41DC-A635-001E00E40024}" done="0">
    <text xml:space="preserve">23050/04 +100.000
</text>
  </threadedComment>
  <threadedComment ref="D120" personId="{2F5F6CE8-9486-26C6-27E6-277EBB6962AB}" id="{003B0002-007A-4C94-AF3A-00F900E4006B}" done="0">
    <text xml:space="preserve">23011/02 -+50.000
23031/02 -+50.000
23032/02 +5.000
</text>
  </threadedComment>
  <threadedComment ref="K13" personId="{8DF53CA1-B0D4-78BB-20C5-B40BD0C91D2C}" id="{00A000C3-00BC-4FE0-B9B2-0074008A00F2}" done="0">
    <text xml:space="preserve">040 ř.4240
nebo
min Závěrečný propočet
dle výkazu
</text>
  </threadedComment>
  <threadedComment ref="L13" personId="{2F5F6CE8-9486-26C6-27E6-277EBB6962AB}" id="{00F5008C-008B-4FD0-B9B1-007A00A70059}" done="0">
    <text xml:space="preserve">ř.4240-ř.4300-ř.4310
</text>
  </threadedComment>
  <threadedComment ref="D121" personId="{2F5F6CE8-9486-26C6-27E6-277EBB6962AB}" id="{0095000E-00E9-422A-AFED-000D00AA006F}" done="0">
    <text xml:space="preserve">23019/02 +59.931
23095/06 +206.193
</text>
  </threadedComment>
  <threadedComment ref="D137" personId="{2F5F6CE8-9486-26C6-27E6-277EBB6962AB}" id="{0073009D-0027-4481-B39D-0025000700CD}" done="0">
    <text xml:space="preserve">23013/02 +227.100
23028/02 +232.500
23042/03 +210.000
23064/04 +231.000
23076/05 +234.000
23092/06 +241.800
</text>
  </threadedComment>
  <threadedComment ref="D146" personId="{2F5F6CE8-9486-26C6-27E6-277EBB6962AB}" id="{00270032-0003-4DCD-91FA-0040001100B1}" done="0">
    <text xml:space="preserve">23080/06 -5.500.000
</text>
  </threadedComment>
  <threadedComment ref="D147" personId="{2F5F6CE8-9486-26C6-27E6-277EBB6962AB}" id="{00A70070-0075-4C37-8C33-00E900AC00AA}" done="0">
    <text xml:space="preserve">23087/06 -7.500.000
</text>
  </threadedComment>
  <threadedComment ref="D148" personId="{2F5F6CE8-9486-26C6-27E6-277EBB6962AB}" id="{003400DE-0000-4B67-B382-00F2007D001F}" done="0">
    <text xml:space="preserve">23062/04 -1.144.538
</text>
  </threadedComment>
  <threadedComment ref="D169" personId="{2F5F6CE8-9486-26C6-27E6-277EBB6962AB}" id="{00DC00FC-0033-422B-87AF-009600030007}" done="0">
    <text xml:space="preserve">23014/02 +864.200
</text>
  </threadedComment>
  <threadedComment ref="D170" personId="{2F5F6CE8-9486-26C6-27E6-277EBB6962AB}" id="{00EA0039-00A0-403F-AED2-006E003C0044}" done="0">
    <text xml:space="preserve">23063/04 +3.705,41
</text>
  </threadedComment>
  <threadedComment ref="D171" personId="{2F5F6CE8-9486-26C6-27E6-277EBB6962AB}" id="{00B6002B-00D5-4697-962C-00650022004C}" done="0">
    <text xml:space="preserve">23005/01 +2.499.800
</text>
  </threadedComment>
  <threadedComment ref="D173" personId="{2F5F6CE8-9486-26C6-27E6-277EBB6962AB}" id="{002500EE-00DD-401E-A0C7-00FF001D0052}" done="0">
    <text xml:space="preserve">23062/04 +1.059.598
</text>
  </threadedComment>
  <threadedComment ref="D174" personId="{2F5F6CE8-9486-26C6-27E6-277EBB6962AB}" id="{00FC00E8-00AA-49B8-9F67-00AE008400E1}" done="0">
    <text xml:space="preserve">23062/04 +1.059.598
</text>
  </threadedComment>
  <threadedComment ref="D175" personId="{2F5F6CE8-9486-26C6-27E6-277EBB6962AB}" id="{0043000F-0047-45F6-84C4-000E005600E6}" done="0">
    <text xml:space="preserve">23087/06 +8.304.000
</text>
  </threadedComment>
  <threadedComment ref="D176" personId="{2F5F6CE8-9486-26C6-27E6-277EBB6962AB}" id="{009C00B6-00F2-4049-B3EA-00C700740069}" done="0">
    <text xml:space="preserve">23046/03
+    635,25 17015 1071
+12.705     17015 1075 
</text>
  </threadedComment>
  <threadedComment ref="D177" personId="{2F5F6CE8-9486-26C6-27E6-277EBB6962AB}" id="{00740053-0043-4093-9E7F-005500B5000F}" done="0">
    <text xml:space="preserve">23047/03
+ 635,25  17015 107 1
+12.705  17016 107 5
</text>
  </threadedComment>
  <threadedComment ref="D178" personId="{2F5F6CE8-9486-26C6-27E6-277EBB6962AB}" id="{0091007C-0068-49AB-B78D-0080000100C8}" done="0">
    <text xml:space="preserve">23057/04 +14.200
</text>
  </threadedComment>
  <threadedComment ref="D179" personId="{2F5F6CE8-9486-26C6-27E6-277EBB6962AB}" id="{003C00F8-00C6-48D2-926D-00B6008B00BF}" done="0">
    <text xml:space="preserve">23057/04 +35.205
</text>
  </threadedComment>
  <threadedComment ref="D180" personId="{B5FD8596-77AF-ADAD-A15D-964B5815616B}" id="{00C10020-00F3-4EB1-839A-003C00BF003A}" done="0">
    <text xml:space="preserve">23015/02 úz33092 
+1.005.316,48 1431
+3.315.837,52 1435
</text>
  </threadedComment>
  <threadedComment ref="D181" personId="{B5FD8596-77AF-ADAD-A15D-964B5815616B}" id="{008100AF-0041-40B9-9358-00EE007500A8}" done="0">
    <text xml:space="preserve">23058/04 úz33092 
+ 519.876,20 1431
+1.714.708,80 1435
</text>
  </threadedComment>
  <threadedComment ref="D182" personId="{B5FD8596-77AF-ADAD-A15D-964B5815616B}" id="{0057007E-007D-4A98-9E5E-0001002F0042}" done="0">
    <text xml:space="preserve">23093/06 úz33092 
+ 551.883,72 1431
+1.820.279,28 1435
</text>
  </threadedComment>
  <threadedComment ref="D183" personId="{2F5F6CE8-9486-26C6-27E6-277EBB6962AB}" id="{00350017-0005-4FFB-AD98-000C00350008}" done="0">
    <text xml:space="preserve">23096/06 +100.000
</text>
  </threadedComment>
  <threadedComment ref="D190" personId="{2F5F6CE8-9486-26C6-27E6-277EBB6962AB}" id="{00EF0037-00D9-4046-81C6-00B9005300C4}" done="0">
    <text xml:space="preserve">23039/03 org z 541 na 029
</text>
  </threadedComment>
  <threadedComment ref="D194" personId="{2F5F6CE8-9486-26C6-27E6-277EBB6962AB}" id="{00A90089-00DA-4067-B857-002A0025004F}" done="0">
    <text xml:space="preserve">23001/01 +4.551.000
</text>
  </threadedComment>
  <threadedComment ref="D195" personId="{2F5F6CE8-9486-26C6-27E6-277EBB6962AB}" id="{001000F8-0015-4007-979B-0097008A0009}" done="0">
    <text xml:space="preserve">23056/04 +80.000
</text>
  </threadedComment>
  <threadedComment ref="D196" personId="{2F5F6CE8-9486-26C6-27E6-277EBB6962AB}" id="{00CE007B-0002-420A-AF1C-00EB0005004A}" done="0">
    <text xml:space="preserve">23055/04 +50.000
</text>
  </threadedComment>
  <threadedComment ref="D197" personId="{2F5F6CE8-9486-26C6-27E6-277EBB6962AB}" id="{005D008B-007B-490E-824D-004400340055}" done="0">
    <text xml:space="preserve">23027/02 +9.234 (z 4222)
</text>
  </threadedComment>
  <threadedComment ref="D198" personId="{2F5F6CE8-9486-26C6-27E6-277EBB6962AB}" id="{009900B1-00EE-478F-BC0A-006500B500A1}" done="0">
    <text xml:space="preserve">23059/04 +210.000
</text>
  </threadedComment>
  <threadedComment ref="D200" personId="{2F5F6CE8-9486-26C6-27E6-277EBB6962AB}" id="{00A8008F-0033-455E-B59E-003A00480078}" done="0">
    <text xml:space="preserve">23086/06 úz 913, 120 1,5
+ 4.752,88 (0321, 1201)
+26.932,97 (0321, 1205)
+ 1.806,05 (0322, 1201)
+10.234,30 (0322, 1205)
+ 5.713,08 (0323, 1201)
+32.374,08 (0323, 1205)
</text>
  </threadedComment>
  <threadedComment ref="D201" personId="{2F5F6CE8-9486-26C6-27E6-277EBB6962AB}" id="{00D20010-0069-427C-8991-00EE007A0038}" done="0">
    <text xml:space="preserve">23054/04 + 5.960.000
</text>
  </threadedComment>
  <threadedComment ref="D202" personId="{2F5F6CE8-9486-26C6-27E6-277EBB6962AB}" id="{00710008-00F9-47D0-AA15-006E0055009D}" done="0">
    <text xml:space="preserve">23082/06-94.000
</text>
  </threadedComment>
  <threadedComment ref="D207" personId="{2F5F6CE8-9486-26C6-27E6-277EBB6962AB}" id="{00D300D7-002B-445B-8507-0079006D00AE}" done="0">
    <text xml:space="preserve">23046/03 -4.250.000
+   205.587,45 17968 1071
+4.111.749,01  17969 1075 
</text>
  </threadedComment>
  <threadedComment ref="D208" personId="{2F5F6CE8-9486-26C6-27E6-277EBB6962AB}" id="{007C007A-00E2-4D44-A77C-005300110073}" done="0">
    <text xml:space="preserve">23047/03 
-4.800.000 17969 1075
+ 239.760,30 17968 107 1
+4.795.207,68 17969 107 5
</text>
  </threadedComment>
  <threadedComment ref="D211" personId="{2F5F6CE8-9486-26C6-27E6-277EBB6962AB}" id="{006E00AB-00CF-49D1-ADA0-00BE0068005D}" done="0">
    <text xml:space="preserve">23055/04 +150.000
</text>
  </threadedComment>
  <threadedComment ref="D212" personId="{2F5F6CE8-9486-26C6-27E6-277EBB6962AB}" id="{00C10066-0022-4712-86A8-001A00190024}" done="0">
    <text xml:space="preserve">23088/06 +22.018
</text>
  </threadedComment>
  <threadedComment ref="D213" personId="{2F5F6CE8-9486-26C6-27E6-277EBB6962AB}" id="{007E00BF-00D6-430A-8472-00FF00DF0090}" done="0">
    <text xml:space="preserve">23027/02 
zm úz z 720 na 711,
-9.234 (na 4122)
</text>
  </threadedComment>
  <threadedComment ref="D230" personId="{2F5F6CE8-9486-26C6-27E6-277EBB6962AB}" id="{005100A8-00C9-43F4-91AE-004F001200E7}" done="0">
    <text xml:space="preserve">23571/06 -13.240
</text>
  </threadedComment>
  <threadedComment ref="D233" personId="{2F5F6CE8-9486-26C6-27E6-277EBB6962AB}" id="{005A0071-00D6-4736-BA79-002B00670031}" done="0">
    <text xml:space="preserve">23571/06 +13.240
</text>
  </threadedComment>
  <threadedComment ref="D236" personId="{2F5F6CE8-9486-26C6-27E6-277EBB6962AB}" id="{003D00C3-00B4-4EAD-A2B8-004E008B00F0}" done="0">
    <text xml:space="preserve">23089/06 +242.676
</text>
  </threadedComment>
  <threadedComment ref="D250" personId="{2F5F6CE8-9486-26C6-27E6-277EBB6962AB}" id="{0080001C-00E8-4098-9909-002900C20094}" done="0">
    <text xml:space="preserve">23095/06 +61.673
</text>
  </threadedComment>
  <threadedComment ref="D258" personId="{2F5F6CE8-9486-26C6-27E6-277EBB6962AB}" id="{00670040-0054-4735-851B-00AC006C00FA}" done="0">
    <text xml:space="preserve">23049/03 -700.000
</text>
  </threadedComment>
  <threadedComment ref="D267" personId="{2F5F6CE8-9486-26C6-27E6-277EBB6962AB}" id="{0031004B-00DA-4441-828C-0069006B00BB}" done="0">
    <text xml:space="preserve">23508/02 +29.498,59
</text>
  </threadedComment>
  <threadedComment ref="D268" personId="{2F5F6CE8-9486-26C6-27E6-277EBB6962AB}" id="{00E20050-00F7-454E-8C41-0034009A0065}" done="0">
    <text xml:space="preserve">23508/02 -29.498,59
</text>
  </threadedComment>
  <threadedComment ref="D269" personId="{2F5F6CE8-9486-26C6-27E6-277EBB6962AB}" id="{005B00D2-009D-4561-AC39-0081007900BA}" done="0">
    <text xml:space="preserve">23095/06 +1.124
</text>
  </threadedComment>
  <threadedComment ref="D286" personId="{2F5F6CE8-9486-26C6-27E6-277EBB6962AB}" id="{008E00A6-008A-4FD3-9F64-004A007E0009}" done="0">
    <text xml:space="preserve">23091/06 +274.029,69
23097/06 +220.000
</text>
  </threadedComment>
  <threadedComment ref="D289" personId="{2F5F6CE8-9486-26C6-27E6-277EBB6962AB}" id="{004F0068-00CB-41EA-8F81-0080000F00F5}" done="0">
    <text xml:space="preserve">23553/05 -179.080
23091/06 -274.029,69
</text>
  </threadedComment>
  <threadedComment ref="D292" personId="{2F5F6CE8-9486-26C6-27E6-277EBB6962AB}" id="{004D0096-00B3-4E93-BF98-0062009C0065}" done="0">
    <text xml:space="preserve">23553/05 +179.080
</text>
  </threadedComment>
  <threadedComment ref="D293" personId="{2F5F6CE8-9486-26C6-27E6-277EBB6962AB}" id="{00BE00E9-0072-4CB5-8DA4-00A00017002C}" done="0">
    <text xml:space="preserve">23051/04 +100.000 houpačka Kojetín part.rozp
</text>
  </threadedComment>
  <threadedComment ref="D300" personId="{2F5F6CE8-9486-26C6-27E6-277EBB6962AB}" id="{00B20052-00A3-44BD-85CA-00FD003300F1}" done="0">
    <text xml:space="preserve">23025/02 -43.923
</text>
  </threadedComment>
  <threadedComment ref="D307" personId="{2F5F6CE8-9486-26C6-27E6-277EBB6962AB}" id="{000300EC-0051-4A9E-9E84-00E900D200B3}" done="0">
    <text xml:space="preserve">23095/06 +1.858
</text>
  </threadedComment>
  <threadedComment ref="D310" personId="{2F5F6CE8-9486-26C6-27E6-277EBB6962AB}" id="{002E00CE-004E-4C02-A6A7-00B7004F00ED}" done="0">
    <text xml:space="preserve">23514/02 +70.301
</text>
  </threadedComment>
  <threadedComment ref="D311" personId="{2F5F6CE8-9486-26C6-27E6-277EBB6962AB}" id="{00D100D9-00A6-43E0-965D-00BC006E0065}" done="0">
    <text xml:space="preserve">23514/02 +26257
</text>
  </threadedComment>
  <threadedComment ref="D314" personId="{2F5F6CE8-9486-26C6-27E6-277EBB6962AB}" id="{002D0049-00E8-417A-B500-009500D600D9}" done="0">
    <text xml:space="preserve">23514/02 -124.482
</text>
  </threadedComment>
  <threadedComment ref="D315" personId="{2F5F6CE8-9486-26C6-27E6-277EBB6962AB}" id="{0070005C-00B6-4C83-BDC2-00CA003200BA}" done="0">
    <text xml:space="preserve">23514/02 +27.924
</text>
  </threadedComment>
  <threadedComment ref="D320" personId="{2F5F6CE8-9486-26C6-27E6-277EBB6962AB}" id="{00C70036-00BF-4061-9D7E-00F100130005}" done="0">
    <text xml:space="preserve">23008/01 +33.698
</text>
  </threadedComment>
  <threadedComment ref="D321" personId="{2F5F6CE8-9486-26C6-27E6-277EBB6962AB}" id="{007200DF-00BA-4B98-A1B9-00E100F2002D}" done="0">
    <text xml:space="preserve">23037/03 +175.000
</text>
  </threadedComment>
  <threadedComment ref="D331" personId="{2F5F6CE8-9486-26C6-27E6-277EBB6962AB}" id="{00170038-0052-405C-9486-000900740091}" done="0"/>
  <threadedComment ref="D332" personId="{2F5F6CE8-9486-26C6-27E6-277EBB6962AB}" id="{00BE0079-00CB-45B8-B53F-006F00020085}" done="0">
    <text xml:space="preserve">23095/06 +29.008
</text>
  </threadedComment>
  <threadedComment ref="D348" personId="{2F5F6CE8-9486-26C6-27E6-277EBB6962AB}" id="{00560007-00FB-4629-A610-00C5006A00DF}" done="0">
    <text xml:space="preserve">23520/02 -13.500
23049/03 
+700.000 +1.250.000
</text>
  </threadedComment>
  <threadedComment ref="D352" personId="{2F5F6CE8-9486-26C6-27E6-277EBB6962AB}" id="{003400F8-0042-47A3-A0B1-006300E900EE}" done="0">
    <text xml:space="preserve">23520/02 +13.500
</text>
  </threadedComment>
  <threadedComment ref="D353" personId="{2F5F6CE8-9486-26C6-27E6-277EBB6962AB}" id="{00D9002A-0077-4B54-A28D-003F000100B7}" done="0">
    <text xml:space="preserve">23569/06 +200.000
</text>
  </threadedComment>
  <threadedComment ref="D355" personId="{2F5F6CE8-9486-26C6-27E6-277EBB6962AB}" id="{004400F0-005A-4865-A157-00E1009A0079}" done="0">
    <text xml:space="preserve">23569/06 -200.000
</text>
  </threadedComment>
  <threadedComment ref="D357" personId="{2F5F6CE8-9486-26C6-27E6-277EBB6962AB}" id="{009F0043-008C-44B1-82F7-008500B500C4}" done="0">
    <text xml:space="preserve">23049/03 +500.000
</text>
  </threadedComment>
  <threadedComment ref="D363" personId="{2F5F6CE8-9486-26C6-27E6-277EBB6962AB}" id="{00A0004D-001E-4BE9-8F8B-002500A70075}" done="0">
    <text xml:space="preserve">23573/06 +50.000
</text>
  </threadedComment>
  <threadedComment ref="D364" personId="{2F5F6CE8-9486-26C6-27E6-277EBB6962AB}" id="{007E004C-00DE-4904-836E-00B4008D001F}" done="0">
    <text xml:space="preserve">23542/04 -50.000
23573/06 -50.000
</text>
  </threadedComment>
  <threadedComment ref="D366" personId="{2F5F6CE8-9486-26C6-27E6-277EBB6962AB}" id="{004D0022-00A0-4788-9DA6-00B0002E0078}" done="0">
    <text xml:space="preserve">23542/04 +50.000
</text>
  </threadedComment>
  <threadedComment ref="D369" personId="{2F5F6CE8-9486-26C6-27E6-277EBB6962AB}" id="{00A900A5-007E-4E34-BE75-003A00A70055}" done="0">
    <text xml:space="preserve">23004/01 +2.500.000
</text>
  </threadedComment>
  <threadedComment ref="D38" personId="{2F5F6CE8-9486-26C6-27E6-277EBB6962AB}" id="{000800AF-0010-4AE9-9C57-00C200CB0025}" done="0">
    <text xml:space="preserve">23060/04 -10.050.300
</text>
  </threadedComment>
  <threadedComment ref="D385" personId="{2F5F6CE8-9486-26C6-27E6-277EBB6962AB}" id="{00BA001F-00C8-4041-A8C1-007C0063009D}" done="0">
    <text xml:space="preserve">23088 +22.018 úz611
</text>
  </threadedComment>
  <threadedComment ref="D386" personId="{2F5F6CE8-9486-26C6-27E6-277EBB6962AB}" id="{00C500CC-00BA-456F-A3AC-009800CF00F6}" done="0">
    <text xml:space="preserve">23521/03 +-117.833 dozn úz 610
</text>
  </threadedComment>
  <threadedComment ref="D390" personId="{2F5F6CE8-9486-26C6-27E6-277EBB6962AB}" id="{00A9003F-0071-4C84-BCEE-00CB00060062}" done="0">
    <text xml:space="preserve">23012/02 +13.000 úz612
</text>
  </threadedComment>
  <threadedComment ref="D403" personId="{2F5F6CE8-9486-26C6-27E6-277EBB6962AB}" id="{00AF002D-0067-4412-9BFC-00B80002003C}" done="0">
    <text xml:space="preserve">23543/04 +4.635.000
</text>
  </threadedComment>
  <threadedComment ref="D404" personId="{2F5F6CE8-9486-26C6-27E6-277EBB6962AB}" id="{006800C5-0070-4B72-848E-005000A900CA}" done="0">
    <text xml:space="preserve">23543/04 -4.635.000
</text>
  </threadedComment>
  <threadedComment ref="D406" personId="{2F5F6CE8-9486-26C6-27E6-277EBB6962AB}" id="{007A0074-00B3-4F18-9CE4-00E7005D003F}" done="0">
    <text xml:space="preserve">23548/05 
+150.000 +80.000
</text>
  </threadedComment>
  <threadedComment ref="D408" personId="{2F5F6CE8-9486-26C6-27E6-277EBB6962AB}" id="{00EC00E8-004F-48B0-940E-0010003F00BA}" done="0">
    <text xml:space="preserve">23070/05 -1.700.000
</text>
  </threadedComment>
  <threadedComment ref="D409" personId="{2F5F6CE8-9486-26C6-27E6-277EBB6962AB}" id="{00D10012-003F-4607-9BE9-001100A00051}" done="0">
    <text xml:space="preserve">23021/02 -14.000.000
23548/05 -230.000
</text>
  </threadedComment>
  <threadedComment ref="D417" personId="{2F5F6CE8-9486-26C6-27E6-277EBB6962AB}" id="{001200C3-00A2-48D3-9DA4-00DC006300E8}" done="0">
    <text xml:space="preserve">23023/02 -153.307 part.rozp-psí hř
23051/04 -100.000 part.rozp Houpačka Kojetín
</text>
  </threadedComment>
  <threadedComment ref="D428" personId="{2F5F6CE8-9486-26C6-27E6-277EBB6962AB}" id="{00180091-0035-455E-8C0E-00C100AA00FF}" done="0">
    <text xml:space="preserve">23554/05 +500.000
</text>
  </threadedComment>
  <threadedComment ref="D430" personId="{2F5F6CE8-9486-26C6-27E6-277EBB6962AB}" id="{00420012-003E-4CF1-B335-005600A10075}" done="0">
    <text xml:space="preserve">23554/05 -500.000
</text>
  </threadedComment>
  <threadedComment ref="D45" personId="{2F5F6CE8-9486-26C6-27E6-277EBB6962AB}" id="{004B00B6-00B8-4262-A26F-00A6002300DE}" done="0">
    <text xml:space="preserve">23083/06 +76.497
</text>
  </threadedComment>
  <threadedComment ref="D442" personId="{2F5F6CE8-9486-26C6-27E6-277EBB6962AB}" id="{00340001-0068-4635-A729-00A50093001B}" done="0">
    <text xml:space="preserve">23045/03 +1.500.000
</text>
  </threadedComment>
  <threadedComment ref="D444" personId="{2F5F6CE8-9486-26C6-27E6-277EBB6962AB}" id="{006D0089-00DD-49F8-B3BE-004C00C20013}" done="0">
    <text xml:space="preserve">23537/04 +-400.000 org
</text>
  </threadedComment>
  <threadedComment ref="D448" personId="{2F5F6CE8-9486-26C6-27E6-277EBB6962AB}" id="{00FC00B2-00A4-4C1E-879B-009200DF007F}" done="0">
    <text xml:space="preserve">23024/02 +1.500.000
</text>
  </threadedComment>
  <threadedComment ref="D449" personId="{2F5F6CE8-9486-26C6-27E6-277EBB6962AB}" id="{002C0075-0098-4A11-95ED-00E2005800C8}" done="0">
    <text xml:space="preserve">23024/02 +1.200.000
</text>
  </threadedComment>
  <threadedComment ref="D455" personId="{2F5F6CE8-9486-26C6-27E6-277EBB6962AB}" id="{00960095-001C-4683-B8E2-001B001B002B}" done="0">
    <text xml:space="preserve">23026/02 +1.700.000
</text>
  </threadedComment>
  <threadedComment ref="D456" personId="{2F5F6CE8-9486-26C6-27E6-277EBB6962AB}" id="{003D0043-0090-4EBE-84E5-000700E100DE}" done="0">
    <text xml:space="preserve">23024/02 +4.000.000
</text>
  </threadedComment>
  <threadedComment ref="D458" personId="{2F5F6CE8-9486-26C6-27E6-277EBB6962AB}" id="{0042008A-0060-457A-898E-00AD00D60070}" done="0">
    <text xml:space="preserve">23551/05 -1.300.000
</text>
  </threadedComment>
  <threadedComment ref="D460" personId="{2F5F6CE8-9486-26C6-27E6-277EBB6962AB}" id="{003000F6-00E2-4E05-A853-006D006C00B8}" done="0">
    <text xml:space="preserve">23524/03 -1.300.000
23551/05 +1.300.000
</text>
  </threadedComment>
  <threadedComment ref="D464" personId="{2F5F6CE8-9486-26C6-27E6-277EBB6962AB}" id="{000B0017-0026-4C2D-A3DB-0091001100FD}" done="0">
    <text xml:space="preserve">23523/03 -40.000
</text>
  </threadedComment>
  <threadedComment ref="D465" personId="{2F5F6CE8-9486-26C6-27E6-277EBB6962AB}" id="{001F0003-0025-47AF-B1EC-00E2001F0007}" done="0">
    <text xml:space="preserve">23524/03 +1.300.000
</text>
  </threadedComment>
  <threadedComment ref="D466" personId="{2F5F6CE8-9486-26C6-27E6-277EBB6962AB}" id="{00C900B8-0038-4C10-A07D-00AD00B000FB}" done="0">
    <text xml:space="preserve">23523/03 +40.000
</text>
  </threadedComment>
  <threadedComment ref="D473" personId="{2F5F6CE8-9486-26C6-27E6-277EBB6962AB}" id="{000500DA-0088-4708-9E20-0092002500A4}" done="0">
    <text xml:space="preserve">23012/02 -13.000
23522/03 +3.000
</text>
  </threadedComment>
  <threadedComment ref="D474" personId="{2F5F6CE8-9486-26C6-27E6-277EBB6962AB}" id="{009800D2-009E-4491-B50C-0086006B0099}" done="0">
    <text xml:space="preserve">23501/01 -20.000
23522/03 -3.000
23535/04 -10.000
</text>
  </threadedComment>
  <threadedComment ref="D475" personId="{2F5F6CE8-9486-26C6-27E6-277EBB6962AB}" id="{00D5008C-0060-48D9-ABAB-005D00B400BD}" done="0">
    <text xml:space="preserve">23501/01 +20.000
23535/04 +10.000
23568/06 +50.000
</text>
  </threadedComment>
  <threadedComment ref="D478" personId="{2F5F6CE8-9486-26C6-27E6-277EBB6962AB}" id="{001600EA-0003-4571-AA85-004B00390011}" done="0">
    <text xml:space="preserve">23012/02 -13.000
23568/06 -50.000
</text>
  </threadedComment>
  <threadedComment ref="D49" personId="{2F5F6CE8-9486-26C6-27E6-277EBB6962AB}" id="{009F0036-0099-4105-9B7C-00BF007D0029}" done="0">
    <text xml:space="preserve">23040/03 +33.700
23083/06 +20.200
</text>
  </threadedComment>
  <threadedComment ref="D483" personId="{2F5F6CE8-9486-26C6-27E6-277EBB6962AB}" id="{0018002D-0037-475B-976A-006500BD0004}" done="0">
    <text xml:space="preserve">23518/02 -20.160
</text>
  </threadedComment>
  <threadedComment ref="D485" personId="{2F5F6CE8-9486-26C6-27E6-277EBB6962AB}" id="{00FC009A-0010-4EEB-8E8E-0084008B00EB}" done="0">
    <text xml:space="preserve">23516/02 +20.160
</text>
  </threadedComment>
  <threadedComment ref="D487" personId="{2F5F6CE8-9486-26C6-27E6-277EBB6962AB}" id="{001100D1-0008-46E8-B855-001E00E5004A}" done="0">
    <text xml:space="preserve">23507/02 -12.000
</text>
  </threadedComment>
  <threadedComment ref="D488" personId="{2F5F6CE8-9486-26C6-27E6-277EBB6962AB}" id="{002F002A-0079-452A-8D25-004200910085}" done="0">
    <text xml:space="preserve">23507/02 +12.000
</text>
  </threadedComment>
  <threadedComment ref="D499" personId="{2F5F6CE8-9486-26C6-27E6-277EBB6962AB}" id="{00B200A9-00F2-46C7-B7E3-00C4008F0036}" done="0">
    <text xml:space="preserve">23030/02 +70.804,80 +217.373,47
23040/03 +33.700
23055/04 úz 693
+50.000 NIV
+150.000 IV
23056/04 +80.000 úz673 NIV
</text>
  </threadedComment>
  <threadedComment ref="D507" personId="{2F5F6CE8-9486-26C6-27E6-277EBB6962AB}" id="{00880065-0011-413E-AC5B-0077002D007D}" done="0">
    <text xml:space="preserve">23065/05 +231.000 dorov.2022
</text>
  </threadedComment>
  <threadedComment ref="D517" personId="{2F5F6CE8-9486-26C6-27E6-277EBB6962AB}" id="{001100F0-0015-438B-9DC2-0043008300F6}" done="0">
    <text xml:space="preserve">23014/02 +864.200
</text>
  </threadedComment>
  <threadedComment ref="D542" personId="{2F5F6CE8-9486-26C6-27E6-277EBB6962AB}" id="{00E200FF-00C6-45AC-B0A0-009C003300A6}" done="0">
    <text xml:space="preserve">23095/06 +6.348
</text>
  </threadedComment>
  <threadedComment ref="D548" personId="{2F5F6CE8-9486-26C6-27E6-277EBB6962AB}" id="{003300CF-001C-43B6-85D4-007300C40055}" done="0">
    <text xml:space="preserve">23086/06 úz 914 
+ 4.752,88  120,1
+26.932,97 120,5
</text>
  </threadedComment>
  <threadedComment ref="D549" personId="{2F5F6CE8-9486-26C6-27E6-277EBB6962AB}" id="{004E000F-0000-4658-A851-009B00460049}" done="0">
    <text xml:space="preserve">23075/05 
+89.825 +296.450
</text>
  </threadedComment>
  <threadedComment ref="D550" personId="{2F5F6CE8-9486-26C6-27E6-277EBB6962AB}" id="{000E0020-001E-4168-B305-002D00530083}" done="0">
    <text xml:space="preserve">23022/02 +603.790
23075/05 +213.204
</text>
  </threadedComment>
  <threadedComment ref="D553" personId="{2F5F6CE8-9486-26C6-27E6-277EBB6962AB}" id="{00D700DF-00DE-4582-9E11-00DE00BC0051}" done="0">
    <text xml:space="preserve">23015/02 úz 33092
+1.005.316,48  143 1
+3.315.837,52  143 5
23086/06 úz 914 
+ 1.806,05  120,1
+10.234,30 120,5
23095/06 +5.595
</text>
  </threadedComment>
  <threadedComment ref="D554" personId="{2F5F6CE8-9486-26C6-27E6-277EBB6962AB}" id="{00B7008B-00C3-486E-A470-00F4005200A2}" done="0">
    <text xml:space="preserve">23073/05 +96.
800
</text>
  </threadedComment>
  <threadedComment ref="D555" personId="{2F5F6CE8-9486-26C6-27E6-277EBB6962AB}" id="{00AA00B0-004E-4F27-BF36-003F00260009}" done="0">
    <text xml:space="preserve">23073/05 -1.200.000
</text>
  </threadedComment>
  <threadedComment ref="D558" personId="{2F5F6CE8-9486-26C6-27E6-277EBB6962AB}" id="{004C0017-00D9-45FB-85BE-00B900DD00A1}" done="0">
    <text xml:space="preserve">23086/06 úz 914 
+ 5.713,08  120,1
+32.374,09 120,5
</text>
  </threadedComment>
  <threadedComment ref="D563" personId="{2F5F6CE8-9486-26C6-27E6-277EBB6962AB}" id="{007600EF-0028-46D4-B8F5-004900F60095}" done="0">
    <text xml:space="preserve">23019/02 +5.208  poj
23058/04 úz 33092 JAK
+519.876,20 1431
+1.714.708,80 1435
</text>
  </threadedComment>
  <threadedComment ref="D565" personId="{2F5F6CE8-9486-26C6-27E6-277EBB6962AB}" id="{00AF00A0-0059-42A6-80AB-00CE00E3007A}" done="0">
    <text xml:space="preserve">23070/05 +1.700.000
23074/05 
-1.100.000 -30.000 +48.400 +160.000
</text>
  </threadedComment>
  <threadedComment ref="D569" personId="{2F5F6CE8-9486-26C6-27E6-277EBB6962AB}" id="{00CF0051-00C1-462D-95D6-001100DF007F}" done="0">
    <text xml:space="preserve">23059/04 +210.200
23093/06 úz 33092
+ 551.883,82 1431
+1.820.279,28 1435
</text>
  </threadedComment>
  <threadedComment ref="D575" personId="{2F5F6CE8-9486-26C6-27E6-277EBB6962AB}" id="{007900E6-00F0-40E4-B458-00D8000A009E}" done="0">
    <text xml:space="preserve">23003/01 -45.455
</text>
  </threadedComment>
  <threadedComment ref="D579" personId="{2F5F6CE8-9486-26C6-27E6-277EBB6962AB}" id="{00D30030-0080-4A58-A487-0091003000E6}" done="0">
    <text xml:space="preserve">23032/02 +5.000
</text>
  </threadedComment>
  <threadedComment ref="D584" personId="{2F5F6CE8-9486-26C6-27E6-277EBB6962AB}" id="{00D600B8-005B-4057-BF86-00BB00FE0063}" done="0">
    <text xml:space="preserve">23095/06 +19.570
23096/06 +100.000 úz 34002
</text>
  </threadedComment>
  <threadedComment ref="D592" personId="{2F5F6CE8-9486-26C6-27E6-277EBB6962AB}" id="{00290037-00CE-4D8A-ADA4-007D00C9003A}" done="0">
    <text xml:space="preserve">23001/01 +4.551.000
23019/02 +4.562 poj
23072/05 -2.989,27
</text>
  </threadedComment>
  <threadedComment ref="D601" personId="{2F5F6CE8-9486-26C6-27E6-277EBB6962AB}" id="{00E50036-00A9-44FF-A1C6-00C3000F00D8}" done="0">
    <text xml:space="preserve">23033/02 -30.000 r
</text>
  </threadedComment>
  <threadedComment ref="D603" personId="{2F5F6CE8-9486-26C6-27E6-277EBB6962AB}" id="{00AA0005-00CF-4447-BE3B-009F00C700D9}" done="0">
    <text xml:space="preserve">23512/02 -200.000
</text>
  </threadedComment>
  <threadedComment ref="D606" personId="{2F5F6CE8-9486-26C6-27E6-277EBB6962AB}" id="{005600FB-006B-481C-962C-00B300C000CD}" done="0">
    <text xml:space="preserve">23034/02 -25.000 r
23066/05 -10.000 r
</text>
  </threadedComment>
  <threadedComment ref="D609" personId="{2F5F6CE8-9486-26C6-27E6-277EBB6962AB}" id="{001E00E8-00F5-4C46-BCF0-00BE00780035}" done="0">
    <text xml:space="preserve">23033/02 +30.000
23034/02 +25.000
23512/02 +200.000
23066/05 +10.000
23084/06 -90.000 r
+90.000       
23085/06 +147.136
</text>
  </threadedComment>
  <threadedComment ref="D616" personId="{2F5F6CE8-9486-26C6-27E6-277EBB6962AB}" id="{002E00EA-0011-4755-853C-00DB00AB0005}" done="0">
    <text xml:space="preserve">23068/05 
+70.000 +80.000 +50.000
</text>
  </threadedComment>
  <threadedComment ref="D623" personId="{2F5F6CE8-9486-26C6-27E6-277EBB6962AB}" id="{002600C9-0065-4659-86F8-0060008900D8}" done="0">
    <text xml:space="preserve">23068/05 -70.000
23095/06 +16.216
</text>
  </threadedComment>
  <threadedComment ref="D625" personId="{2F5F6CE8-9486-26C6-27E6-277EBB6962AB}" id="{001C0098-0046-4EE7-A30F-004B007C0026}" done="0">
    <text xml:space="preserve">23007/01 úz 13013
+8.051,90  1041
+68.441,11  1045
23511/02 úz 13013  3388
+9.438 1041
+4.719 1041 bez úz
+80.223 1045
23516/02 úz 13013  3388
+27.733,20 1041
+13.866,60 1041 bez úz
+235.732,20 1045
23566/06 úz 13013 
- 8.051,90 1041
+68.441,11 1045
</text>
  </threadedComment>
  <threadedComment ref="D626" personId="{2F5F6CE8-9486-26C6-27E6-277EBB6962AB}" id="{00510022-00C4-434C-A6A4-00DC005700BE}" done="0">
    <text xml:space="preserve">23511/02 -94.380 (5168)
23516/02 -277.332 (5168)
23566/06 +76.493,01
</text>
  </threadedComment>
  <threadedComment ref="D631" personId="{2F5F6CE8-9486-26C6-27E6-277EBB6962AB}" id="{00E600F3-0040-4C0E-B29D-005600FD0070}" done="0">
    <text xml:space="preserve">23013/02 
+-1.927.500  5811
+    227.100  5169
23028/02
+-2.077.400  5811
+    232.500  5169
23042/03 
+-1.894.600  5811
+   210.000  5169
23064/04 
+-1.831.700 5811
+   231.000 5169
23076/05 
+- 1.703.700 5811
+    234.000
23092/06 
+-1.588.650 5811
+   241.800
</text>
  </threadedComment>
  <threadedComment ref="D635" personId="{2F5F6CE8-9486-26C6-27E6-277EBB6962AB}" id="{00DF0049-00CE-4AB9-B1AA-0005005400C9}" done="0">
    <text xml:space="preserve">23002/01  +508.200
</text>
  </threadedComment>
  <threadedComment ref="D636" personId="{2F5F6CE8-9486-26C6-27E6-277EBB6962AB}" id="{0098004E-00BA-4DDA-A053-00210094004A}" done="0">
    <text xml:space="preserve">23035/03 +400.000 +36.000
23094/06 +67.000
</text>
  </threadedComment>
  <threadedComment ref="D638" personId="{2F5F6CE8-9486-26C6-27E6-277EBB6962AB}" id="{005F00AF-00BE-4BEF-9A22-009C002A0011}" done="0">
    <text xml:space="preserve">23062/04  úz13015
+-791.900 5011
+-196.427 5031
+-71.271 5032
23534/04 -15.000
23068/05 -103.000 -27.000
23082/06 +94.000 -94.000
23094/06 -67.000
k 30.6. + 130.000
</text>
  </threadedComment>
  <threadedComment ref="D639" personId="{2F5F6CE8-9486-26C6-27E6-277EBB6962AB}" id="{000E00B1-0017-4145-9FFB-0024000500BC}" done="0">
    <text xml:space="preserve">23534/04 +15.000
23082/06 -94.000
23087/06 +804.000
</text>
  </threadedComment>
  <threadedComment ref="D640" personId="{2F5F6CE8-9486-26C6-27E6-277EBB6962AB}" id="{00CF0004-007A-4585-ACE6-003100B6006B}" done="0">
    <text xml:space="preserve">23082/06 -94.000
k 30.6. -224.000
</text>
  </threadedComment>
  <threadedComment ref="D641" personId="{2F5F6CE8-9486-26C6-27E6-277EBB6962AB}" id="{00F10080-0050-42E0-B9B8-00010026000E}" done="0">
    <text xml:space="preserve">23082/06 -94.000
</text>
  </threadedComment>
  <threadedComment ref="D656" personId="{2F5F6CE8-9486-26C6-27E6-277EBB6962AB}" id="{009600C8-00FD-41DA-8C31-004E001C007A}" done="0">
    <text xml:space="preserve">23053/04 +50.000
</text>
  </threadedComment>
  <threadedComment ref="D658" personId="{2F5F6CE8-9486-26C6-27E6-277EBB6962AB}" id="{006F0056-0012-4304-86FF-006100EC0002}" done="0">
    <text xml:space="preserve">23053/04 -50.000
</text>
  </threadedComment>
  <threadedComment ref="D661" personId="{2F5F6CE8-9486-26C6-27E6-277EBB6962AB}" id="{000F001D-0099-4901-832C-0094008700C8}" done="0">
    <text xml:space="preserve">23081/06 +157.000 r
</text>
  </threadedComment>
  <threadedComment ref="D665" personId="{2F5F6CE8-9486-26C6-27E6-277EBB6962AB}" id="{00E90090-0077-4A6E-9C40-00F7001E00BF}" done="0">
    <text xml:space="preserve">23010/02 -5,000
23036/03 -15.000 r
</text>
  </threadedComment>
  <threadedComment ref="D668" personId="{2F5F6CE8-9486-26C6-27E6-277EBB6962AB}" id="{00DE0004-001B-42DC-A39D-005200DE0093}" done="0">
    <text xml:space="preserve">23533/03 -150.000 
+140.000 + 10.000
na 231.0800
</text>
  </threadedComment>
  <threadedComment ref="D670" personId="{2F5F6CE8-9486-26C6-27E6-277EBB6962AB}" id="{003F007B-007C-4C77-B238-002600650007}" done="0">
    <text xml:space="preserve">232052/04 +-6.000
</text>
  </threadedComment>
  <threadedComment ref="D671" personId="{2F5F6CE8-9486-26C6-27E6-277EBB6962AB}" id="{00670013-00AA-43A8-AAB9-008D000F0003}" done="0">
    <text xml:space="preserve">23010/02 +5,000
23036/03 +15.000
23048/03 -+5.000
23081/06 +157.000
</text>
  </threadedComment>
  <threadedComment ref="D677" personId="{2F5F6CE8-9486-26C6-27E6-277EBB6962AB}" id="{00140020-0096-4881-AA42-0006000A00C8}" done="0">
    <text xml:space="preserve">23054/04 +3.134.000 úz 13305
23095/06 +51.728
k 30.6. -1.898.394
</text>
  </threadedComment>
  <threadedComment ref="D679" personId="{2F5F6CE8-9486-26C6-27E6-277EBB6962AB}" id="{0095002F-0085-428D-930A-008100720075}" done="0">
    <text xml:space="preserve">23054/04 +740.000 úz 13305
</text>
  </threadedComment>
  <threadedComment ref="D680" personId="{2F5F6CE8-9486-26C6-27E6-277EBB6962AB}" id="{00D400A1-001B-4FD1-BA33-00A0005500EA}" done="0">
    <text xml:space="preserve">23054/04 +2.086.000 úz 13305
k 30.6. +1.898.394
</text>
  </threadedComment>
  <threadedComment ref="D69" personId="{2F5F6CE8-9486-26C6-27E6-277EBB6962AB}" id="{00A0003B-00EB-4AD8-A961-00D8002E002B}" done="0">
    <text xml:space="preserve">23083/06 +20.000
</text>
  </threadedComment>
  <threadedComment ref="D70" personId="{2F5F6CE8-9486-26C6-27E6-277EBB6962AB}" id="{004D008A-00F7-40D8-8167-00D7004100F5}" done="0">
    <text xml:space="preserve">23083/06 +87.410
</text>
  </threadedComment>
  <threadedComment ref="D691" personId="{2F5F6CE8-9486-26C6-27E6-277EBB6962AB}" id="{007C008C-00CD-4191-A374-009E000C006A}" done="0">
    <text xml:space="preserve">23029/02 +400.000
23050/04 -400.000
</text>
  </threadedComment>
  <threadedComment ref="D693" personId="{2F5F6CE8-9486-26C6-27E6-277EBB6962AB}" id="{007300C9-007E-4248-B4F5-00DD002D0023}" done="0">
    <text xml:space="preserve">23009/02 +3.663.880
</text>
  </threadedComment>
  <threadedComment ref="D694" personId="{2F5F6CE8-9486-26C6-27E6-277EBB6962AB}" id="{00820025-0082-4A8D-8175-004700A100AC}" done="0">
    <text xml:space="preserve">23030/02 +1.650.000
</text>
  </threadedComment>
  <threadedComment ref="D702" personId="{2F5F6CE8-9486-26C6-27E6-277EBB6962AB}" id="{005E00E8-0083-4CF4-B61A-00F900FC00C3}" done="0">
    <text xml:space="preserve">23057/04 
+14.200 úz 29015
+35.205 úz 29031
</text>
  </threadedComment>
  <threadedComment ref="D712" personId="{2F5F6CE8-9486-26C6-27E6-277EBB6962AB}" id="{0077009D-00E2-4A54-9366-00550086008F}" done="0">
    <text xml:space="preserve">23532/03 -431.000
23546/04 -152.880
23563/05 -400.000
</text>
  </threadedComment>
  <threadedComment ref="D713" personId="{2F5F6CE8-9486-26C6-27E6-277EBB6962AB}" id="{00A500CB-0034-47F9-82A4-006B007A000F}" done="0">
    <text xml:space="preserve">23513/02 +45.254
</text>
  </threadedComment>
  <threadedComment ref="D715" personId="{2F5F6CE8-9486-26C6-27E6-277EBB6962AB}" id="{005700E5-004F-4194-A08F-002A001200D6}" done="0">
    <text xml:space="preserve">23563/05 -150.000
</text>
  </threadedComment>
  <threadedComment ref="D716" personId="{2F5F6CE8-9486-26C6-27E6-277EBB6962AB}" id="{00F1009D-00DB-4E62-96BC-00F300DE004B}" done="0">
    <text xml:space="preserve">23563/05 -100.000
</text>
  </threadedComment>
  <threadedComment ref="D717" personId="{2F5F6CE8-9486-26C6-27E6-277EBB6962AB}" id="{00E4002D-00AF-4ED5-AC6C-001200F30062}" done="0">
    <text xml:space="preserve">23563/05 -250.000
</text>
  </threadedComment>
  <threadedComment ref="D718" personId="{2F5F6CE8-9486-26C6-27E6-277EBB6962AB}" id="{00A300C8-0006-41CD-A42B-003B0098002A}" done="0">
    <text xml:space="preserve">23563/05 -100.000
</text>
  </threadedComment>
  <threadedComment ref="D720" personId="{2F5F6CE8-9486-26C6-27E6-277EBB6962AB}" id="{008D0004-00EB-4241-859A-000600F20018}" done="0">
    <text xml:space="preserve">23563/05 -800.000
</text>
  </threadedComment>
  <threadedComment ref="D721" personId="{2F5F6CE8-9486-26C6-27E6-277EBB6962AB}" id="{0034001D-006A-46D2-A85E-00CC00F700CA}" done="0">
    <text xml:space="preserve">23563/05 -300.000
</text>
  </threadedComment>
  <threadedComment ref="D723" personId="{2F5F6CE8-9486-26C6-27E6-277EBB6962AB}" id="{00090016-0017-4EDF-AEFB-00EA0030005D}" done="0">
    <text xml:space="preserve">23006/01 +1.812.000
23513/02 -45.254
23558/05 -20.971
23561/05 -13.463,31
23563/05 +2.100.000
23574/06 -63.727
</text>
  </threadedComment>
  <threadedComment ref="D724" personId="{2F5F6CE8-9486-26C6-27E6-277EBB6962AB}" id="{00700020-00F5-4558-8000-002C005100B0}" done="0">
    <text xml:space="preserve">23546/04 
+152.880
23558/05 +20.971
23561/05 +13.463,31
23574/06 +63.727
</text>
  </threadedComment>
  <threadedComment ref="D728" personId="{2F5F6CE8-9486-26C6-27E6-277EBB6962AB}" id="{00DB00B6-0021-4911-B899-001D002600E7}" done="0">
    <text xml:space="preserve">23532/03 +431.000
</text>
  </threadedComment>
  <threadedComment ref="D731" personId="{2F5F6CE8-9486-26C6-27E6-277EBB6962AB}" id="{0049001F-0025-4BEC-A31E-000700820018}" done="0">
    <text xml:space="preserve">23022/02 -617.845,43
</text>
  </threadedComment>
  <threadedComment ref="D736" personId="{2F5F6CE8-9486-26C6-27E6-277EBB6962AB}" id="{00D1003E-0091-4321-B5D9-007B00090055}" done="0">
    <text xml:space="preserve">23024/02 -1.500.000
</text>
  </threadedComment>
  <threadedComment ref="D742" personId="{2F5F6CE8-9486-26C6-27E6-277EBB6962AB}" id="{004700AB-006E-435F-A330-004E006A00E3}" done="0">
    <text xml:space="preserve">23024/02  - 500.000 jung b2 (část z 1.200.00)
</text>
  </threadedComment>
  <threadedComment ref="D745" personId="{2F5F6CE8-9486-26C6-27E6-277EBB6962AB}" id="{00010081-0026-49E9-8230-007000C80094}" done="0">
    <text xml:space="preserve">23024/02  
-1.500.000 jung b1
- 500.000 jung b2 (část z 1.200.00)
</text>
  </threadedComment>
  <threadedComment ref="D754" personId="{2F5F6CE8-9486-26C6-27E6-277EBB6962AB}" id="{000200DE-000B-46AD-8BBA-00EC008800A8}" done="0">
    <text xml:space="preserve">23095/06 +13.073
</text>
  </threadedComment>
  <threadedComment ref="D78" personId="{2F5F6CE8-9486-26C6-27E6-277EBB6962AB}" id="{00CE0006-0075-46EB-888E-0037005A0014}" done="0">
    <text xml:space="preserve">23044/03 +384 (321)
23061/04 +43.797 (350)
23071/05 +270 (322)
</text>
  </threadedComment>
  <threadedComment ref="D775" personId="{2F5F6CE8-9486-26C6-27E6-277EBB6962AB}" id="{00560086-00B5-4DC2-BF95-0009005400DF}" done="0">
    <text xml:space="preserve">23020/02 +150.000
</text>
  </threadedComment>
  <threadedComment ref="D777" personId="{2F5F6CE8-9486-26C6-27E6-277EBB6962AB}" id="{00C40068-007D-471C-9CB7-00FC00F6007D}" done="0">
    <text xml:space="preserve">23024/02 -4.000.000
</text>
  </threadedComment>
  <threadedComment ref="D781" personId="{2F5F6CE8-9486-26C6-27E6-277EBB6962AB}" id="{007400B5-0038-405F-BE6C-005900540005}" done="0">
    <text xml:space="preserve">23546/04 +4.000
</text>
  </threadedComment>
  <threadedComment ref="D793" personId="{2F5F6CE8-9486-26C6-27E6-277EBB6962AB}" id="{0041004C-00B0-4261-9F4F-00A900EC0092}" done="0">
    <text xml:space="preserve">23528/03 +146.700
23546/04 -4.000
</text>
  </threadedComment>
  <threadedComment ref="D795" personId="{2F5F6CE8-9486-26C6-27E6-277EBB6962AB}" id="{0088001D-0006-4D0A-B5EC-008000550004}" done="0">
    <text xml:space="preserve">23528/03 -146.700
</text>
  </threadedComment>
  <threadedComment ref="D801" personId="{2F5F6CE8-9486-26C6-27E6-277EBB6962AB}" id="{009C00DC-0057-4396-A5B4-00EF001900FC}" done="0">
    <text xml:space="preserve">23020/02 
-330.000 +180.000
</text>
  </threadedComment>
  <threadedComment ref="D827" personId="{2F5F6CE8-9486-26C6-27E6-277EBB6962AB}" id="{0000007F-0004-496E-AD6D-004F003600AC}" done="0">
    <text xml:space="preserve">23545/04 +-1.500.000 org
</text>
  </threadedComment>
  <threadedComment ref="D851" personId="{2F5F6CE8-9486-26C6-27E6-277EBB6962AB}" id="{00DD0093-00C9-40D9-ADFF-007D002900F1}" done="0">
    <text xml:space="preserve">23089/06 -242.500
</text>
  </threadedComment>
  <threadedComment ref="D853" personId="{2F5F6CE8-9486-26C6-27E6-277EBB6962AB}" id="{001500B1-00C2-4B19-832E-00A40013001F}" done="0">
    <text xml:space="preserve">23017/02
+15.614,79   0309
+57.246,53   0321
+130.295,27 0322
+210.485,42 0323
+444.697,21 0325
</text>
  </threadedComment>
  <threadedComment ref="D854" personId="{2F5F6CE8-9486-26C6-27E6-277EBB6962AB}" id="{00A4000E-000A-4FF8-8B00-002D00A000DB}" done="0">
    <text xml:space="preserve">23041/03 -285.281
</text>
  </threadedComment>
  <threadedComment ref="D855" personId="{2F5F6CE8-9486-26C6-27E6-277EBB6962AB}" id="{005200AE-002F-4A61-972B-00AF005D0040}" done="0">
    <text xml:space="preserve">23041/03 -285.281
</text>
  </threadedComment>
  <threadedComment ref="D858" personId="{2F5F6CE8-9486-26C6-27E6-277EBB6962AB}" id="{0014000E-0038-4FF5-95DD-00A5002B0058}" done="0">
    <text xml:space="preserve">23083/06 +50.000
</text>
  </threadedComment>
  <threadedComment ref="D860" personId="{2F5F6CE8-9486-26C6-27E6-277EBB6962AB}" id="{0050007B-00EF-4975-B19A-003D00B3004C}" done="0">
    <text xml:space="preserve">23060/04 -10.050.300
</text>
  </threadedComment>
  <threadedComment ref="D861" personId="{2F5F6CE8-9486-26C6-27E6-277EBB6962AB}" id="{00F2002B-00D0-4AB2-8BD7-00C200A8008F}" done="0">
    <text xml:space="preserve">23083/06 -3.000.000
</text>
  </threadedComment>
  <threadedComment ref="D863" personId="{2F5F6CE8-9486-26C6-27E6-277EBB6962AB}" id="{006200E1-004E-490A-886A-00A000DB002D}" done="0">
    <text xml:space="preserve">23016/02 +8.015
</text>
  </threadedComment>
  <threadedComment ref="D864" personId="{2F5F6CE8-9486-26C6-27E6-277EBB6962AB}" id="{000B0083-00A1-45BF-9B5E-00930086007A}" done="0">
    <text xml:space="preserve">23016/02 +33.210
</text>
  </threadedComment>
  <threadedComment ref="D865" personId="{2F5F6CE8-9486-26C6-27E6-277EBB6962AB}" id="{003F001A-00EB-42AF-8817-007000C00054}" done="0">
    <text xml:space="preserve">23090/06 +1.449.005,28
</text>
  </threadedComment>
  <threadedComment ref="D867" personId="{2F5F6CE8-9486-26C6-27E6-277EBB6962AB}" id="{00DA0039-00F2-4AAD-BC70-00C600DC0094}" done="0">
    <text xml:space="preserve">23018/02 +221.800
</text>
  </threadedComment>
  <threadedComment ref="D868" personId="{2F5F6CE8-9486-26C6-27E6-277EBB6962AB}" id="{00A20039-004B-4428-A4C0-006900D900CD}" done="0">
    <text xml:space="preserve">23050/04 +400.000
</text>
  </threadedComment>
  <threadedComment ref="D870" personId="{2F5F6CE8-9486-26C6-27E6-277EBB6962AB}" id="{00C2009B-0094-496D-9271-001100CC00D1}" done="0">
    <text xml:space="preserve">23002/01 -508.200
23003/01 +45.455
23004/01 -2.500.000
23005/01 +2.499.800
23006/01 -1.812.000
23007/01 -76.493,01
23008/01 -33.698
23009/02 -3.663.880
23017/02 -120.860,71
23018/02 -221.800
23019/02 +50.161  poj
23021/02 +14.000.000
23022/02 +14.055,43
23026/02 -1.700.000
23029/02 -300.000
23030/02 -1.938.178,27
23035/03 -436.000
23037/03 -175.000
23038/03 +5.706.845,54
23041/03 +285.281
23043/03 -7.381.538
23044/03 +384
23046/03 +80.676,71
23047/03 +248.308,32
23049/03 -1.750.000
23061/04 +43.797
23062/04 -84.940
23063/04 +3.705,41
23065/05 -231.000
23069/05 -50.000
23071/05 +270
23072/05 +2.989,27
23073/05 +1.200.000 -96.800
23074/05 +921.600
23075/05 
-89.825 -296.450 -213.204
23077/05 -1.000.000
23080/06 -5.500.000
23083/06
+20.000 +76.497 +20200 +36.600 +156.589,68 +5.360 +147.136 +87.410 +265 673,13 +2.870.000
23085/06 -147.136
23089/06 -176
23090/06 -1.449.005,28
</text>
  </threadedComment>
  <threadedComment ref="D871" personId="{2F5F6CE8-9486-26C6-27E6-277EBB6962AB}" id="{008B0043-00A5-4AF7-8864-008B000C0054}" done="0">
    <text xml:space="preserve">23069/05 +40.000 +10.000
23083/06 +80.000
</text>
  </threadedComment>
  <threadedComment ref="D89" personId="{2F5F6CE8-9486-26C6-27E6-277EBB6962AB}" id="{00C80009-000B-46FB-8913-00D200090082}" done="0">
    <text xml:space="preserve">23043/03 -7.381.538
</text>
  </threadedComment>
  <threadedComment ref="D95" personId="{2F5F6CE8-9486-26C6-27E6-277EBB6962AB}" id="{008F00AE-00D8-45BE-8AA9-009F007300E4}" done="0">
    <text xml:space="preserve">23083/06 +36.600
</text>
  </threadedComment>
  <threadedComment ref="D96" personId="{2F5F6CE8-9486-26C6-27E6-277EBB6962AB}" id="{00A800D4-00BB-4353-9BEF-002000BF00A4}" done="0">
    <text xml:space="preserve">23083/06 
+144.589,67 osm
+12.000 od
</text>
  </threadedComment>
</ThreadedComments>
</file>

<file path=xl/threadedComments/threadedComment3.xml><?xml version="1.0" encoding="utf-8"?>
<ThreadedComments xmlns="http://schemas.microsoft.com/office/spreadsheetml/2018/threadedcomments" xmlns:x="http://schemas.openxmlformats.org/spreadsheetml/2006/main">
  <threadedComment ref="D1001" personId="{2F5F6CE8-9486-26C6-27E6-277EBB6962AB}" id="{0087004A-00EF-4105-9626-00AC005F00C7}" done="0">
    <text xml:space="preserve">23090/06 +1.449.005,28
</text>
  </threadedComment>
  <threadedComment ref="D1002" personId="{2F5F6CE8-9486-26C6-27E6-277EBB6962AB}" id="{000C00BC-00BF-4E27-81FF-00B6001C00F8}" done="0">
    <text xml:space="preserve">23050/04 +400.000
</text>
  </threadedComment>
  <threadedComment ref="D1004" personId="{2F5F6CE8-9486-26C6-27E6-277EBB6962AB}" id="{00D90080-00C7-4A34-857A-0018005C0032}" done="0">
    <text xml:space="preserve">23002/01 -508.200
23003/01 +45.455
23004/01 -2.500.000
23005/01 +2.499.800
23006/01 -1.812.000
23007/01 -76.493,01
23008/01 -33.698
23009/02 -3.663.880
23017/02 -120.860,71
23018/02 -221.800
23019/02 +50.161  poj
23021/02 +14.000.000
23022/02 +14.055,43
23026/02 -1.700.000
23029/02 -300.000
23030/02 -1.938.178,27
23035/03 -436.000
23037/03 -175.000
23038/03 +5.706.845,54
23041/03 +285.281
23043/03 -7.381.538
23044/03 +384
23046/03 +80.676,71
23047/03 +248.308,32
23049/03 -1.750.000
23061/04 +43.797
23062/04 -84.940
23063/04 +3.705,41
23065/05 -231.000
23069/05 -50.000
23071/05 +270
23072/05 +2.989,27
23073/05 +1.200.000 -96.800
23074/05 +921.600
23075/05 
-89.825 -296.450 -213.204
23077/05 -1.000.000
23083/06
+20.000 +76.497 +20200 +36.600 +156.589,68 +5.360 +147.136 +87.410 +265 673,13 +2.870.000
23085/06 -147.136
23089/06 -176
23090/06 -1.449.005,28
</text>
  </threadedComment>
  <threadedComment ref="D1005" personId="{2F5F6CE8-9486-26C6-27E6-277EBB6962AB}" id="{00230082-00BF-4A5B-855E-00EB00A00086}" done="0">
    <text xml:space="preserve">23069/05 +40.000 +10.000
23083/06 +80.000
</text>
  </threadedComment>
  <threadedComment ref="D107" personId="{2F5F6CE8-9486-26C6-27E6-277EBB6962AB}" id="{001500AA-002C-431D-BCA9-00E2002E001E}" done="0">
    <text xml:space="preserve">23017/02 
+ 91.051,59   0307
+159.661,95 0305
</text>
  </threadedComment>
  <threadedComment ref="D109" personId="{2F5F6CE8-9486-26C6-27E6-277EBB6962AB}" id="{0052007C-00C6-4320-AEAC-000900600049}" done="0">
    <text xml:space="preserve">23017/02 +29.886,84
</text>
  </threadedComment>
  <threadedComment ref="D110" personId="{2F5F6CE8-9486-26C6-27E6-277EBB6962AB}" id="{00E2002F-00C3-425C-B36D-004300950022}" done="0">
    <text xml:space="preserve">23017/02 +305.600,85
</text>
  </threadedComment>
  <threadedComment ref="D111" personId="{2F5F6CE8-9486-26C6-27E6-277EBB6962AB}" id="{00F800E1-003E-44D9-91BA-00BC001A0063}" done="0">
    <text xml:space="preserve">23017/02 +151.277,28
</text>
  </threadedComment>
  <threadedComment ref="D112" personId="{2F5F6CE8-9486-26C6-27E6-277EBB6962AB}" id="{0039009F-00C6-43F0-A623-001B00C3006C}" done="0">
    <text xml:space="preserve">23038/03 +5.706.845,54
</text>
  </threadedComment>
  <threadedComment ref="D113" personId="{2F5F6CE8-9486-26C6-27E6-277EBB6962AB}" id="{00900099-0026-466E-B44E-00A900A80026}" done="0">
    <text xml:space="preserve">23083/06 +265.673,13
</text>
  </threadedComment>
  <threadedComment ref="D117" personId="{2F5F6CE8-9486-26C6-27E6-277EBB6962AB}" id="{000200F9-0016-409F-B0FB-00E700DC00BB}" done="0">
    <text xml:space="preserve">23083/06 
+5.360 +147.136
</text>
  </threadedComment>
  <threadedComment ref="D118" personId="{2F5F6CE8-9486-26C6-27E6-277EBB6962AB}" id="{00610002-00A2-4EF4-93C0-00C000B60031}" done="0">
    <text xml:space="preserve">23029/02 +100.000
23050/04 -100.000
</text>
  </threadedComment>
  <threadedComment ref="D120" personId="{2F5F6CE8-9486-26C6-27E6-277EBB6962AB}" id="{000A008E-0089-42E4-AB07-00EA001E0065}" done="0">
    <text xml:space="preserve">23016/02 +8.015
</text>
  </threadedComment>
  <threadedComment ref="D121" personId="{2F5F6CE8-9486-26C6-27E6-277EBB6962AB}" id="{00190031-00EA-485E-8C94-005100380032}" done="0">
    <text xml:space="preserve">23016/02 +33.210
</text>
  </threadedComment>
  <threadedComment ref="D122" personId="{2F5F6CE8-9486-26C6-27E6-277EBB6962AB}" id="{005F0067-0029-4E2E-B1F8-0030001800C6}" done="0">
    <text xml:space="preserve">23050/04 +100.000
</text>
  </threadedComment>
  <threadedComment ref="D124" personId="{2F5F6CE8-9486-26C6-27E6-277EBB6962AB}" id="{002F0035-006C-44C9-B8B8-006A002700DF}" done="0">
    <text xml:space="preserve">23011/02 -+50.000
23031/02 -+50.000
23032/02 +5.000
</text>
  </threadedComment>
  <threadedComment ref="D125" personId="{2F5F6CE8-9486-26C6-27E6-277EBB6962AB}" id="{00DB0079-0013-48A9-93FB-0084001F008A}" done="0">
    <text xml:space="preserve">23019/02 +59.931
23095/06 +206.193
</text>
  </threadedComment>
  <threadedComment ref="D139" personId="{2F5F6CE8-9486-26C6-27E6-277EBB6962AB}" id="{007A00C2-00AC-40B4-A2E4-007B00CA004B}" done="0">
    <text xml:space="preserve">23013/02 +227.100
23028/02 +232.500
23042/03 +210.000
23064/04 +231.000
23076/05 +234.000
23092/06 +241.800
</text>
  </threadedComment>
  <threadedComment ref="D150" personId="{2F5F6CE8-9486-26C6-27E6-277EBB6962AB}" id="{00FB0052-0046-4F1B-AEB5-00DF00F200C4}" done="0">
    <text xml:space="preserve">23087/06 -7.500.000
</text>
  </threadedComment>
  <threadedComment ref="D151" personId="{2F5F6CE8-9486-26C6-27E6-277EBB6962AB}" id="{00B30066-0004-4829-A8DE-00CF00BC006D}" done="0">
    <text xml:space="preserve">23062/04 -1.144.538
</text>
  </threadedComment>
  <threadedComment ref="D187" personId="{2F5F6CE8-9486-26C6-27E6-277EBB6962AB}" id="{004800A7-009B-40FD-A030-002200EA0023}" done="0">
    <text xml:space="preserve">23014/02 +864.200
</text>
  </threadedComment>
  <threadedComment ref="D188" personId="{2F5F6CE8-9486-26C6-27E6-277EBB6962AB}" id="{00940093-00B3-4BCF-B1B7-00F100230065}" done="0">
    <text xml:space="preserve">23063/04 +3.705,41
</text>
  </threadedComment>
  <threadedComment ref="D189" personId="{2F5F6CE8-9486-26C6-27E6-277EBB6962AB}" id="{002500BC-00D9-48B8-A42F-0087007200A5}" done="0">
    <text xml:space="preserve">23005/01 +2.499.800
</text>
  </threadedComment>
  <threadedComment ref="D193" personId="{2F5F6CE8-9486-26C6-27E6-277EBB6962AB}" id="{00B20072-00C2-438F-8E3A-005C008B0096}" done="0">
    <text xml:space="preserve">23046/03
+    635,25 17015 1071
+12.705     17015 1075 
</text>
  </threadedComment>
  <threadedComment ref="D194" personId="{2F5F6CE8-9486-26C6-27E6-277EBB6962AB}" id="{009400F3-0026-4F2F-96FB-007F009400AD}" done="0">
    <text xml:space="preserve">23047/03
+ 635,25  17015 107 1
+12.705  17016 107 5
</text>
  </threadedComment>
  <threadedComment ref="D195" personId="{2F5F6CE8-9486-26C6-27E6-277EBB6962AB}" id="{003D00AD-0040-4398-A8A6-00AD00E40049}" done="0">
    <text xml:space="preserve">23062/04 +1.059.598
</text>
  </threadedComment>
  <threadedComment ref="D196" personId="{2F5F6CE8-9486-26C6-27E6-277EBB6962AB}" id="{00A30090-00BA-480D-91D2-00FE003400B2}" done="0">
    <text xml:space="preserve">23087/06 +8.304.000
</text>
  </threadedComment>
  <threadedComment ref="D197" personId="{2F5F6CE8-9486-26C6-27E6-277EBB6962AB}" id="{005C0087-00D5-4DAF-8B37-006200EC0045}" done="0">
    <text xml:space="preserve">23057/04 +14.200
</text>
  </threadedComment>
  <threadedComment ref="D198" personId="{2F5F6CE8-9486-26C6-27E6-277EBB6962AB}" id="{0076002D-00F9-4D2C-8C2E-000600060069}" done="0">
    <text xml:space="preserve">23057/04 +35.205
</text>
  </threadedComment>
  <threadedComment ref="D199" personId="{B5FD8596-77AF-ADAD-A15D-964B5815616B}" id="{00CE00B3-003C-411B-8F61-008F00DB00DE}" done="0">
    <text xml:space="preserve">23015/02 úz33092 
+1.005.316,48 1431
+3.315.837,52 1435
</text>
  </threadedComment>
  <threadedComment ref="D200" personId="{B5FD8596-77AF-ADAD-A15D-964B5815616B}" id="{00B20021-00C8-4B6C-9EA0-003800B20070}" done="0">
    <text xml:space="preserve">23058/04 úz33092 
+ 519.876,20 1431
+1.714.708,80 1435
</text>
  </threadedComment>
  <threadedComment ref="D201" personId="{B5FD8596-77AF-ADAD-A15D-964B5815616B}" id="{00C200C0-000D-4258-957A-0086008300B5}" done="0">
    <text xml:space="preserve">23093/06 úz33092 
+ 551.883,72 1431
+1.820.279,28 1435
</text>
  </threadedComment>
  <threadedComment ref="D202" personId="{2F5F6CE8-9486-26C6-27E6-277EBB6962AB}" id="{009E00B6-0088-4EC0-9764-005B00C60013}" done="0">
    <text xml:space="preserve">23096/06 +100.000
</text>
  </threadedComment>
  <threadedComment ref="D211" personId="{2F5F6CE8-9486-26C6-27E6-277EBB6962AB}" id="{00F1004D-00C7-4981-80DC-001400450063}" done="0">
    <text xml:space="preserve">23039/03 org z 541 na 029
</text>
  </threadedComment>
  <threadedComment ref="D216" personId="{2F5F6CE8-9486-26C6-27E6-277EBB6962AB}" id="{00030098-008F-404E-A893-006E00850079}" done="0">
    <text xml:space="preserve">23001/01 +4.551.000
</text>
  </threadedComment>
  <threadedComment ref="D217" personId="{2F5F6CE8-9486-26C6-27E6-277EBB6962AB}" id="{003F002D-0027-4A2C-A15C-0067001E0013}" done="0">
    <text xml:space="preserve">23056/04 +80.000
</text>
  </threadedComment>
  <threadedComment ref="D218" personId="{2F5F6CE8-9486-26C6-27E6-277EBB6962AB}" id="{0074004B-0035-4E11-94C6-007F008800ED}" done="0">
    <text xml:space="preserve">23055/04 +50.000
</text>
  </threadedComment>
  <threadedComment ref="D219" personId="{2F5F6CE8-9486-26C6-27E6-277EBB6962AB}" id="{00A000EC-0040-4327-BE3D-00F3005F007A}" done="0">
    <text xml:space="preserve">23027/02 +9.234 (z 4222)
</text>
  </threadedComment>
  <threadedComment ref="D220" personId="{2F5F6CE8-9486-26C6-27E6-277EBB6962AB}" id="{00FD0017-001E-44EA-B9D8-0086005B00C6}" done="0">
    <text xml:space="preserve">23059/04 +210.000
</text>
  </threadedComment>
  <threadedComment ref="D222" personId="{2F5F6CE8-9486-26C6-27E6-277EBB6962AB}" id="{009200A8-0096-4EA5-9182-0069007E003D}" done="0">
    <text xml:space="preserve">23086/06 úz 913, 120 1,5
+ 4.752,88 (0321, 1201)
+26.932,97 (0321, 1205)
+ 1.806,05 (0322, 1201)
+10.234,30 (0322, 1205)
+ 5.713,08 (0323, 1201)
+32.374,08 (0323, 1205)
</text>
  </threadedComment>
  <threadedComment ref="D223" personId="{2F5F6CE8-9486-26C6-27E6-277EBB6962AB}" id="{00D800A4-008B-495D-A971-00400028001F}" done="0">
    <text xml:space="preserve">23054/04 + 5.960.000
</text>
  </threadedComment>
  <threadedComment ref="D225" personId="{2F5F6CE8-9486-26C6-27E6-277EBB6962AB}" id="{009E00B2-00C0-4DD8-B420-00D3009800EB}" done="0">
    <text xml:space="preserve">23082/06-94.000
</text>
  </threadedComment>
  <threadedComment ref="D235" personId="{2F5F6CE8-9486-26C6-27E6-277EBB6962AB}" id="{00940003-00C9-4057-A795-00B20039001B}" done="0">
    <text xml:space="preserve">23046/03 -4.250.000
+   205.587,45 17968 1071
+4.111.749,01  17969 1075 
</text>
  </threadedComment>
  <threadedComment ref="D236" personId="{2F5F6CE8-9486-26C6-27E6-277EBB6962AB}" id="{0021007F-00A6-4002-92C9-00FD006C0047}" done="0">
    <text xml:space="preserve">23047/03 
-4.800.000 17969 1075
+ 239.760,30 17968 107 1
+4.795.207,68 17969 107 5
</text>
  </threadedComment>
  <threadedComment ref="D242" personId="{2F5F6CE8-9486-26C6-27E6-277EBB6962AB}" id="{00350003-00F6-4E4A-A805-005100BF00CE}" done="0">
    <text xml:space="preserve">23055/04 +150.000
</text>
  </threadedComment>
  <threadedComment ref="D244" personId="{2F5F6CE8-9486-26C6-27E6-277EBB6962AB}" id="{00B20005-00FA-4C97-A87D-004700D7008E}" done="0">
    <text xml:space="preserve">23088/06 +22.018
</text>
  </threadedComment>
  <threadedComment ref="D245" personId="{2F5F6CE8-9486-26C6-27E6-277EBB6962AB}" id="{00C8001F-00BA-4181-A91B-00B700B70033}" done="0">
    <text xml:space="preserve">23027/02 
zm úz z 720 na 711,
-9.234 (na 4122)
</text>
  </threadedComment>
  <threadedComment ref="D265" personId="{2F5F6CE8-9486-26C6-27E6-277EBB6962AB}" id="{0090004A-0034-44C2-893E-00B5001C0026}" done="0">
    <text xml:space="preserve">23571/06 -13.240
</text>
  </threadedComment>
  <threadedComment ref="D268" personId="{2F5F6CE8-9486-26C6-27E6-277EBB6962AB}" id="{00200073-00BF-4B92-8542-00BC009C00F3}" done="0">
    <text xml:space="preserve">23571/06 +13.240
</text>
  </threadedComment>
  <threadedComment ref="D271" personId="{2F5F6CE8-9486-26C6-27E6-277EBB6962AB}" id="{00E700DF-008B-4BB4-AD74-008600BA0096}" done="0">
    <text xml:space="preserve">23089/06 +242.676
</text>
  </threadedComment>
  <threadedComment ref="D285" personId="{2F5F6CE8-9486-26C6-27E6-277EBB6962AB}" id="{0078008C-0091-4C51-9CBB-007200970043}" done="0">
    <text xml:space="preserve">23095/06 +61.673
</text>
  </threadedComment>
  <threadedComment ref="D297" personId="{2F5F6CE8-9486-26C6-27E6-277EBB6962AB}" id="{00680000-00EB-4175-B042-00A1004100AD}" done="0">
    <text xml:space="preserve">23049/03 -700.000
</text>
  </threadedComment>
  <threadedComment ref="D306" personId="{2F5F6CE8-9486-26C6-27E6-277EBB6962AB}" id="{00120039-0019-4F7C-AD4F-00A600BC0087}" done="0">
    <text xml:space="preserve">23508/02 +29.498,59
</text>
  </threadedComment>
  <threadedComment ref="D308" personId="{2F5F6CE8-9486-26C6-27E6-277EBB6962AB}" id="{008E006F-001F-404B-BFA2-004000C000D3}" done="0">
    <text xml:space="preserve">23508/02 -29.498,59
23095/06 +1.124
</text>
  </threadedComment>
  <threadedComment ref="D325" personId="{2F5F6CE8-9486-26C6-27E6-277EBB6962AB}" id="{00200080-00DF-4172-8122-005200E100B6}" done="0">
    <text xml:space="preserve">23091/06 +274.029,69
23097/06 +220.000
</text>
  </threadedComment>
  <threadedComment ref="D328" personId="{2F5F6CE8-9486-26C6-27E6-277EBB6962AB}" id="{009400FE-0090-430C-A349-009000210020}" done="0">
    <text xml:space="preserve">23051/04 +100.000 houpačka Kojetín part.rozp
23091/06 -274.029,69
</text>
  </threadedComment>
  <threadedComment ref="D339" personId="{2F5F6CE8-9486-26C6-27E6-277EBB6962AB}" id="{009100DB-00E7-48BD-9184-00AD00A4004D}" done="0">
    <text xml:space="preserve">23025/02 -43.923
</text>
  </threadedComment>
  <threadedComment ref="D346" personId="{2F5F6CE8-9486-26C6-27E6-277EBB6962AB}" id="{00F10081-0088-493B-9158-0019001B00A7}" done="0">
    <text xml:space="preserve">23095/06 +1.858
</text>
  </threadedComment>
  <threadedComment ref="D349" personId="{2F5F6CE8-9486-26C6-27E6-277EBB6962AB}" id="{00D300FC-0079-42B2-B58D-00F900D3006A}" done="0">
    <text xml:space="preserve">23514/02 +70.301
</text>
  </threadedComment>
  <threadedComment ref="D351" personId="{2F5F6CE8-9486-26C6-27E6-277EBB6962AB}" id="{006A003B-0067-421D-A27F-0069008C009A}" done="0">
    <text xml:space="preserve">23514/02 +26257
</text>
  </threadedComment>
  <threadedComment ref="D353" personId="{2F5F6CE8-9486-26C6-27E6-277EBB6962AB}" id="{0076005A-000E-45CF-8F94-003300E8000C}" done="0">
    <text xml:space="preserve">23514/02 -124.482
</text>
  </threadedComment>
  <threadedComment ref="D354" personId="{2F5F6CE8-9486-26C6-27E6-277EBB6962AB}" id="{00660056-00EA-44FC-81F3-00690073002A}" done="0">
    <text xml:space="preserve">23514/02 +27.924
</text>
  </threadedComment>
  <threadedComment ref="D359" personId="{2F5F6CE8-9486-26C6-27E6-277EBB6962AB}" id="{00640043-003F-4AC9-BEA3-0042005000BD}" done="0">
    <text xml:space="preserve">23008/01 +33.698
</text>
  </threadedComment>
  <threadedComment ref="D360" personId="{2F5F6CE8-9486-26C6-27E6-277EBB6962AB}" id="{001F0052-0046-4313-871D-000B00AC00CB}" done="0">
    <text xml:space="preserve">23037/03 +175.000
</text>
  </threadedComment>
  <threadedComment ref="D38" personId="{2F5F6CE8-9486-26C6-27E6-277EBB6962AB}" id="{00BE0074-0043-4C94-8DFB-00E90085002E}" done="0">
    <text xml:space="preserve">23060/04 -10.050.300
</text>
  </threadedComment>
  <threadedComment ref="D372" personId="{2F5F6CE8-9486-26C6-27E6-277EBB6962AB}" id="{00850019-0079-4DC7-A2B3-002300DD00B7}" done="0">
    <text xml:space="preserve">23095/06 +29.008
</text>
  </threadedComment>
  <threadedComment ref="D388" personId="{2F5F6CE8-9486-26C6-27E6-277EBB6962AB}" id="{006600F7-0038-429A-ACF8-00F5005B00C9}" done="0">
    <text xml:space="preserve">23045/03 -1.500.000
</text>
  </threadedComment>
  <threadedComment ref="D391" personId="{2F5F6CE8-9486-26C6-27E6-277EBB6962AB}" id="{00760017-00A1-4E48-8DB0-004E000200E4}" done="0">
    <text xml:space="preserve">23520/02 -13.500
23049/03 
+700.000 +1.250.000
</text>
  </threadedComment>
  <threadedComment ref="D397" personId="{2F5F6CE8-9486-26C6-27E6-277EBB6962AB}" id="{00FA0078-00E9-4443-90FF-007400000026}" done="0">
    <text xml:space="preserve">23520/02 +13.500
</text>
  </threadedComment>
  <threadedComment ref="D398" personId="{2F5F6CE8-9486-26C6-27E6-277EBB6962AB}" id="{00DE0013-00C6-4815-8504-00AD009B00C6}" done="0">
    <text xml:space="preserve">23569/06 -200.000
</text>
  </threadedComment>
  <threadedComment ref="D402" personId="{2F5F6CE8-9486-26C6-27E6-277EBB6962AB}" id="{00240022-0068-4540-BC17-007100080022}" done="0">
    <text xml:space="preserve">23569/06 +200.000
</text>
  </threadedComment>
  <threadedComment ref="D409" personId="{2F5F6CE8-9486-26C6-27E6-277EBB6962AB}" id="{00380029-0032-4512-8FDA-001B0071006A}" done="0">
    <text xml:space="preserve">23049/03 +500.000
</text>
  </threadedComment>
  <threadedComment ref="D411" personId="{2F5F6CE8-9486-26C6-27E6-277EBB6962AB}" id="{004D0070-006B-4F86-A6E7-00F3009D0032}" done="0">
    <text xml:space="preserve">23573/06 +50.000
</text>
  </threadedComment>
  <threadedComment ref="D412" personId="{2F5F6CE8-9486-26C6-27E6-277EBB6962AB}" id="{000600FA-00EE-48E4-91DB-00DB001E0007}" done="0">
    <text xml:space="preserve">23542/04 -50.000
23573/06 -50.000
</text>
  </threadedComment>
  <threadedComment ref="D414" personId="{2F5F6CE8-9486-26C6-27E6-277EBB6962AB}" id="{003F005A-00E5-4FD4-BCEE-00C3006C00F6}" done="0">
    <text xml:space="preserve">23542/04 +50.000
</text>
  </threadedComment>
  <threadedComment ref="D419" personId="{2F5F6CE8-9486-26C6-27E6-277EBB6962AB}" id="{00DA00A1-001A-43A8-9DD2-00F100750056}" done="0">
    <text xml:space="preserve">23004/01 +2.500.000
</text>
  </threadedComment>
  <threadedComment ref="D440" personId="{2F5F6CE8-9486-26C6-27E6-277EBB6962AB}" id="{0006008B-00C1-46FF-8EBA-0050009400B8}" done="0">
    <text xml:space="preserve">23088 +22.018 úz611
</text>
  </threadedComment>
  <threadedComment ref="D45" personId="{2F5F6CE8-9486-26C6-27E6-277EBB6962AB}" id="{004A00CA-001D-4454-9AD1-0022006600DF}" done="0">
    <text xml:space="preserve">23083/06 +76.497
</text>
  </threadedComment>
  <threadedComment ref="D441" personId="{2F5F6CE8-9486-26C6-27E6-277EBB6962AB}" id="{00C9009C-00DA-4B72-A06B-0080008D0089}" done="0">
    <text xml:space="preserve">23521/03 +-117.833 dozn úz 610
</text>
  </threadedComment>
  <threadedComment ref="D446" personId="{2F5F6CE8-9486-26C6-27E6-277EBB6962AB}" id="{006000D2-00D2-47A8-BF83-0031008E0050}" done="0">
    <text xml:space="preserve">23012/02 +13.000
</text>
  </threadedComment>
  <threadedComment ref="D465" personId="{2F5F6CE8-9486-26C6-27E6-277EBB6962AB}" id="{00C3006C-002A-49E4-B2E3-009F00230066}" done="0">
    <text xml:space="preserve">23543/04 +4.635.000
</text>
  </threadedComment>
  <threadedComment ref="D466" personId="{2F5F6CE8-9486-26C6-27E6-277EBB6962AB}" id="{00350030-0050-42AC-A9BA-0086008F0091}" done="0">
    <text xml:space="preserve">23543/04 -4.635.000
</text>
  </threadedComment>
  <threadedComment ref="D468" personId="{2F5F6CE8-9486-26C6-27E6-277EBB6962AB}" id="{00DB0019-002F-4F8B-852F-009200B000DD}" done="0">
    <text xml:space="preserve">23548/05 
+150.000 +80.000
</text>
  </threadedComment>
  <threadedComment ref="D470" personId="{2F5F6CE8-9486-26C6-27E6-277EBB6962AB}" id="{008300C6-00A5-411D-9EC2-00D3004A00BD}" done="0">
    <text xml:space="preserve">23070/05 -1.700.000
</text>
  </threadedComment>
  <threadedComment ref="D471" personId="{2F5F6CE8-9486-26C6-27E6-277EBB6962AB}" id="{0020006F-0056-4B8F-BC9F-00E9006500C8}" done="0">
    <text xml:space="preserve">23021/02 -14.000.000
23548/05 -230.000
</text>
  </threadedComment>
  <threadedComment ref="D479" personId="{2F5F6CE8-9486-26C6-27E6-277EBB6962AB}" id="{002400C6-0036-4E46-92D0-000600F600E5}" done="0">
    <text xml:space="preserve">23023/02 -153.307 part.rozp-psí hř
23051/04 -100.000 part.rozp Houpačka Kojetín
</text>
  </threadedComment>
  <threadedComment ref="D49" personId="{2F5F6CE8-9486-26C6-27E6-277EBB6962AB}" id="{0044004C-008D-4187-9FAA-0074005800E6}" done="0">
    <text xml:space="preserve">23040/03 +33.700
23083/06 +20.200
</text>
  </threadedComment>
  <threadedComment ref="D490" personId="{2F5F6CE8-9486-26C6-27E6-277EBB6962AB}" id="{008D0078-0070-4FC5-86E1-00AA001F00D7}" done="0">
    <text xml:space="preserve">23554/05 +500.000
</text>
  </threadedComment>
  <threadedComment ref="D492" personId="{2F5F6CE8-9486-26C6-27E6-277EBB6962AB}" id="{009C0085-00A9-46B7-B541-003A006100D5}" done="0">
    <text xml:space="preserve">23554/05 -500.000
</text>
  </threadedComment>
  <threadedComment ref="D504" personId="{2F5F6CE8-9486-26C6-27E6-277EBB6962AB}" id="{00A7000A-00F3-4AC1-B123-002D008B009F}" done="0">
    <text xml:space="preserve">23045/03 +1.500.000
</text>
  </threadedComment>
  <threadedComment ref="D509" personId="{2F5F6CE8-9486-26C6-27E6-277EBB6962AB}" id="{00E20018-0065-430B-AEC4-0019007E004C}" done="0">
    <text xml:space="preserve">23537/04 +-400.000 org
</text>
  </threadedComment>
  <threadedComment ref="D512" personId="{2F5F6CE8-9486-26C6-27E6-277EBB6962AB}" id="{000700D7-004F-4132-8E09-00D700C20085}" done="0">
    <text xml:space="preserve">23024/02 +1.500.000
</text>
  </threadedComment>
  <threadedComment ref="D513" personId="{2F5F6CE8-9486-26C6-27E6-277EBB6962AB}" id="{005A0004-00F0-43BB-9B18-006B001100B0}" done="0">
    <text xml:space="preserve">23024/02 +1.200.000
</text>
  </threadedComment>
  <threadedComment ref="D521" personId="{2F5F6CE8-9486-26C6-27E6-277EBB6962AB}" id="{007100E4-004A-4E25-AE60-00400032007B}" done="0">
    <text xml:space="preserve">23024/02 +4.000.000
</text>
  </threadedComment>
  <threadedComment ref="D525" personId="{2F5F6CE8-9486-26C6-27E6-277EBB6962AB}" id="{00E700B6-005D-4D62-858D-004500FD00C8}" done="0">
    <text xml:space="preserve">23026/02 +1.700.000
</text>
  </threadedComment>
  <threadedComment ref="D533" personId="{2F5F6CE8-9486-26C6-27E6-277EBB6962AB}" id="{008C0058-0009-48DC-8CF1-0031008D001F}" done="0">
    <text xml:space="preserve">23524/03 -1.300.000
23551/05 +1.300.000
</text>
  </threadedComment>
  <threadedComment ref="D537" personId="{2F5F6CE8-9486-26C6-27E6-277EBB6962AB}" id="{002F0030-00F9-4BB4-88C7-00F400C3001A}" done="0">
    <text xml:space="preserve">23523/03 -40.000
</text>
  </threadedComment>
  <threadedComment ref="D538" personId="{2F5F6CE8-9486-26C6-27E6-277EBB6962AB}" id="{008300C2-0050-48BB-AFEE-006C0070002B}" done="0">
    <text xml:space="preserve">23524/03 +1.300.000
</text>
  </threadedComment>
  <threadedComment ref="D539" personId="{2F5F6CE8-9486-26C6-27E6-277EBB6962AB}" id="{00830097-000D-4A64-BC50-00570007004D}" done="0">
    <text xml:space="preserve">23551/05 -1.300.000
</text>
  </threadedComment>
  <threadedComment ref="D540" personId="{2F5F6CE8-9486-26C6-27E6-277EBB6962AB}" id="{00EC0002-002C-4CD1-A090-00D400C8009A}" done="0">
    <text xml:space="preserve">23523/03 +40.000
</text>
  </threadedComment>
  <threadedComment ref="D543" personId="{2F5F6CE8-9486-26C6-27E6-277EBB6962AB}" id="{001B00D3-00F1-4BF0-88F1-00C100F700EF}" done="0">
    <text xml:space="preserve">23501/01 -20.000
23522/03 -3.000
23535/04 -10.000
</text>
  </threadedComment>
  <threadedComment ref="D544" personId="{2F5F6CE8-9486-26C6-27E6-277EBB6962AB}" id="{00DC00A0-002D-428F-8FEB-006B003F0062}" done="0">
    <text xml:space="preserve">23501/01 +20.000
23535/04 +10.000
23568/06 +50.000
</text>
  </threadedComment>
  <threadedComment ref="D547" personId="{2F5F6CE8-9486-26C6-27E6-277EBB6962AB}" id="{009E001B-0022-4904-A8B6-008B00F70034}" done="0">
    <text xml:space="preserve">23012/02 -13.000
23568/06 -50.000
</text>
  </threadedComment>
  <threadedComment ref="D548" personId="{2F5F6CE8-9486-26C6-27E6-277EBB6962AB}" id="{000B00A8-0017-4A1B-88D3-001400EF00EB}" done="0">
    <text xml:space="preserve">23012/02 -13.000
23522/03 +3.000
</text>
  </threadedComment>
  <threadedComment ref="D558" personId="{2F5F6CE8-9486-26C6-27E6-277EBB6962AB}" id="{00BD0019-0081-415B-8642-00AE006A000E}" done="0">
    <text xml:space="preserve">23518/02 -20.160
</text>
  </threadedComment>
  <threadedComment ref="D561" personId="{2F5F6CE8-9486-26C6-27E6-277EBB6962AB}" id="{00E6002B-007B-43B2-84D9-00DA008400C0}" done="0">
    <text xml:space="preserve">23516/02 +20.160
</text>
  </threadedComment>
  <threadedComment ref="D563" personId="{2F5F6CE8-9486-26C6-27E6-277EBB6962AB}" id="{00C40015-009A-40D9-8121-007F00B70072}" done="0">
    <text xml:space="preserve">23507/02 -12.000
</text>
  </threadedComment>
  <threadedComment ref="D565" personId="{2F5F6CE8-9486-26C6-27E6-277EBB6962AB}" id="{004F00B0-0029-4241-A015-0081002A008A}" done="0">
    <text xml:space="preserve">23507/02 +12.000
</text>
  </threadedComment>
  <threadedComment ref="D577" personId="{2F5F6CE8-9486-26C6-27E6-277EBB6962AB}" id="{00A100AC-0066-45E0-9CB5-004D005F0093}" done="0">
    <text xml:space="preserve">23030/02 +70.804,80 +217.373,47
23040/03 +33.700
23055/04 úz 693
+50.000 NIV
+150.000 IV
23056/04 +80.000 úz673 NIV
</text>
  </threadedComment>
  <threadedComment ref="D585" personId="{2F5F6CE8-9486-26C6-27E6-277EBB6962AB}" id="{00740083-001C-4702-A7D6-00F0008700EA}" done="0">
    <text xml:space="preserve">23065/05 +231.000 dorov.2022
</text>
  </threadedComment>
  <threadedComment ref="D596" personId="{2F5F6CE8-9486-26C6-27E6-277EBB6962AB}" id="{00260071-0001-499C-9CBE-00EB000200D3}" done="0">
    <text xml:space="preserve">23014/02 +864.200
</text>
  </threadedComment>
  <threadedComment ref="D621" personId="{2F5F6CE8-9486-26C6-27E6-277EBB6962AB}" id="{00AF00BB-007C-441B-A2FB-00CC00F2002B}" done="0">
    <text xml:space="preserve">23095/06 +6.348
</text>
  </threadedComment>
  <threadedComment ref="D627" personId="{2F5F6CE8-9486-26C6-27E6-277EBB6962AB}" id="{0058005D-004A-416E-AF38-009E000800DB}" done="0">
    <text xml:space="preserve">23086/06 úz 914 
+ 4.752,88  120,1
+26.932,97 120,5
</text>
  </threadedComment>
  <threadedComment ref="D628" personId="{2F5F6CE8-9486-26C6-27E6-277EBB6962AB}" id="{003C0048-0078-4F69-9383-00F5004D00D1}" done="0">
    <text xml:space="preserve">23075/05 
+89.825 +296.450
</text>
  </threadedComment>
  <threadedComment ref="D629" personId="{2F5F6CE8-9486-26C6-27E6-277EBB6962AB}" id="{005F003D-005A-4834-916E-00E90033007A}" done="0">
    <text xml:space="preserve">23022/02 +603.790
23075/05 +213.204
</text>
  </threadedComment>
  <threadedComment ref="D632" personId="{2F5F6CE8-9486-26C6-27E6-277EBB6962AB}" id="{00610016-0086-4585-B6B2-00CB0009004C}" done="0">
    <text xml:space="preserve">23015/02 úz 33092
+1.005.316,48  143 1
+3.315.837,52  143 5
23086/06 úz 914 
+ 1.806,05  120,1
+10.234,30 120,5
23095/06 +5.595
</text>
  </threadedComment>
  <threadedComment ref="D633" personId="{2F5F6CE8-9486-26C6-27E6-277EBB6962AB}" id="{00D00055-007A-43FF-8276-001D00B4008E}" done="0">
    <text xml:space="preserve">23073/05 +96.
800
</text>
  </threadedComment>
  <threadedComment ref="D634" personId="{2F5F6CE8-9486-26C6-27E6-277EBB6962AB}" id="{003C006D-00EC-48C2-8D39-00A4004A00C7}" done="0">
    <text xml:space="preserve">23073/05 -1.200.000
</text>
  </threadedComment>
  <threadedComment ref="D637" personId="{2F5F6CE8-9486-26C6-27E6-277EBB6962AB}" id="{00FC00B3-008F-49B0-B922-00520056001F}" done="0">
    <text xml:space="preserve">23086/06 úz 914 
+ 5.713,08  120,1
+32.374,09 120,5
</text>
  </threadedComment>
  <threadedComment ref="D642" personId="{2F5F6CE8-9486-26C6-27E6-277EBB6962AB}" id="{0094007F-007A-4505-A4C0-0064007F0098}" done="0">
    <text xml:space="preserve">23019/02 +5.208  poj
23058/04 úz 33092 JAK
+519.876,20 1431
+1.714.708,80 1435
</text>
  </threadedComment>
  <threadedComment ref="D644" personId="{2F5F6CE8-9486-26C6-27E6-277EBB6962AB}" id="{00DD00FE-00E5-4616-B836-0090009C002F}" done="0">
    <text xml:space="preserve">23070/05 +1.700.000
23074/05 
-1.100.000 -30.000 +48.400 +160.000
</text>
  </threadedComment>
  <threadedComment ref="D648" personId="{2F5F6CE8-9486-26C6-27E6-277EBB6962AB}" id="{00AE002D-007C-498E-9406-000E00A2002F}" done="0">
    <text xml:space="preserve">23059/04 +210.200
23093/06 úz 33092
+ 551.883,82 1431
+1.820.279,28 1435
</text>
  </threadedComment>
  <threadedComment ref="D654" personId="{2F5F6CE8-9486-26C6-27E6-277EBB6962AB}" id="{00A8007F-00B5-400F-B103-0002008000D2}" done="0">
    <text xml:space="preserve">23003/01 -45.455
</text>
  </threadedComment>
  <threadedComment ref="D658" personId="{2F5F6CE8-9486-26C6-27E6-277EBB6962AB}" id="{008D00CE-0045-4C5E-AAB7-00C600E30034}" done="0">
    <text xml:space="preserve">23032/02 +5.000
</text>
  </threadedComment>
  <threadedComment ref="D663" personId="{2F5F6CE8-9486-26C6-27E6-277EBB6962AB}" id="{007300D4-00B9-4844-B91C-00BB005E00E1}" done="0">
    <text xml:space="preserve">23095/06 +19.570
23096/06 +100.000 úz 34002
</text>
  </threadedComment>
  <threadedComment ref="D671" personId="{2F5F6CE8-9486-26C6-27E6-277EBB6962AB}" id="{00310098-0092-4C5F-A614-006500E3005C}" done="0">
    <text xml:space="preserve">23001/01 +4.551.000
23019/02 +4.562 poj
23072/05 -2.989,27
</text>
  </threadedComment>
  <threadedComment ref="D680" personId="{2F5F6CE8-9486-26C6-27E6-277EBB6962AB}" id="{008400CA-0034-4950-A529-00B4009A0012}" done="0">
    <text xml:space="preserve">23033/02 -30.000 r
</text>
  </threadedComment>
  <threadedComment ref="D69" personId="{2F5F6CE8-9486-26C6-27E6-277EBB6962AB}" id="{00B60002-008C-4ED5-93BB-00BE00900017}" done="0">
    <text xml:space="preserve">23083/06 +20.000
</text>
  </threadedComment>
  <threadedComment ref="D682" personId="{2F5F6CE8-9486-26C6-27E6-277EBB6962AB}" id="{00D300A2-0081-4477-93C7-00AD00BD00EB}" done="0">
    <text xml:space="preserve">23512/02 -200.000
</text>
  </threadedComment>
  <threadedComment ref="D685" personId="{2F5F6CE8-9486-26C6-27E6-277EBB6962AB}" id="{00AC00F5-0056-419A-88EF-00BD00070064}" done="0">
    <text xml:space="preserve">23034/02 -25.000 r
23066/05 -10.000 r
</text>
  </threadedComment>
  <threadedComment ref="D688" personId="{2F5F6CE8-9486-26C6-27E6-277EBB6962AB}" id="{00F500C5-0098-4CDD-BD8A-00CE00A900F0}" done="0">
    <text xml:space="preserve">23033/02 +30.000
23034/02 +25.000
23512/02 +200.000
23066/05 +10.000
23084/06 -90.000 r
+90.000       
23085/06 +147.136
</text>
  </threadedComment>
  <threadedComment ref="D70" personId="{2F5F6CE8-9486-26C6-27E6-277EBB6962AB}" id="{00FB00B3-006D-4510-83D7-006A00830028}" done="0">
    <text xml:space="preserve">23083/06 +87.410
</text>
  </threadedComment>
  <threadedComment ref="D695" personId="{2F5F6CE8-9486-26C6-27E6-277EBB6962AB}" id="{00460074-00CC-44E2-898F-002A0060002A}" done="0">
    <text xml:space="preserve">23068/05 
+70.000 +80.000 +50.000
</text>
  </threadedComment>
  <threadedComment ref="D703" personId="{2F5F6CE8-9486-26C6-27E6-277EBB6962AB}" id="{0078001A-00FF-4088-A8EF-000A003200D4}" done="0">
    <text xml:space="preserve">23068/05 -70.000
23095/06 +16.216
</text>
  </threadedComment>
  <threadedComment ref="D705" personId="{2F5F6CE8-9486-26C6-27E6-277EBB6962AB}" id="{00AA007B-007E-4981-9426-00B900E900A8}" done="0">
    <text xml:space="preserve">23007/01 úz 13013
+8.051,90  1041
+68.441,11  1045
23511/02 úz 13013  3388
+9.438 1041
+4.719 1041 bez úz
+80.223 1045
23516/02 úz 13013  3388
+27.733,20 1041
+13.866,60 1041 bez úz
+235.732,20 1045
23566/06 úz 13013 
- 8.051,90 1041
+68.441,11 1045
</text>
  </threadedComment>
  <threadedComment ref="D706" personId="{2F5F6CE8-9486-26C6-27E6-277EBB6962AB}" id="{007D000C-005B-4852-8461-00A700E50001}" done="0">
    <text xml:space="preserve">23511/02 -94.380 (5168)
23516/02 -277.332 (5168)
23566/06 +76.493,01
</text>
  </threadedComment>
  <threadedComment ref="D711" personId="{2F5F6CE8-9486-26C6-27E6-277EBB6962AB}" id="{00D700E4-0093-4203-9FF6-001E003600BB}" done="0">
    <text xml:space="preserve">23013/02 
+-1.927.500  5811
+    227.100  5169
23028/02
+-2.077.400  5811
+    232.500  5169
23042/03 
+-1.894.600  5811
+   210.000  5169
23064/04 
+-1.831.700 5811
+   231.000 5169
23076/05 
+- 1.703.700 5811
+    234.000
23092/06 
+-1.588.650 5811
+   241.800
</text>
  </threadedComment>
  <threadedComment ref="D715" personId="{2F5F6CE8-9486-26C6-27E6-277EBB6962AB}" id="{009500C5-005F-4FED-86A8-004500EE00C5}" done="0">
    <text xml:space="preserve">23002/01  +508.200
</text>
  </threadedComment>
  <threadedComment ref="D716" personId="{2F5F6CE8-9486-26C6-27E6-277EBB6962AB}" id="{00FE0074-0096-4FFC-B849-001B007E0048}" done="0">
    <text xml:space="preserve">23035/03 +400.000 +36.000
23094/06 +67.000
</text>
  </threadedComment>
  <threadedComment ref="D718" personId="{2F5F6CE8-9486-26C6-27E6-277EBB6962AB}" id="{0032004B-001C-4E76-A2E7-000F001B007C}" done="0">
    <text xml:space="preserve">23062/04  úz13015
+-791.900 5011
+-196.427 5031
+-71.271 5032
23534/04 -15.000
23068/05 -103.000 -27.000
23082/06 +94.000
23094/06 -67.000
</text>
  </threadedComment>
  <threadedComment ref="D719" personId="{2F5F6CE8-9486-26C6-27E6-277EBB6962AB}" id="{00C2002C-00B3-43FD-AFCB-00CF006A0052}" done="0">
    <text xml:space="preserve">23534/04 +15.000
23087/06 +804.000
</text>
  </threadedComment>
  <threadedComment ref="D720" personId="{2F5F6CE8-9486-26C6-27E6-277EBB6962AB}" id="{00190024-00D4-40D1-AE87-000F007100A1}" done="0">
    <text xml:space="preserve">23082/06 -94.000
</text>
  </threadedComment>
  <threadedComment ref="D721" personId="{2F5F6CE8-9486-26C6-27E6-277EBB6962AB}" id="{0052004D-0057-48D6-8114-00E3003F0053}" done="0">
    <text xml:space="preserve">23082/06 -94.000
</text>
  </threadedComment>
  <threadedComment ref="D745" personId="{2F5F6CE8-9486-26C6-27E6-277EBB6962AB}" id="{00CB001B-006C-4F79-A858-0020005D0073}" done="0">
    <text xml:space="preserve">23053/04 +50.000
</text>
  </threadedComment>
  <threadedComment ref="D749" personId="{2F5F6CE8-9486-26C6-27E6-277EBB6962AB}" id="{00400095-004D-459E-AA73-002100EB00D6}" done="0">
    <text xml:space="preserve">23053/04 -50.000
</text>
  </threadedComment>
  <threadedComment ref="D752" personId="{2F5F6CE8-9486-26C6-27E6-277EBB6962AB}" id="{00CB00A9-00F2-4878-AD1C-00CE00A400BF}" done="0">
    <text xml:space="preserve">23081/06 +157.000 r
</text>
  </threadedComment>
  <threadedComment ref="D756" personId="{2F5F6CE8-9486-26C6-27E6-277EBB6962AB}" id="{0057005A-0068-48E4-A5FB-001B008D0032}" done="0">
    <text xml:space="preserve">23010/02 -5,000
23036/03 -15.000 r
</text>
  </threadedComment>
  <threadedComment ref="D759" personId="{2F5F6CE8-9486-26C6-27E6-277EBB6962AB}" id="{00BC000A-005C-4EE6-8428-0041007A00C5}" done="0">
    <text xml:space="preserve">23533/03 -150.000 
+140.000 + 10.000
na 231.0800
</text>
  </threadedComment>
  <threadedComment ref="D761" personId="{2F5F6CE8-9486-26C6-27E6-277EBB6962AB}" id="{00370026-0024-4A78-8E21-008F002B0047}" done="0">
    <text xml:space="preserve">232052/04 +-6.000
</text>
  </threadedComment>
  <threadedComment ref="D762" personId="{2F5F6CE8-9486-26C6-27E6-277EBB6962AB}" id="{0019000C-0071-40E7-BD05-00C700F400C8}" done="0">
    <text xml:space="preserve">23010/02 +5,000
23036/03 +15.000
23048/03 -+5.000
23081/06 +157.000
</text>
  </threadedComment>
  <threadedComment ref="D767" personId="{2F5F6CE8-9486-26C6-27E6-277EBB6962AB}" id="{0055003A-007B-4590-B58B-0021002700FE}" done="0">
    <text xml:space="preserve">23054/04 +3.134.000 úz 13305
23095/06 +51.728
</text>
  </threadedComment>
  <threadedComment ref="D768" personId="{2F5F6CE8-9486-26C6-27E6-277EBB6962AB}" id="{001F0098-009E-45D7-BD22-0094007B00F5}" done="0">
    <text xml:space="preserve">23054/04 +740.000 úz 13305
</text>
  </threadedComment>
  <threadedComment ref="D769" personId="{2F5F6CE8-9486-26C6-27E6-277EBB6962AB}" id="{00150079-002B-4E4C-B754-0005002800C9}" done="0">
    <text xml:space="preserve">23054/04 +2.086.000 úz 13305
</text>
  </threadedComment>
  <threadedComment ref="D78" personId="{2F5F6CE8-9486-26C6-27E6-277EBB6962AB}" id="{00AF001F-0062-47B1-8622-00560040001F}" done="0">
    <text xml:space="preserve">23044/03 +384 (321)
23061/04 +43.797 (350)
23071/05 +270 (322)
</text>
  </threadedComment>
  <threadedComment ref="D781" personId="{2F5F6CE8-9486-26C6-27E6-277EBB6962AB}" id="{00B1006F-00CC-45BB-A02A-00920040008A}" done="0">
    <text xml:space="preserve">23029/02 +400.000
23050/04 -400.000
</text>
  </threadedComment>
  <threadedComment ref="D783" personId="{2F5F6CE8-9486-26C6-27E6-277EBB6962AB}" id="{006A003D-0025-48A1-AD5F-008D00030047}" done="0">
    <text xml:space="preserve">23009/02 +3.663.880
</text>
  </threadedComment>
  <threadedComment ref="D784" personId="{2F5F6CE8-9486-26C6-27E6-277EBB6962AB}" id="{008D00AF-0025-4F6D-BC07-00AC0042004D}" done="0">
    <text xml:space="preserve">23030/02 +1.650.000
</text>
  </threadedComment>
  <threadedComment ref="D793" personId="{2F5F6CE8-9486-26C6-27E6-277EBB6962AB}" id="{00F100C6-00B3-4F67-9325-009300050065}" done="0">
    <text xml:space="preserve">23057/04 
+14.200 úz 29015
+35.205 úz 29031
</text>
  </threadedComment>
  <threadedComment ref="D805" personId="{2F5F6CE8-9486-26C6-27E6-277EBB6962AB}" id="{006B0060-007B-4124-AFE0-000B005800F3}" done="0">
    <text xml:space="preserve">23532/03 -431.000
23563/05 -400.000
</text>
  </threadedComment>
  <threadedComment ref="D806" personId="{2F5F6CE8-9486-26C6-27E6-277EBB6962AB}" id="{0060008A-00C7-4912-B2DC-008A00ED007E}" done="0">
    <text xml:space="preserve">23513/02 +45.254
23546/04 -152.880
</text>
  </threadedComment>
  <threadedComment ref="D808" personId="{2F5F6CE8-9486-26C6-27E6-277EBB6962AB}" id="{00C10004-00A9-485B-9409-00FA0036000A}" done="0">
    <text xml:space="preserve">23563/05 -150.000
</text>
  </threadedComment>
  <threadedComment ref="D809" personId="{2F5F6CE8-9486-26C6-27E6-277EBB6962AB}" id="{003E0007-009E-4B4B-A50C-00D8009800AE}" done="0">
    <text xml:space="preserve">23563/05 -100.000
</text>
  </threadedComment>
  <threadedComment ref="D812" personId="{2F5F6CE8-9486-26C6-27E6-277EBB6962AB}" id="{000C0087-004D-4F8D-8BF8-00ED001200F7}" done="0">
    <text xml:space="preserve">23563/05 -250.000
</text>
  </threadedComment>
  <threadedComment ref="D813" personId="{2F5F6CE8-9486-26C6-27E6-277EBB6962AB}" id="{00E200AD-00B6-41D8-853A-002C0011003A}" done="0">
    <text xml:space="preserve">23563/05 -100.000
</text>
  </threadedComment>
  <threadedComment ref="D815" personId="{2F5F6CE8-9486-26C6-27E6-277EBB6962AB}" id="{00FE0009-005E-4950-B88D-005A00A700ED}" done="0">
    <text xml:space="preserve">23563/05 -800.000
</text>
  </threadedComment>
  <threadedComment ref="D816" personId="{2F5F6CE8-9486-26C6-27E6-277EBB6962AB}" id="{00770080-001A-4280-9687-001300E100F6}" done="0">
    <text xml:space="preserve">23563/05 -300.000
</text>
  </threadedComment>
  <threadedComment ref="D818" personId="{2F5F6CE8-9486-26C6-27E6-277EBB6962AB}" id="{00F500C6-0019-46BB-ACB9-0092006D002D}" done="0">
    <text xml:space="preserve">23006/01 +1.812.000
23022/02 -617.845,43
23513/02 -45.254
23558/05 -20.971
23561/05 -13.463,31
23563/05 +2.100.000
23574/06 -63.727
</text>
  </threadedComment>
  <threadedComment ref="D821" personId="{2F5F6CE8-9486-26C6-27E6-277EBB6962AB}" id="{009600E5-00EF-42A9-B64C-004200F2002A}" done="0">
    <text xml:space="preserve">23546/04 
+152.880 +4.000
23558/05 +20.971
23561/05 +13.463,31
23574/06 +63.727
</text>
  </threadedComment>
  <threadedComment ref="D822" personId="{2F5F6CE8-9486-26C6-27E6-277EBB6962AB}" id="{009400E4-00E8-449E-AC57-00DE003F0096}" done="0">
    <text xml:space="preserve">23546/04 -4.000
</text>
  </threadedComment>
  <threadedComment ref="D825" personId="{2F5F6CE8-9486-26C6-27E6-277EBB6962AB}" id="{003F00C0-0056-4C12-8E7B-00D600F800C9}" done="0">
    <text xml:space="preserve">23532/03 +431.000
</text>
  </threadedComment>
  <threadedComment ref="D835" personId="{2F5F6CE8-9486-26C6-27E6-277EBB6962AB}" id="{00970074-00C0-476C-88F3-00FA005300C3}" done="0">
    <text xml:space="preserve">23024/02 -1.500.000
</text>
  </threadedComment>
  <threadedComment ref="D846" personId="{2F5F6CE8-9486-26C6-27E6-277EBB6962AB}" id="{003C00F2-007F-40A6-B4D4-009A00B600B3}" done="0">
    <text xml:space="preserve">23024/02  - 500.000 jung b2 (část z 1.200.00)
</text>
  </threadedComment>
  <threadedComment ref="D850" personId="{2F5F6CE8-9486-26C6-27E6-277EBB6962AB}" id="{008200F1-0007-40B8-B762-002300D000BF}" done="0">
    <text xml:space="preserve">23024/02  
-1.500.000 jung b1
- 500.000 jung b2 (část z 1.200.00)
</text>
  </threadedComment>
  <threadedComment ref="D863" personId="{2F5F6CE8-9486-26C6-27E6-277EBB6962AB}" id="{00E10051-008C-411D-B419-00CB00C700FF}" done="0">
    <text xml:space="preserve">23095/06 +13.073
</text>
  </threadedComment>
  <threadedComment ref="D89" personId="{2F5F6CE8-9486-26C6-27E6-277EBB6962AB}" id="{00BF00E2-00D3-4E0C-AB0D-005F004B00DF}" done="0">
    <text xml:space="preserve">23043/03 -7.381.538
</text>
  </threadedComment>
  <threadedComment ref="D892" personId="{2F5F6CE8-9486-26C6-27E6-277EBB6962AB}" id="{00BB006C-000D-45FC-A395-001B007C008A}" done="0">
    <text xml:space="preserve">23020/02 +330.000
</text>
  </threadedComment>
  <threadedComment ref="D898" personId="{2F5F6CE8-9486-26C6-27E6-277EBB6962AB}" id="{00960018-0009-4B97-AD0E-0018008F00DD}" done="0">
    <text xml:space="preserve">23024/02 -4.000.000
</text>
  </threadedComment>
  <threadedComment ref="D924" personId="{2F5F6CE8-9486-26C6-27E6-277EBB6962AB}" id="{004E00CF-00FA-496F-86AC-00A800E300D1}" done="0">
    <text xml:space="preserve">23020/02 -330.000
</text>
  </threadedComment>
  <threadedComment ref="D95" personId="{2F5F6CE8-9486-26C6-27E6-277EBB6962AB}" id="{008C0010-007C-4E02-9A39-009A002F0045}" done="0">
    <text xml:space="preserve">23083/06 +36.600
</text>
  </threadedComment>
  <threadedComment ref="D96" personId="{2F5F6CE8-9486-26C6-27E6-277EBB6962AB}" id="{001600B0-0029-4638-9E2C-00BC002B00F9}" done="0">
    <text xml:space="preserve">23083/06 
+144.589,67 osm
+12.000 od
</text>
  </threadedComment>
  <threadedComment ref="D957" personId="{2F5F6CE8-9486-26C6-27E6-277EBB6962AB}" id="{00A200E6-00C4-4ED1-8E76-00AC00C800B8}" done="0">
    <text xml:space="preserve">23545/04 +-1.500.000 org
</text>
  </threadedComment>
  <threadedComment ref="D984" personId="{2F5F6CE8-9486-26C6-27E6-277EBB6962AB}" id="{00CE0065-0060-4888-9F07-0091008E00A7}" done="0">
    <text xml:space="preserve">23089/06 -242.500
</text>
  </threadedComment>
  <threadedComment ref="D986" personId="{2F5F6CE8-9486-26C6-27E6-277EBB6962AB}" id="{0075001E-0030-4A7C-8232-001F00FF008F}" done="0">
    <text xml:space="preserve">23017/02
+15.614,79   0309
+57.246,53   0321
+130.295,27 0322
+210.485,42 0323
+444.697,21 0325
</text>
  </threadedComment>
  <threadedComment ref="D987" personId="{2F5F6CE8-9486-26C6-27E6-277EBB6962AB}" id="{00BC00AA-001A-4204-AE7C-006A00DB005B}" done="0">
    <text xml:space="preserve">23041/03 -285.281
</text>
  </threadedComment>
  <threadedComment ref="D988" personId="{2F5F6CE8-9486-26C6-27E6-277EBB6962AB}" id="{00C10056-00F2-4E1A-9AA9-000C005600E2}" done="0">
    <text xml:space="preserve">23041/03 -285.281
</text>
  </threadedComment>
  <threadedComment ref="D993" personId="{2F5F6CE8-9486-26C6-27E6-277EBB6962AB}" id="{00D700D7-003E-4647-9E5F-00D800E70080}" done="0">
    <text xml:space="preserve">23083/06 +50.000
</text>
  </threadedComment>
  <threadedComment ref="D995" personId="{2F5F6CE8-9486-26C6-27E6-277EBB6962AB}" id="{0082002E-0087-4B26-9F22-006900F6003D}" done="0">
    <text xml:space="preserve">23060/04 -10.050.300
</text>
  </threadedComment>
  <threadedComment ref="D996" personId="{2F5F6CE8-9486-26C6-27E6-277EBB6962AB}" id="{00940023-00C0-40B2-8B01-001600980062}" done="0">
    <text xml:space="preserve">23083/06 -3.000.000
</text>
  </threadedComment>
  <threadedComment ref="D998" personId="{2F5F6CE8-9486-26C6-27E6-277EBB6962AB}" id="{00A100F1-009E-4921-BFA3-0048002F0016}" done="0">
    <text xml:space="preserve">23016/02 +8.015
</text>
  </threadedComment>
  <threadedComment ref="D999" personId="{2F5F6CE8-9486-26C6-27E6-277EBB6962AB}" id="{004500A3-0081-4A08-930F-00AA00CA0085}" done="0">
    <text xml:space="preserve">23016/02 +33.210
</text>
  </threadedComment>
  <threadedComment ref="D1000" personId="{2F5F6CE8-9486-26C6-27E6-277EBB6962AB}" id="{00F60020-002D-4C94-8E48-00FF000C0078}" done="0">
    <text xml:space="preserve">23018/02 +221.800
</text>
  </threadedComment>
</ThreadedComments>
</file>

<file path=xl/threadedComments/threadedComment4.xml><?xml version="1.0" encoding="utf-8"?>
<ThreadedComments xmlns="http://schemas.microsoft.com/office/spreadsheetml/2018/threadedcomments" xmlns:x="http://schemas.openxmlformats.org/spreadsheetml/2006/main">
  <threadedComment ref="K11" personId="{2F5F6CE8-9486-26C6-27E6-277EBB6962AB}" id="{000C000D-0080-43F6-AB24-005D003600C6}" done="0">
    <text xml:space="preserve">ř.4240-4220
</text>
  </threadedComment>
  <threadedComment ref="D102" personId="{2F5F6CE8-9486-26C6-27E6-277EBB6962AB}" id="{00780071-002E-48F3-9F00-003C005500AF}" done="0">
    <text xml:space="preserve">23137/09 +65.755,68
</text>
  </threadedComment>
  <threadedComment ref="D103" personId="{2F5F6CE8-9486-26C6-27E6-277EBB6962AB}" id="{00150045-00E8-469D-A9E3-0044001C00F8}" done="0">
    <text xml:space="preserve">23126/08 +28.500
</text>
  </threadedComment>
  <threadedComment ref="D108" personId="{2F5F6CE8-9486-26C6-27E6-277EBB6962AB}" id="{0038007F-00D4-4C72-B3F2-00B4004400F4}" done="0">
    <text xml:space="preserve">23137/09 +65.069
</text>
  </threadedComment>
  <threadedComment ref="D110" personId="{2F5F6CE8-9486-26C6-27E6-277EBB6962AB}" id="{000B000E-00BD-4F5C-8E44-00B000DC000B}" done="0">
    <text xml:space="preserve">23017/02 
+ 91.051,59   0307
+159.661,95 0305
</text>
  </threadedComment>
  <threadedComment ref="K12" personId="{8DF53CA1-B0D4-78BB-20C5-B40BD0C91D2C}" id="{0070007D-004C-4F78-89CF-00DB004A0012}" done="0">
    <text xml:space="preserve">040 ř.4220
nebo celk výdaje - tř6
nebo
min Závěrečný propočet dle výkazu
</text>
  </threadedComment>
  <threadedComment ref="L12" personId="{2F5F6CE8-9486-26C6-27E6-277EBB6962AB}" id="{009E001B-00B6-4EAA-A5BF-007000C20068}" done="0">
    <text xml:space="preserve">ř.4220
</text>
  </threadedComment>
  <threadedComment ref="D111" personId="{2F5F6CE8-9486-26C6-27E6-277EBB6962AB}" id="{00AF00A4-00A6-46A4-9BE2-002700CF00FA}" done="0">
    <text xml:space="preserve">23017/02 +29.886,84
</text>
  </threadedComment>
  <threadedComment ref="D112" personId="{2F5F6CE8-9486-26C6-27E6-277EBB6962AB}" id="{002500E9-00BE-4C12-A036-00B000550082}" done="0">
    <text xml:space="preserve">23017/02 +305.600,85
</text>
  </threadedComment>
  <threadedComment ref="D113" personId="{2F5F6CE8-9486-26C6-27E6-277EBB6962AB}" id="{007900F2-00A8-4A10-8CEF-002A00C40009}" done="0">
    <text xml:space="preserve">23017/02 +151.277,28
</text>
  </threadedComment>
  <threadedComment ref="D114" personId="{2F5F6CE8-9486-26C6-27E6-277EBB6962AB}" id="{001300B2-009A-4918-A45E-007F0062006A}" done="0">
    <text xml:space="preserve">23038/03 +5.706.845,54
23126/08 -1.000.000
</text>
  </threadedComment>
  <threadedComment ref="D115" personId="{2F5F6CE8-9486-26C6-27E6-277EBB6962AB}" id="{000100BD-0024-407F-8669-007F00D9006A}" done="0">
    <text xml:space="preserve">23126/08 +1.457.025,42
</text>
  </threadedComment>
  <threadedComment ref="D116" personId="{2F5F6CE8-9486-26C6-27E6-277EBB6962AB}" id="{003500B0-00C8-4F2C-96DC-00DF006D0079}" done="0">
    <text xml:space="preserve">23083/06 +265.673,13
</text>
  </threadedComment>
  <threadedComment ref="D118" personId="{2F5F6CE8-9486-26C6-27E6-277EBB6962AB}" id="{00ED0016-00A8-4983-8A32-00B600DB008C}" done="0">
    <text xml:space="preserve">23083/06 
+5.360 +147.136
</text>
  </threadedComment>
  <threadedComment ref="D119" personId="{2F5F6CE8-9486-26C6-27E6-277EBB6962AB}" id="{00990036-00B3-4B2F-B070-00010095000B}" done="0">
    <text xml:space="preserve">23107/07 úz13014
+ 1.784,32 1201
+10.111,13 1205
</text>
  </threadedComment>
  <threadedComment ref="D120" personId="{2F5F6CE8-9486-26C6-27E6-277EBB6962AB}" id="{0053000E-0064-45DA-BF60-00A700B6008D}" done="0">
    <text xml:space="preserve">23016/02 +8.015
</text>
  </threadedComment>
  <threadedComment ref="K13" personId="{8DF53CA1-B0D4-78BB-20C5-B40BD0C91D2C}" id="{00420033-008F-4CB6-A162-00DE00ED00D2}" done="0">
    <text xml:space="preserve">040 ř.4240
nebo
min Závěrečný propočet
dle výkazu
</text>
  </threadedComment>
  <threadedComment ref="L13" personId="{2F5F6CE8-9486-26C6-27E6-277EBB6962AB}" id="{009D00DA-00F5-4E92-A4F5-00DF00E9006A}" done="0">
    <text xml:space="preserve">ř.4240-ř.4300-ř.4310
</text>
  </threadedComment>
  <threadedComment ref="D121" personId="{2F5F6CE8-9486-26C6-27E6-277EBB6962AB}" id="{001B0053-00F7-418E-98CC-00C000DB008A}" done="0">
    <text xml:space="preserve">23016/02 +33.210
</text>
  </threadedComment>
  <threadedComment ref="D122" personId="{2F5F6CE8-9486-26C6-27E6-277EBB6962AB}" id="{003100DA-0036-445F-ACFB-002800FB00AD}" done="0">
    <text xml:space="preserve">23050/04 +100.000
</text>
  </threadedComment>
  <threadedComment ref="D123" personId="{2F5F6CE8-9486-26C6-27E6-277EBB6962AB}" id="{00B1001C-0062-4047-AA1E-002F00B80023}" done="0">
    <text xml:space="preserve">23011/02 -+50.000
23031/02 -+50.000
23032/02 +5.000
</text>
  </threadedComment>
  <threadedComment ref="D124" personId="{2F5F6CE8-9486-26C6-27E6-277EBB6962AB}" id="{007B007B-0078-45F1-A7A5-009E00FB004C}" done="0">
    <text xml:space="preserve">23011/02 -+50.000
23031/02 -+50.000
23032/02 +5.000
</text>
  </threadedComment>
  <threadedComment ref="D125" personId="{2F5F6CE8-9486-26C6-27E6-277EBB6962AB}" id="{00DF00FD-0089-4432-8CEA-0035003B0053}" done="0">
    <text xml:space="preserve">23019/02 +59.931
23095/06 +206.193
23155/11 +35.583
23185/11 +4.011
</text>
  </threadedComment>
  <threadedComment ref="D127" personId="{2F5F6CE8-9486-26C6-27E6-277EBB6962AB}" id="{007F0015-0040-425B-9271-006600250084}" done="0">
    <text xml:space="preserve">23194.12 +901.049
</text>
  </threadedComment>
  <threadedComment ref="D131" personId="{2F5F6CE8-9486-26C6-27E6-277EBB6962AB}" id="{00F300F2-0074-4BA7-998B-0058004400F9}" done="0">
    <text xml:space="preserve">23194.12 -101.945,85
</text>
  </threadedComment>
  <threadedComment ref="D132" personId="{2F5F6CE8-9486-26C6-27E6-277EBB6962AB}" id="{005C00DC-004C-4609-9573-00D100900070}" done="0">
    <text xml:space="preserve">23194.12 -101.945,85
</text>
  </threadedComment>
  <threadedComment ref="D136" personId="{2F5F6CE8-9486-26C6-27E6-277EBB6962AB}" id="{001F0099-003C-459B-92B1-003E00120087}" done="0">
    <text xml:space="preserve">23126/08 +145.200
</text>
  </threadedComment>
  <threadedComment ref="D143" personId="{2F5F6CE8-9486-26C6-27E6-277EBB6962AB}" id="{0039003C-0017-4740-BD4E-000200000061}" done="0">
    <text xml:space="preserve">23013/02 +227.100
23028/02 +232.500
23042/03 +210.000
23064/04 +231.000
23076/05 +234.000
23092/06 +241.800
23106/07 +231.000
</text>
  </threadedComment>
  <threadedComment ref="D147" personId="{2F5F6CE8-9486-26C6-27E6-277EBB6962AB}" id="{007900F6-006C-4709-BDCB-007A0094005C}" done="0">
    <text xml:space="preserve">23194.12 +50.000
</text>
  </threadedComment>
  <threadedComment ref="D153" personId="{2F5F6CE8-9486-26C6-27E6-277EBB6962AB}" id="{009A0062-00B6-4D13-8784-00DA00C700FC}" done="0">
    <text xml:space="preserve">23080/06 -5.500.000
</text>
  </threadedComment>
  <threadedComment ref="D155" personId="{2F5F6CE8-9486-26C6-27E6-277EBB6962AB}" id="{003E0082-00EE-4DDC-BB1E-005400A000C8}" done="0">
    <text xml:space="preserve">23087/06 -7.500.000
</text>
  </threadedComment>
  <threadedComment ref="D156" personId="{2F5F6CE8-9486-26C6-27E6-277EBB6962AB}" id="{00F80068-0037-4B9C-BACD-00FB008500EE}" done="0">
    <text xml:space="preserve">23062/04 -1.144.538
</text>
  </threadedComment>
  <threadedComment ref="D165" personId="{2F5F6CE8-9486-26C6-27E6-277EBB6962AB}" id="{004A004D-00F1-444E-A983-00FB00E200CB}" done="0">
    <text xml:space="preserve">23194.12 -4.081.000
</text>
  </threadedComment>
  <threadedComment ref="D166" personId="{2F5F6CE8-9486-26C6-27E6-277EBB6962AB}" id="{00A60066-00B2-46DE-9B10-0050002700B8}" done="0">
    <text xml:space="preserve">23194.12 -5.103.000
</text>
  </threadedComment>
  <threadedComment ref="D167" personId="{2F5F6CE8-9486-26C6-27E6-277EBB6962AB}" id="{0096006D-008C-46A8-B82F-000A00BA0052}" done="0">
    <text xml:space="preserve">23194.12 -4.200.000
</text>
  </threadedComment>
  <threadedComment ref="D168" personId="{2F5F6CE8-9486-26C6-27E6-277EBB6962AB}" id="{006A00A6-002D-449F-895B-00C500680011}" done="0">
    <text xml:space="preserve">23121/08 +121.111
</text>
  </threadedComment>
  <threadedComment ref="D171" personId="{2F5F6CE8-9486-26C6-27E6-277EBB6962AB}" id="{004C00A7-008C-4793-AF00-003F00A2000F}" done="0">
    <text xml:space="preserve">23147/10 +500.000
23196/12 -100.000
</text>
  </threadedComment>
  <threadedComment ref="D173" personId="{2F5F6CE8-9486-26C6-27E6-277EBB6962AB}" id="{00FC0038-007D-46A9-B431-001700F700B4}" done="0">
    <text xml:space="preserve">23126/08 -2.200.000
</text>
  </threadedComment>
  <threadedComment ref="D174" personId="{2F5F6CE8-9486-26C6-27E6-277EBB6962AB}" id="{00E00077-0098-49CF-8824-002B00420038}" done="0">
    <text xml:space="preserve">23133/09 -1.200.000
</text>
  </threadedComment>
  <threadedComment ref="D178" personId="{2F5F6CE8-9486-26C6-27E6-277EBB6962AB}" id="{00780009-0035-4069-AD02-008E003C0000}" done="0">
    <text xml:space="preserve">23014/02 +864.200
</text>
  </threadedComment>
  <threadedComment ref="D179" personId="{2F5F6CE8-9486-26C6-27E6-277EBB6962AB}" id="{008900B6-007C-41D5-B68C-00D5004800D7}" done="0">
    <text xml:space="preserve">23063/04 +3.705,41
</text>
  </threadedComment>
  <threadedComment ref="D180" personId="{2F5F6CE8-9486-26C6-27E6-277EBB6962AB}" id="{00830019-0053-454B-BA8C-001B00CE0074}" done="0">
    <text xml:space="preserve">23005/01 +2.499.800
</text>
  </threadedComment>
  <threadedComment ref="D182" personId="{2F5F6CE8-9486-26C6-27E6-277EBB6962AB}" id="{00DC0045-00DB-41DC-A577-006400440096}" done="0">
    <text xml:space="preserve">23116/08 + úz 13013
+ 59.357,27 (1041)
+504.536,84 (1045)
</text>
  </threadedComment>
  <threadedComment ref="D183" personId="{2F5F6CE8-9486-26C6-27E6-277EBB6962AB}" id="{00E000F8-0085-4109-B4BF-007B00D40017}" done="0">
    <text xml:space="preserve">23062/04 +1.059.598
</text>
  </threadedComment>
  <threadedComment ref="D184" personId="{2F5F6CE8-9486-26C6-27E6-277EBB6962AB}" id="{00BD002B-0001-4449-9F43-004A00CD00CD}" done="0">
    <text xml:space="preserve">23087/06 +8.304.000
</text>
  </threadedComment>
  <threadedComment ref="D185" personId="{2F5F6CE8-9486-26C6-27E6-277EBB6962AB}" id="{0030009E-00F4-429A-9137-00DB004600CF}" done="0">
    <text xml:space="preserve">23152/11 +114.563,55
</text>
  </threadedComment>
  <threadedComment ref="D186" personId="{2F5F6CE8-9486-26C6-27E6-277EBB6962AB}" id="{00F400F2-00DA-45DD-872B-009500020039}" done="0">
    <text xml:space="preserve">23046/03
+    635,25 17015 1071
+12.705     17015 1075 
</text>
  </threadedComment>
  <threadedComment ref="D187" personId="{2F5F6CE8-9486-26C6-27E6-277EBB6962AB}" id="{00C00097-006C-43F2-BF01-0074006D00AE}" done="0">
    <text xml:space="preserve">23047/03
+ 635,25  17015 107 1
+12.705  17016 107 5
</text>
  </threadedComment>
  <threadedComment ref="D188" personId="{2F5F6CE8-9486-26C6-27E6-277EBB6962AB}" id="{00B20040-008E-45E3-AE25-006200E20039}" done="0">
    <text xml:space="preserve">23174/11
+ 2.117,50  17015 107 1
+35.997,50  17016 107 5
</text>
  </threadedComment>
  <threadedComment ref="D189" personId="{2F5F6CE8-9486-26C6-27E6-277EBB6962AB}" id="{0048009E-006A-4F0F-AA9E-00CC001B00D4}" done="0">
    <text xml:space="preserve">23057/04 +14.200
</text>
  </threadedComment>
  <threadedComment ref="D190" personId="{2F5F6CE8-9486-26C6-27E6-277EBB6962AB}" id="{00BC003D-0050-470E-B3EB-005E0033006C}" done="0">
    <text xml:space="preserve">23057/04 +35.205
23194.12 -108.238 úz29031 1705
</text>
  </threadedComment>
  <threadedComment ref="D191" personId="{B5FD8596-77AF-ADAD-A15D-964B5815616B}" id="{00560070-000B-4E1D-AB25-007400B100BD}" done="0">
    <text xml:space="preserve">23015/02 úz33092 
+ +949.089,62 1431
+3.130.384,38 1435
</text>
  </threadedComment>
  <threadedComment ref="D192" personId="{B5FD8596-77AF-ADAD-A15D-964B5815616B}" id="{00350082-0019-4B60-A997-00D900D200ED}" done="0">
    <text xml:space="preserve">23015/02 úz33092 
+1.005.316,48 1431
+3.315.837,52 1435
</text>
  </threadedComment>
  <threadedComment ref="D193" personId="{B5FD8596-77AF-ADAD-A15D-964B5815616B}" id="{0026008C-0042-49B9-AF45-00A3004F0034}" done="0">
    <text xml:space="preserve">23058/04 úz33092 
+ 519.876,20 1431
+1.714.708,80 1435
</text>
  </threadedComment>
  <threadedComment ref="D194" personId="{B5FD8596-77AF-ADAD-A15D-964B5815616B}" id="{00F70040-00AD-473A-8DD2-006F00EA0075}" done="0">
    <text xml:space="preserve">23093/06 úz33092 
+ 551.883,72 1431
+1.820.279,28 1435
</text>
  </threadedComment>
  <threadedComment ref="D195" personId="{2F5F6CE8-9486-26C6-27E6-277EBB6962AB}" id="{00AD00D2-0017-49BF-88F0-00A700B4005E}" done="0">
    <text xml:space="preserve">23096/06 +100.000
</text>
  </threadedComment>
  <threadedComment ref="D196" personId="{2F5F6CE8-9486-26C6-27E6-277EBB6962AB}" id="{00F8007F-0000-4CC4-A327-007D00AB00EA}" done="0">
    <text xml:space="preserve">23131/09 
+775.000 -500.000
</text>
  </threadedComment>
  <threadedComment ref="D198" personId="{2F5F6CE8-9486-26C6-27E6-277EBB6962AB}" id="{00DA002E-00C8-4C65-95BD-003C0023004F}" done="0">
    <text xml:space="preserve">23137/09 +67.500
</text>
  </threadedComment>
  <threadedComment ref="D199" personId="{2F5F6CE8-9486-26C6-27E6-277EBB6962AB}" id="{00A900E3-009E-4B4B-BF55-005E009E00B2}" done="0">
    <text xml:space="preserve">23194.12 -204
</text>
  </threadedComment>
  <threadedComment ref="D200" personId="{2F5F6CE8-9486-26C6-27E6-277EBB6962AB}" id="{008C00BE-00F8-49A2-9849-0025008B0052}" done="0">
    <text xml:space="preserve">23194.12 -75.889
</text>
  </threadedComment>
  <threadedComment ref="D202" personId="{2F5F6CE8-9486-26C6-27E6-277EBB6962AB}" id="{008B0060-0056-423C-86A0-00D7003C00A3}" done="0">
    <text xml:space="preserve">23039/03 org z 541 na 029
</text>
  </threadedComment>
  <threadedComment ref="D203" personId="{2F5F6CE8-9486-26C6-27E6-277EBB6962AB}" id="{001600B9-00C2-4E64-A6C0-0093009C0079}" done="0">
    <text xml:space="preserve">23137/09 
+230.505 -100.000
23194.12 +76.835
</text>
  </threadedComment>
  <threadedComment ref="D206" personId="{2F5F6CE8-9486-26C6-27E6-277EBB6962AB}" id="{00070054-00E6-4BB5-804D-000200170060}" done="0">
    <text xml:space="preserve">23157/11 
+ 4.900 úz 253 SR
+44.100 úz 911 EU
</text>
  </threadedComment>
  <threadedComment ref="D207" personId="{2F5F6CE8-9486-26C6-27E6-277EBB6962AB}" id="{001500A0-00D7-4C72-BDBA-0018007A0071}" done="0">
    <text xml:space="preserve">23158/11 
+ 7.519 úz 253 SR
+67.671 úz 911 EU
</text>
  </threadedComment>
  <threadedComment ref="D208" personId="{2F5F6CE8-9486-26C6-27E6-277EBB6962AB}" id="{004700DA-00DE-40CD-B978-007D00770013}" done="0">
    <text xml:space="preserve">23159/11 
+ 6.798 úz 253 SR
+61.182 úz 911 EU
</text>
  </threadedComment>
  <threadedComment ref="D209" personId="{2F5F6CE8-9486-26C6-27E6-277EBB6962AB}" id="{008F00F5-00DE-492F-AE7E-0025006D007A}" done="0">
    <text xml:space="preserve">23001/01 +4.551.000
</text>
  </threadedComment>
  <threadedComment ref="D210" personId="{2F5F6CE8-9486-26C6-27E6-277EBB6962AB}" id="{004F00B1-008F-4DDE-88C1-003A00F800F5}" done="0">
    <text xml:space="preserve">23056/04 +80.000
</text>
  </threadedComment>
  <threadedComment ref="D211" personId="{2F5F6CE8-9486-26C6-27E6-277EBB6962AB}" id="{00B40090-0002-48A1-BF85-006200CA0009}" done="0">
    <text xml:space="preserve">23055/04 +50.000
</text>
  </threadedComment>
  <threadedComment ref="D212" personId="{2F5F6CE8-9486-26C6-27E6-277EBB6962AB}" id="{0066008E-00DD-4FEC-B24E-0003000E0079}" done="0">
    <text xml:space="preserve">23027/02 +9.234 (z 4222)
</text>
  </threadedComment>
  <threadedComment ref="D213" personId="{2F5F6CE8-9486-26C6-27E6-277EBB6962AB}" id="{00870009-003B-4492-9DCE-004500B3004A}" done="0">
    <text xml:space="preserve">23059/04 +210.000
</text>
  </threadedComment>
  <threadedComment ref="D214" personId="{2F5F6CE8-9486-26C6-27E6-277EBB6962AB}" id="{00DC0060-00E3-46D3-BF24-003200440033}" done="0">
    <text xml:space="preserve">23194.12 +45.000
</text>
  </threadedComment>
  <threadedComment ref="D215" personId="{2F5F6CE8-9486-26C6-27E6-277EBB6962AB}" id="{003E0002-00E7-4FC5-ACF9-005700C200AD}" done="0">
    <text xml:space="preserve">23102/07 +170.400
23177/11 -28.290
</text>
  </threadedComment>
  <threadedComment ref="D216" personId="{2F5F6CE8-9486-26C6-27E6-277EBB6962AB}" id="{002D0048-0013-44E2-8540-0085000500F5}" done="0">
    <text xml:space="preserve">23086/06 úz 913, 120 1,5
+ 4.752,88 (0321, 1201)
+26.932,97 (0321, 1205)
+ 1.806,05 (0322, 1201)
+10.234,30 (0322, 1205)
+ 5.713,08 (0323, 1201)
+32.374,08 (0323, 1205)
23107/07 úz 913
- 1.607,13 (0321 1205)
- 9.107,07 (0321 1205)
- 1.051,79 (0322 1201)
- 5.960,11 (0322 1205)
-   177,66  (0323 1201)
- 1.006,74 (0320 1205)
</text>
  </threadedComment>
  <threadedComment ref="D217" personId="{2F5F6CE8-9486-26C6-27E6-277EBB6962AB}" id="{00FB00E0-00B0-49C8-9E39-00A7008D00C7}" done="0">
    <text xml:space="preserve">23054/04 + 5.960.000
</text>
  </threadedComment>
  <threadedComment ref="D218" personId="{2F5F6CE8-9486-26C6-27E6-277EBB6962AB}" id="{00A300A3-006C-4DF6-9F23-000C001200F4}" done="0">
    <text xml:space="preserve">23082/06-94.000
</text>
  </threadedComment>
  <threadedComment ref="D220" personId="{2F5F6CE8-9486-26C6-27E6-277EBB6962AB}" id="{00D70032-00F4-49E2-A0AA-00F200FA002F}" done="0">
    <text xml:space="preserve">23174/11 -1.400.000
23189/11 +2.180.699,34
</text>
  </threadedComment>
  <threadedComment ref="D222" personId="{2F5F6CE8-9486-26C6-27E6-277EBB6962AB}" id="{00920009-0001-45CB-AAF5-00B900B800FA}" done="0">
    <text xml:space="preserve">23116/08 -500.000
</text>
  </threadedComment>
  <threadedComment ref="D223" personId="{2F5F6CE8-9486-26C6-27E6-277EBB6962AB}" id="{00550052-00CC-4861-B0B1-00EB00B0008E}" done="0">
    <text xml:space="preserve">23133/09 +1.200.000
</text>
  </threadedComment>
  <threadedComment ref="D224" personId="{2F5F6CE8-9486-26C6-27E6-277EBB6962AB}" id="{00FA0078-00C0-44CB-BF6D-001D005F00DE}" done="0">
    <text xml:space="preserve">23046/03 -4.250.000
+   205.587,45 17968 1071
+4.111.749,01  17969 1075 
</text>
  </threadedComment>
  <threadedComment ref="D225" personId="{2F5F6CE8-9486-26C6-27E6-277EBB6962AB}" id="{00580074-0021-4D5E-B50F-00EE006A00BB}" done="0">
    <text xml:space="preserve">23047/03 
-4.800.000 17969 1075
+ 239.760,30 17968 107 1
+4.795.207,68 17969 107 5
</text>
  </threadedComment>
  <threadedComment ref="D226" personId="{2F5F6CE8-9486-26C6-27E6-277EBB6962AB}" id="{00BD0037-003E-422E-9BF3-0035002D00D9}" done="0">
    <text xml:space="preserve">23174/11
+    93.385,85 17968 107 1
+1.587.559,45 17969 107 5
</text>
  </threadedComment>
  <threadedComment ref="D227" personId="{2F5F6CE8-9486-26C6-27E6-277EBB6962AB}" id="{00CD00A5-0066-42EE-872D-0014002200EF}" done="0">
    <text xml:space="preserve">23194.12 -2.869.843,80
</text>
  </threadedComment>
  <threadedComment ref="D229" personId="{2F5F6CE8-9486-26C6-27E6-277EBB6962AB}" id="{003E008B-0019-4B83-A341-00A100C200C5}" done="0">
    <text xml:space="preserve">23055/04 +150.000
</text>
  </threadedComment>
  <threadedComment ref="D230" personId="{2F5F6CE8-9486-26C6-27E6-277EBB6962AB}" id="{0074003A-004F-479B-831E-00DB007A0083}" done="0">
    <text xml:space="preserve">23088/06 +22.018
</text>
  </threadedComment>
  <threadedComment ref="D231" personId="{2F5F6CE8-9486-26C6-27E6-277EBB6962AB}" id="{009D0068-004F-41AE-AEA1-0018006F007D}" done="0">
    <text xml:space="preserve">23027/02 
zm úz z 720 na 711,
-9.234 (na 4122)
</text>
  </threadedComment>
  <threadedComment ref="D232" personId="{2F5F6CE8-9486-26C6-27E6-277EBB6962AB}" id="{00A8002D-0092-40E3-9261-00ED007C0072}" done="0">
    <text xml:space="preserve">23194.12 -287.980
</text>
  </threadedComment>
  <threadedComment ref="D248" personId="{2F5F6CE8-9486-26C6-27E6-277EBB6962AB}" id="{006C0016-00C5-4DE8-8451-003900CF0055}" done="0">
    <text xml:space="preserve">23571/06 -13.240
</text>
  </threadedComment>
  <threadedComment ref="D249" personId="{2F5F6CE8-9486-26C6-27E6-277EBB6962AB}" id="{00BD004E-0088-4F40-B1E3-004E00F1003F}" done="0">
    <text xml:space="preserve">23625/10 +58.821
</text>
  </threadedComment>
  <threadedComment ref="D250" personId="{2F5F6CE8-9486-26C6-27E6-277EBB6962AB}" id="{00280043-00D1-40B6-82C1-0069006600F8}" done="0">
    <text xml:space="preserve">23625/10 -58.821
</text>
  </threadedComment>
  <threadedComment ref="D251" personId="{2F5F6CE8-9486-26C6-27E6-277EBB6962AB}" id="{001700D9-00B6-4CC2-8F98-00880030004E}" done="0">
    <text xml:space="preserve">23571/06 +13.240
</text>
  </threadedComment>
  <threadedComment ref="D253" personId="{2F5F6CE8-9486-26C6-27E6-277EBB6962AB}" id="{001700D9-0005-40D8-BAF1-00EF00130085}" done="0">
    <text xml:space="preserve">23180/11 +70.000
</text>
  </threadedComment>
  <threadedComment ref="D254" personId="{2F5F6CE8-9486-26C6-27E6-277EBB6962AB}" id="{00A800F4-003F-42B0-B433-00F1002700F6}" done="0">
    <text xml:space="preserve">23089/06 +242.676
23602/08 +100.000
</text>
  </threadedComment>
  <threadedComment ref="D255" personId="{2F5F6CE8-9486-26C6-27E6-277EBB6962AB}" id="{007D0083-0091-442F-92A4-004E005D00A5}" done="0">
    <text xml:space="preserve">23602/08 -100.000
</text>
  </threadedComment>
  <threadedComment ref="D259" personId="{2F5F6CE8-9486-26C6-27E6-277EBB6962AB}" id="{0047009B-0087-4BC2-8883-00AE000C00C1}" done="0">
    <text xml:space="preserve">23180/11 -70.000
</text>
  </threadedComment>
  <threadedComment ref="D263" personId="{2F5F6CE8-9486-26C6-27E6-277EBB6962AB}" id="{00860089-008E-4190-B5AA-00B4008A009A}" done="0">
    <text xml:space="preserve">23173/11 -30.000
</text>
  </threadedComment>
  <threadedComment ref="D264" personId="{2F5F6CE8-9486-26C6-27E6-277EBB6962AB}" id="{005F000D-00B2-42B9-BB8F-00BD007A00B5}" done="0">
    <text xml:space="preserve">23173/11 -10.637.000
</text>
  </threadedComment>
  <threadedComment ref="D265" personId="{2F5F6CE8-9486-26C6-27E6-277EBB6962AB}" id="{00AD00BB-003E-4CEC-A592-00BA005B000F}" done="0">
    <text xml:space="preserve">23173/11 -26.810
</text>
  </threadedComment>
  <threadedComment ref="D266" personId="{2F5F6CE8-9486-26C6-27E6-277EBB6962AB}" id="{008B0053-00CC-40F1-8DA4-00310069004A}" done="0">
    <text xml:space="preserve">23171/11 +300.000
</text>
  </threadedComment>
  <threadedComment ref="D267" personId="{2F5F6CE8-9486-26C6-27E6-277EBB6962AB}" id="{004B006D-0087-4F95-84FE-00FE00070056}" done="0">
    <text xml:space="preserve">23171/11 -100.000
23195/12 -1.600.000
</text>
  </threadedComment>
  <threadedComment ref="D268" personId="{2F5F6CE8-9486-26C6-27E6-277EBB6962AB}" id="{00EC001A-00BE-4DDC-A698-00B0002A0002}" done="0">
    <text xml:space="preserve">23095/06 +61.673
23148/10 -100.000
23190/12 -125.000
</text>
  </threadedComment>
  <threadedComment ref="D269" personId="{2F5F6CE8-9486-26C6-27E6-277EBB6962AB}" id="{005D00B3-00E6-4413-9910-002A00D50019}" done="0">
    <text xml:space="preserve">23590/07 +500.000
23119/08 +300.000
23635/10 +3j00.000
</text>
  </threadedComment>
  <threadedComment ref="D270" personId="{2F5F6CE8-9486-26C6-27E6-277EBB6962AB}" id="{000700CC-00BC-41B0-B184-006900E4004F}" done="0">
    <text xml:space="preserve">23590/07 -500.000
23635/10 -300.000
23636/10 -550.000
</text>
  </threadedComment>
  <threadedComment ref="D271" personId="{2F5F6CE8-9486-26C6-27E6-277EBB6962AB}" id="{005300A4-005A-4D51-BDDD-00ED00CA00C3}" done="0">
    <text xml:space="preserve">23636/10 +550.000
</text>
  </threadedComment>
  <threadedComment ref="D275" personId="{2F5F6CE8-9486-26C6-27E6-277EBB6962AB}" id="{002C004D-0029-4A12-8B34-000F00540085}" done="0">
    <text xml:space="preserve">23049/03 -700.000
23624/10 +3.000
</text>
  </threadedComment>
  <threadedComment ref="D278" personId="{2F5F6CE8-9486-26C6-27E6-277EBB6962AB}" id="{00AD006E-00E5-485E-BE66-0032007800FE}" done="0">
    <text xml:space="preserve">23624/10 -3.000
</text>
  </threadedComment>
  <threadedComment ref="D279" personId="{2F5F6CE8-9486-26C6-27E6-277EBB6962AB}" id="{00570081-00BA-4793-AF09-00EE00D700CA}" done="0">
    <text xml:space="preserve">23671/12 +114.240
</text>
  </threadedComment>
  <threadedComment ref="D280" personId="{2F5F6CE8-9486-26C6-27E6-277EBB6962AB}" id="{004E0029-0054-48C9-9F82-00B0006F0084}" done="0">
    <text xml:space="preserve">23120/08 -76.104,43
23124/08 -103.109,69
23134/09 +76.104,43
23148/10 +100.000
23190/12 +125.000
23671/12 -114.240
</text>
  </threadedComment>
  <threadedComment ref="D283" personId="{2F5F6CE8-9486-26C6-27E6-277EBB6962AB}" id="{006000E7-00FD-4161-9336-00B0003800A8}" done="0">
    <text xml:space="preserve">23508/02 +29.498,59
</text>
  </threadedComment>
  <threadedComment ref="D284" personId="{2F5F6CE8-9486-26C6-27E6-277EBB6962AB}" id="{00C80081-00E0-42FE-9055-007100190075}" done="0">
    <text xml:space="preserve">23508/02 -29.498,59
</text>
  </threadedComment>
  <threadedComment ref="D285" personId="{2F5F6CE8-9486-26C6-27E6-277EBB6962AB}" id="{00AD00A2-00C4-4629-8B18-0043006F00B7}" done="0">
    <text xml:space="preserve">23095/06 +1.124
</text>
  </threadedComment>
  <threadedComment ref="D291" personId="{2F5F6CE8-9486-26C6-27E6-277EBB6962AB}" id="{004E004B-00AB-46A6-A5CC-008200520033}" done="0">
    <text xml:space="preserve">23633/10 -8.000
23651/11 +15.000
</text>
  </threadedComment>
  <threadedComment ref="D293" personId="{2F5F6CE8-9486-26C6-27E6-277EBB6962AB}" id="{006E00A5-00F0-4FF9-9192-000900FB00E3}" done="0">
    <text xml:space="preserve">23651/11 -15.000
</text>
  </threadedComment>
  <threadedComment ref="D294" personId="{2F5F6CE8-9486-26C6-27E6-277EBB6962AB}" id="{00AE00D0-00C3-4CF6-9759-004200160009}" done="0">
    <text xml:space="preserve">23633/10 +8.000
</text>
  </threadedComment>
  <threadedComment ref="D302" personId="{2F5F6CE8-9486-26C6-27E6-277EBB6962AB}" id="{000B0008-009B-49D8-8DC5-00F900130032}" done="0">
    <text xml:space="preserve">23091/06 +274.029,69
23097/06 +220.000 
(a 23115/08)
</text>
  </threadedComment>
  <threadedComment ref="D303" personId="{2F5F6CE8-9486-26C6-27E6-277EBB6962AB}" id="{001900E1-0054-4436-88C3-0008008A00ED}" done="0">
    <text xml:space="preserve">23132/09 +200.000
</text>
  </threadedComment>
  <threadedComment ref="D305" personId="{2F5F6CE8-9486-26C6-27E6-277EBB6962AB}" id="{00E500B7-0003-48DB-9E8C-005E00EB004F}" done="0">
    <text xml:space="preserve">23123/08 +146.890,31
23124/08 +103.109,69
</text>
  </threadedComment>
  <threadedComment ref="D306" personId="{2F5F6CE8-9486-26C6-27E6-277EBB6962AB}" id="{00EE00BE-00BD-4CBC-BE63-00ED00F9001A}" done="0">
    <text xml:space="preserve">23553/05 -179.080
23091/06 -274.029,69
23123/08 -146.890,31
</text>
  </threadedComment>
  <threadedComment ref="D309" personId="{2F5F6CE8-9486-26C6-27E6-277EBB6962AB}" id="{003F00B4-0051-4A52-A773-004900B700D1}" done="0">
    <text xml:space="preserve">23553/05 +179.080
</text>
  </threadedComment>
  <threadedComment ref="D310" personId="{2F5F6CE8-9486-26C6-27E6-277EBB6962AB}" id="{0060002B-00B4-4511-8B9D-00D200BD00DB}" done="0">
    <text xml:space="preserve">23051/04 +100.000 houpačka Kojetín part.rozp
</text>
  </threadedComment>
  <threadedComment ref="D312" personId="{2F5F6CE8-9486-26C6-27E6-277EBB6962AB}" id="{00A7005F-0060-468D-B921-00A90089009F}" done="0">
    <text xml:space="preserve">23171/11 -48.744
</text>
  </threadedComment>
  <threadedComment ref="D317" personId="{2F5F6CE8-9486-26C6-27E6-277EBB6962AB}" id="{00DB0003-0076-440A-83B7-00B7004C0059}" done="0">
    <text xml:space="preserve">23025/02 -43.923
</text>
  </threadedComment>
  <threadedComment ref="D319" personId="{2F5F6CE8-9486-26C6-27E6-277EBB6962AB}" id="{007800BF-0038-4B9D-8BE8-0084004C002D}" done="0">
    <text xml:space="preserve">23184/11 -300.000
</text>
  </threadedComment>
  <threadedComment ref="D321" personId="{2F5F6CE8-9486-26C6-27E6-277EBB6962AB}" id="{00E50067-00B5-4C46-BFE4-008A009200F5}" done="0">
    <text xml:space="preserve">23171/11 -350.000
</text>
  </threadedComment>
  <threadedComment ref="D324" personId="{2F5F6CE8-9486-26C6-27E6-277EBB6962AB}" id="{00C90072-00BF-4670-AB33-005F0010003E}" done="0">
    <text xml:space="preserve">23095/06 +1.858
</text>
  </threadedComment>
  <threadedComment ref="D327" personId="{2F5F6CE8-9486-26C6-27E6-277EBB6962AB}" id="{00CD00F0-00E1-4AA0-8449-00DE002A000B}" done="0">
    <text xml:space="preserve">23514/02 +70.301
</text>
  </threadedComment>
  <threadedComment ref="D328" personId="{2F5F6CE8-9486-26C6-27E6-277EBB6962AB}" id="{00A20042-000D-44AD-A30C-004D0074002D}" done="0">
    <text xml:space="preserve">23514/02 +26257
</text>
  </threadedComment>
  <threadedComment ref="D329" personId="{2F5F6CE8-9486-26C6-27E6-277EBB6962AB}" id="{00C000CA-0010-4481-9D4E-00A900CC009F}" done="0">
    <text xml:space="preserve">23184/11
</text>
  </threadedComment>
  <threadedComment ref="D331" personId="{2F5F6CE8-9486-26C6-27E6-277EBB6962AB}" id="{00F40059-00FE-46E8-B53A-008B00290020}" done="0">
    <text xml:space="preserve">23514/02 -124.482
23184/11 -400.000
</text>
  </threadedComment>
  <threadedComment ref="D332" personId="{2F5F6CE8-9486-26C6-27E6-277EBB6962AB}" id="{00450095-00FA-4918-BE66-000900370028}" done="0">
    <text xml:space="preserve">23514/02 +27.924
</text>
  </threadedComment>
  <threadedComment ref="D334" personId="{2F5F6CE8-9486-26C6-27E6-277EBB6962AB}" id="{008F00BE-0051-40F0-AB63-000F00E3006E}" done="0">
    <text xml:space="preserve">23184/11 -900.000
</text>
  </threadedComment>
  <threadedComment ref="D337" personId="{2F5F6CE8-9486-26C6-27E6-277EBB6962AB}" id="{0097005F-003E-4A77-9694-00740067001E}" done="0">
    <text xml:space="preserve">23008/01 +33.698
23173/11 -370.088
</text>
  </threadedComment>
  <threadedComment ref="D338" personId="{2F5F6CE8-9486-26C6-27E6-277EBB6962AB}" id="{00110044-0080-4AE9-82E7-002700EB0067}" done="0">
    <text xml:space="preserve">23171/11 -600.000
</text>
  </threadedComment>
  <threadedComment ref="D339" personId="{2F5F6CE8-9486-26C6-27E6-277EBB6962AB}" id="{00B60014-006E-4247-9A71-00D9004D00B7}" done="0">
    <text xml:space="preserve">23171/11 -10.163
</text>
  </threadedComment>
  <threadedComment ref="D347" personId="{2F5F6CE8-9486-26C6-27E6-277EBB6962AB}" id="{009200D0-008F-4774-83BD-00D100230051}" done="0"/>
  <threadedComment ref="D348" personId="{2F5F6CE8-9486-26C6-27E6-277EBB6962AB}" id="{00EA0004-0091-4782-AC75-0032004400F6}" done="0">
    <text xml:space="preserve">23095/06 +29.008
23132/09 +200.000
(part.rozp. lavičky Hückelovy vily)
</text>
  </threadedComment>
  <threadedComment ref="D353" personId="{2F5F6CE8-9486-26C6-27E6-277EBB6962AB}" id="{00620076-007E-4DAB-9A17-003A002B007C}" done="0">
    <text xml:space="preserve">23098/07 -1.000.000
</text>
  </threadedComment>
  <threadedComment ref="D355" personId="{2F5F6CE8-9486-26C6-27E6-277EBB6962AB}" id="{000F00C9-0045-4CBE-B043-0031004F00CB}" done="0">
    <text xml:space="preserve">23098/07 -1.000.000
23138/10 -100.000
23140/10 -400.000
</text>
  </threadedComment>
  <threadedComment ref="D356" personId="{2F5F6CE8-9486-26C6-27E6-277EBB6962AB}" id="{0020006F-0021-4D2A-81DB-0051009A0068}" done="0">
    <text xml:space="preserve">23098/07 -1.000.000
</text>
  </threadedComment>
  <threadedComment ref="D357" personId="{2F5F6CE8-9486-26C6-27E6-277EBB6962AB}" id="{00AF00D2-0092-4F33-A04E-008E00A10066}" done="0">
    <text xml:space="preserve">23138/10 -200.000
</text>
  </threadedComment>
  <threadedComment ref="D358" personId="{2F5F6CE8-9486-26C6-27E6-277EBB6962AB}" id="{005600CC-008B-458A-A57D-0015000C00BE}" done="0">
    <text xml:space="preserve">23098/07 -280.000
23594/07 +10.000
</text>
  </threadedComment>
  <threadedComment ref="D359" personId="{2F5F6CE8-9486-26C6-27E6-277EBB6962AB}" id="{00AB00A8-0032-4343-BFED-006900FD00DB}" done="0">
    <text xml:space="preserve">23594/07 -10.000
</text>
  </threadedComment>
  <threadedComment ref="D364" personId="{2F5F6CE8-9486-26C6-27E6-277EBB6962AB}" id="{00810017-00F8-4E1B-9389-008800F900CC}" done="0">
    <text xml:space="preserve">23520/02 -13.500
23049/03 
+700.000 +1.250.000
23138/10 -1.800.000
</text>
  </threadedComment>
  <threadedComment ref="D368" personId="{2F5F6CE8-9486-26C6-27E6-277EBB6962AB}" id="{00F5007C-003C-4137-B41D-006900A50099}" done="0">
    <text xml:space="preserve">23520/02 +13.500
</text>
  </threadedComment>
  <threadedComment ref="D369" personId="{2F5F6CE8-9486-26C6-27E6-277EBB6962AB}" id="{00F70029-002B-441C-ACEE-005F00910048}" done="0">
    <text xml:space="preserve">23569/06 +200.000
</text>
  </threadedComment>
  <threadedComment ref="D38" personId="{2F5F6CE8-9486-26C6-27E6-277EBB6962AB}" id="{00900017-0039-41C4-9F1E-009000920028}" done="0">
    <text xml:space="preserve">23060/04 -10.050.300
</text>
  </threadedComment>
  <threadedComment ref="D371" personId="{2F5F6CE8-9486-26C6-27E6-277EBB6962AB}" id="{003100CE-009E-4C97-B886-0087009F0032}" done="0">
    <text xml:space="preserve">23569/06 -200.000
23138/10 -2.000.000
</text>
  </threadedComment>
  <threadedComment ref="D372" personId="{2F5F6CE8-9486-26C6-27E6-277EBB6962AB}" id="{00BC0070-0079-4B74-8F2F-00FD00380043}" done="0">
    <text xml:space="preserve">23138/10 -500.000
</text>
  </threadedComment>
  <threadedComment ref="D373" personId="{2F5F6CE8-9486-26C6-27E6-277EBB6962AB}" id="{0022001E-00B8-45FA-A245-008F00CF000A}" done="0">
    <text xml:space="preserve">23049/03 +500.000
23138/10 -450.000
</text>
  </threadedComment>
  <threadedComment ref="D374" personId="{2F5F6CE8-9486-26C6-27E6-277EBB6962AB}" id="{001A009F-00A5-47E8-884E-008E00AF004A}" done="0">
    <text xml:space="preserve">23138/10 -230.000
23677/12 +70.000
</text>
  </threadedComment>
  <threadedComment ref="D375" personId="{2F5F6CE8-9486-26C6-27E6-277EBB6962AB}" id="{0007000D-0036-4CC4-9F03-006800260044}" done="0">
    <text xml:space="preserve">23138/10 -2s00.000
23677/12 -70.000
</text>
  </threadedComment>
  <threadedComment ref="D379" personId="{2F5F6CE8-9486-26C6-27E6-277EBB6962AB}" id="{008E009F-00F1-4884-8382-0081000A006E}" done="0">
    <text xml:space="preserve">23573/06 +50.000
</text>
  </threadedComment>
  <threadedComment ref="D380" personId="{2F5F6CE8-9486-26C6-27E6-277EBB6962AB}" id="{003100DD-00D4-4CE7-98C6-00B5002E00C0}" done="0">
    <text xml:space="preserve">23542/04 -50.000
23573/06 -50.000
</text>
  </threadedComment>
  <threadedComment ref="D381" personId="{2F5F6CE8-9486-26C6-27E6-277EBB6962AB}" id="{00540085-00DF-4B10-8EDA-0040006B0083}" done="0">
    <text xml:space="preserve">23588/07 +500.000
</text>
  </threadedComment>
  <threadedComment ref="D382" personId="{2F5F6CE8-9486-26C6-27E6-277EBB6962AB}" id="{009200D0-003D-4D24-A23E-003000ED0005}" done="0">
    <text xml:space="preserve">23542/04 +50.000
23585/07 +660.000
</text>
  </threadedComment>
  <threadedComment ref="D384" personId="{2F5F6CE8-9486-26C6-27E6-277EBB6962AB}" id="{0003005A-0014-4143-90EC-007500510048}" done="0">
    <text xml:space="preserve">23138/10 -730.000
</text>
  </threadedComment>
  <threadedComment ref="D385" personId="{2F5F6CE8-9486-26C6-27E6-277EBB6962AB}" id="{0067005B-009B-47E4-AA6D-00BE00100042}" done="0">
    <text xml:space="preserve">23004/01 +2.500.000
23138/10 -300.000
</text>
  </threadedComment>
  <threadedComment ref="D387" personId="{2F5F6CE8-9486-26C6-27E6-277EBB6962AB}" id="{007F006A-0057-417A-BEA9-00D2009B0006}" done="0">
    <text xml:space="preserve">23138/10 -550.000
</text>
  </threadedComment>
  <threadedComment ref="D40" personId="{2F5F6CE8-9486-26C6-27E6-277EBB6962AB}" id="{002000FB-0018-40D8-9097-0048009B0045}" done="0">
    <text xml:space="preserve">23126/08 +20.000
</text>
  </threadedComment>
  <threadedComment ref="D392" personId="{2F5F6CE8-9486-26C6-27E6-277EBB6962AB}" id="{00C700B0-0047-4A84-8D02-00EC00700069}" done="0">
    <text xml:space="preserve">23151/11 -700.000
</text>
  </threadedComment>
  <threadedComment ref="D393" personId="{2F5F6CE8-9486-26C6-27E6-277EBB6962AB}" id="{000F00A2-004B-4209-AA9F-00F0006E0057}" done="0">
    <text xml:space="preserve">23138/10 -450.000 
</text>
  </threadedComment>
  <threadedComment ref="D394" personId="{2F5F6CE8-9486-26C6-27E6-277EBB6962AB}" id="{001000DF-008F-43CB-9010-0025007400E6}" done="0">
    <text xml:space="preserve">23138/10 -800.000
</text>
  </threadedComment>
  <threadedComment ref="D395" personId="{2F5F6CE8-9486-26C6-27E6-277EBB6962AB}" id="{00A90023-0075-493F-A11D-00790027002A}" done="0">
    <text xml:space="preserve">23111/07 -81.550,55
23588/07 -500.000
23138/10 -310000
</text>
  </threadedComment>
  <threadedComment ref="D41" personId="{2F5F6CE8-9486-26C6-27E6-277EBB6962AB}" id="{00AE0031-0005-4A57-A48C-0055001000E5}" done="0">
    <text xml:space="preserve">23194.12 -3.221,96
</text>
  </threadedComment>
  <threadedComment ref="D401" personId="{2F5F6CE8-9486-26C6-27E6-277EBB6962AB}" id="{0053008B-008B-4B6D-9492-00E900210073}" done="0">
    <text xml:space="preserve">23088 +22.018 úz611
</text>
  </threadedComment>
  <threadedComment ref="D402" personId="{2F5F6CE8-9486-26C6-27E6-277EBB6962AB}" id="{006A00DB-0093-4B40-BAA9-00B400B000FF}" done="0">
    <text xml:space="preserve">23521/03 +-117.833 dozn úz 610
23138/10 -500.000
</text>
  </threadedComment>
  <threadedComment ref="D403" personId="{2F5F6CE8-9486-26C6-27E6-277EBB6962AB}" id="{00AF00A3-0091-40C9-9D1C-006D005400BB}" done="0">
    <text xml:space="preserve">23138/10 -750.000
</text>
  </threadedComment>
  <threadedComment ref="D405" personId="{2F5F6CE8-9486-26C6-27E6-277EBB6962AB}" id="{007200A6-004A-4EFE-ADB4-001900F900A1}" done="0">
    <text xml:space="preserve">23138/10 -780.000
</text>
  </threadedComment>
  <threadedComment ref="D406" personId="{2F5F6CE8-9486-26C6-27E6-277EBB6962AB}" id="{0019002C-007A-491A-81BB-00EE008F006B}" done="0">
    <text xml:space="preserve">23012/02 +13.000 úz612
</text>
  </threadedComment>
  <threadedComment ref="D408" personId="{2F5F6CE8-9486-26C6-27E6-277EBB6962AB}" id="{002E00D5-00BE-4173-9CC0-00E300E0002A}" done="0">
    <text xml:space="preserve">23598/07 -1.000.000
23109/07 -7.500.000
23110/07 -100.000
-660.000
</text>
  </threadedComment>
  <threadedComment ref="D413" personId="{2F5F6CE8-9486-26C6-27E6-277EBB6962AB}" id="{0074008B-00CC-46D3-B441-002900420013}" done="0">
    <text xml:space="preserve">23110/07 +100.000
</text>
  </threadedComment>
  <threadedComment ref="D416" personId="{2F5F6CE8-9486-26C6-27E6-277EBB6962AB}" id="{005A0036-0012-4AEE-884C-006C00A400C5}" done="0">
    <text xml:space="preserve">23601/08 -520.000
</text>
  </threadedComment>
  <threadedComment ref="D418" personId="{2F5F6CE8-9486-26C6-27E6-277EBB6962AB}" id="{00C900D4-005E-479E-B716-0032002400A1}" done="0">
    <text xml:space="preserve">23543/04 +4.635.000
23601/08 +520.000
</text>
  </threadedComment>
  <threadedComment ref="D419" personId="{2F5F6CE8-9486-26C6-27E6-277EBB6962AB}" id="{008900E0-0008-4276-A146-003300B8003E}" done="0">
    <text xml:space="preserve">23543/04 -4.635.000
</text>
  </threadedComment>
  <threadedComment ref="D422" personId="{2F5F6CE8-9486-26C6-27E6-277EBB6962AB}" id="{009B0093-00F1-49D6-9490-00660009004B}" done="0">
    <text xml:space="preserve">23548/05 
+150.000 +80.000
23596/08 +200.000
</text>
  </threadedComment>
  <threadedComment ref="D423" personId="{2F5F6CE8-9486-26C6-27E6-277EBB6962AB}" id="{00B300DE-0095-4B12-9514-005F00FF0096}" done="0">
    <text xml:space="preserve">23596/08 -200.000
23141/10 -100.000
</text>
  </threadedComment>
  <threadedComment ref="D424" personId="{2F5F6CE8-9486-26C6-27E6-277EBB6962AB}" id="{00AE0021-0043-4F6F-9DC5-006F001100BA}" done="0">
    <text xml:space="preserve">23070/05 -1.700.000
</text>
  </threadedComment>
  <threadedComment ref="D425" personId="{2F5F6CE8-9486-26C6-27E6-277EBB6962AB}" id="{00A800FB-0040-415D-A860-0060005500FB}" done="0">
    <text xml:space="preserve">23021/02 -14.000.000
23548/05 -230.000
</text>
  </threadedComment>
  <threadedComment ref="D431" personId="{2F5F6CE8-9486-26C6-27E6-277EBB6962AB}" id="{00E900BB-005A-4E53-A784-00C70061004A}" done="0">
    <text xml:space="preserve">23098/07 -1.000.000
</text>
  </threadedComment>
  <threadedComment ref="D435" personId="{2F5F6CE8-9486-26C6-27E6-277EBB6962AB}" id="{006A001F-004C-48B0-A203-006D001B0059}" done="0">
    <text xml:space="preserve">23679/12 +16.000
</text>
  </threadedComment>
  <threadedComment ref="D436" personId="{2F5F6CE8-9486-26C6-27E6-277EBB6962AB}" id="{00CD007A-00E4-4DD1-874B-00C3008E005D}" done="0">
    <text xml:space="preserve">23023/02 -153.307 part.rozp-psí hř
23051/04 -100.000 part.rozp Houpačka Kojetín
23604/08 +-184.827,50
23132/09 -400.000 part.rozp-
(200t. Rodinné hřiště TJ Sokol Lamberk+200t Lavičky Hückelovy vily) 
23138/10 -1.000.000 studie
23679/12 -16.000
</text>
  </threadedComment>
  <threadedComment ref="D440" personId="{2F5F6CE8-9486-26C6-27E6-277EBB6962AB}" id="{0065003F-003A-451B-B9EF-003F00DA0039}" done="0">
    <text xml:space="preserve">23098/07 -6.900.000
</text>
  </threadedComment>
  <threadedComment ref="D45" personId="{2F5F6CE8-9486-26C6-27E6-277EBB6962AB}" id="{00BA00D8-0040-4460-8BBA-00850006009C}" done="0">
    <text xml:space="preserve">23083/06 +76.497
23126/08 +92.417
23137/09 +24.118
</text>
  </threadedComment>
  <threadedComment ref="D442" personId="{2F5F6CE8-9486-26C6-27E6-277EBB6962AB}" id="{00EE0076-0044-4591-93F9-00250045005B}" done="0">
    <text xml:space="preserve">23098/07 -2.000.000
</text>
  </threadedComment>
  <threadedComment ref="D447" personId="{2F5F6CE8-9486-26C6-27E6-277EBB6962AB}" id="{00570071-0035-4D1E-A6BF-00BB003900D2}" done="0">
    <text xml:space="preserve">23554/05 +500.000
23131/09 +-500.000
(dopl. Úz 34054)
</text>
  </threadedComment>
  <threadedComment ref="D448" personId="{2F5F6CE8-9486-26C6-27E6-277EBB6962AB}" id="{00860090-002E-4EEA-A830-00EE00B00010}" done="0">
    <text xml:space="preserve">23606/09 -150.000
</text>
  </threadedComment>
  <threadedComment ref="D449" personId="{2F5F6CE8-9486-26C6-27E6-277EBB6962AB}" id="{00B1004F-004D-4455-898B-007500150034}" done="0">
    <text xml:space="preserve">23554/05 -500.000
23606/09 +150.000
</text>
  </threadedComment>
  <threadedComment ref="D46" personId="{2F5F6CE8-9486-26C6-27E6-277EBB6962AB}" id="{008B0013-0033-4AB9-9D3E-00BD00740093}" done="0">
    <text xml:space="preserve">23137/09 +36.700  110
</text>
  </threadedComment>
  <threadedComment ref="D454" personId="{2F5F6CE8-9486-26C6-27E6-277EBB6962AB}" id="{001300E2-00A0-4303-B5E7-002F00CE006D}" done="0">
    <text xml:space="preserve">23140/10 +400.000
</text>
  </threadedComment>
  <threadedComment ref="D460" personId="{2F5F6CE8-9486-26C6-27E6-277EBB6962AB}" id="{003300C1-00CE-46FF-AA86-003E00D10050}" done="0">
    <text xml:space="preserve">23089/07 -1.000.000
</text>
  </threadedComment>
  <threadedComment ref="D47" personId="{2F5F6CE8-9486-26C6-27E6-277EBB6962AB}" id="{001700EA-0017-4384-9DB0-00C8003700E3}" done="0">
    <text xml:space="preserve">23126/08 +32.540
</text>
  </threadedComment>
  <threadedComment ref="D463" personId="{2F5F6CE8-9486-26C6-27E6-277EBB6962AB}" id="{004700D0-004F-47DA-997B-003C00A7008C}" done="0">
    <text xml:space="preserve">23045/03 +1.500.000
</text>
  </threadedComment>
  <threadedComment ref="D465" personId="{2F5F6CE8-9486-26C6-27E6-277EBB6962AB}" id="{00F10034-00B5-4BA0-A749-00D20000001D}" done="0">
    <text xml:space="preserve">23537/04 +-400.000 org
</text>
  </threadedComment>
  <threadedComment ref="D469" personId="{2F5F6CE8-9486-26C6-27E6-277EBB6962AB}" id="{002400B8-00ED-4E41-AD0E-002C00720086}" done="0">
    <text xml:space="preserve">23024/02 +1.500.000
</text>
  </threadedComment>
  <threadedComment ref="D470" personId="{2F5F6CE8-9486-26C6-27E6-277EBB6962AB}" id="{002400C0-0047-4598-B612-005D00810024}" done="0">
    <text xml:space="preserve">23024/02 +1.200.000
</text>
  </threadedComment>
  <threadedComment ref="D48" personId="{2F5F6CE8-9486-26C6-27E6-277EBB6962AB}" id="{00680010-003A-4E4B-B3FB-006900FC00EE}" done="0">
    <text xml:space="preserve">23194.12 +10.674,12
</text>
  </threadedComment>
  <threadedComment ref="D472" personId="{2F5F6CE8-9486-26C6-27E6-277EBB6962AB}" id="{001E00CB-00BD-4598-B2E6-008900E3003A}" done="0">
    <text xml:space="preserve">23098/07 -2.000.000
23610/09 - 500.000
</text>
  </threadedComment>
  <threadedComment ref="D473" personId="{2F5F6CE8-9486-26C6-27E6-277EBB6962AB}" id="{00090095-005B-48E5-807D-00A300F7002F}" done="0">
    <text xml:space="preserve">23610/09 -230.000
</text>
  </threadedComment>
  <threadedComment ref="D474" personId="{2F5F6CE8-9486-26C6-27E6-277EBB6962AB}" id="{00280099-0073-4D3A-87DC-00B200F200DC}" done="0">
    <text xml:space="preserve">23098/07 -1.100.000
</text>
  </threadedComment>
  <threadedComment ref="D475" personId="{2F5F6CE8-9486-26C6-27E6-277EBB6962AB}" id="{00770023-0002-433D-9710-00F10003006F}" done="0">
    <text xml:space="preserve">23098/07 -550.000
</text>
  </threadedComment>
  <threadedComment ref="D476" personId="{2F5F6CE8-9486-26C6-27E6-277EBB6962AB}" id="{0099009B-001D-4A69-B671-005100AC00E5}" done="0">
    <text xml:space="preserve">23026/02 +1.700.000
23610/09 -  258.000
</text>
  </threadedComment>
  <threadedComment ref="D477" personId="{2F5F6CE8-9486-26C6-27E6-277EBB6962AB}" id="{00760003-009E-4299-883B-0009003E0014}" done="0">
    <text xml:space="preserve">23024/02 +4.000.000
23610/09 +988.000
</text>
  </threadedComment>
  <threadedComment ref="D479" personId="{2F5F6CE8-9486-26C6-27E6-277EBB6962AB}" id="{009800F3-0084-4328-867D-00EB00B50091}" done="0">
    <text xml:space="preserve">23551/05 -1.300.000
23098/07 -1.500.000
23138/10 -800.000
</text>
  </threadedComment>
  <threadedComment ref="D49" personId="{2F5F6CE8-9486-26C6-27E6-277EBB6962AB}" id="{00CC003B-0076-48E7-B50C-005300E50087}" done="0">
    <text xml:space="preserve">23040/03 +33.700
23083/06 +20.200
23137/09 + 8.100
</text>
  </threadedComment>
  <threadedComment ref="D481" personId="{2F5F6CE8-9486-26C6-27E6-277EBB6962AB}" id="{00BE0025-00E4-4EAA-95D5-0049008D0023}" done="0">
    <text xml:space="preserve">23524/03 -1.300.000
23551/05 +1.300.000
</text>
  </threadedComment>
  <threadedComment ref="D483" personId="{2F5F6CE8-9486-26C6-27E6-277EBB6962AB}" id="{005E0031-00BB-46CD-82AA-00B8002F0022}" done="0">
    <text xml:space="preserve">23098/07 -1.500.000
23138/10 -450.000
</text>
  </threadedComment>
  <threadedComment ref="D484" personId="{2F5F6CE8-9486-26C6-27E6-277EBB6962AB}" id="{00280031-001D-47A1-80E0-0029001C0070}" done="0">
    <text xml:space="preserve">23098/07 -1.500.000
23138/10 -480.000
</text>
  </threadedComment>
  <threadedComment ref="D485" personId="{2F5F6CE8-9486-26C6-27E6-277EBB6962AB}" id="{001D00B5-0028-44FA-A75A-00ED00840002}" done="0">
    <text xml:space="preserve">23523/03 -40.000
23138/10 -2.000.000
</text>
  </threadedComment>
  <threadedComment ref="D486" personId="{2F5F6CE8-9486-26C6-27E6-277EBB6962AB}" id="{0004001E-00CF-41E2-892D-00AA00FE00B5}" done="0">
    <text xml:space="preserve">23524/03 +1.300.000
23138/10 -200.000
</text>
  </threadedComment>
  <threadedComment ref="D487" personId="{2F5F6CE8-9486-26C6-27E6-277EBB6962AB}" id="{0001002A-00F1-4F91-8988-00BF00D600FE}" done="0">
    <text xml:space="preserve">23523/03 +40.000
</text>
  </threadedComment>
  <threadedComment ref="D50" personId="{2F5F6CE8-9486-26C6-27E6-277EBB6962AB}" id="{007300D7-00CB-4871-ABB7-009A0054000D}" done="0">
    <text xml:space="preserve">23137/09 + 78.700
</text>
  </threadedComment>
  <threadedComment ref="D494" personId="{2F5F6CE8-9486-26C6-27E6-277EBB6962AB}" id="{00A20067-0011-42EC-BE1A-005C00C4004F}" done="0">
    <text xml:space="preserve">23012/02 -13.000
23522/03 +3.000
</text>
  </threadedComment>
  <threadedComment ref="D495" personId="{2F5F6CE8-9486-26C6-27E6-277EBB6962AB}" id="{00DF00F5-001F-4CE1-B7FE-00010011000F}" done="0">
    <text xml:space="preserve">23501/01 -20.000
23522/03 -3.000
23535/04 -10.000
</text>
  </threadedComment>
  <threadedComment ref="D496" personId="{2F5F6CE8-9486-26C6-27E6-277EBB6962AB}" id="{00B30088-00D6-42A5-B59F-00AB00B400F5}" done="0">
    <text xml:space="preserve">23501/01 +20.000
23535/04 +10.000
23568/06 +50.000
</text>
  </threadedComment>
  <threadedComment ref="D499" personId="{2F5F6CE8-9486-26C6-27E6-277EBB6962AB}" id="{003D000E-0038-4AEE-86F6-00610022002A}" done="0">
    <text xml:space="preserve">23012/02 -13.000
23568/06 -50.000
</text>
  </threadedComment>
  <threadedComment ref="D51" personId="{2F5F6CE8-9486-26C6-27E6-277EBB6962AB}" id="{008A008B-00EF-497B-A33B-0087006A00FC}" done="0">
    <text xml:space="preserve">23194.12 -7.452,16
</text>
  </threadedComment>
  <threadedComment ref="D503" personId="{2F5F6CE8-9486-26C6-27E6-277EBB6962AB}" id="{00A100C1-0070-44AC-A6F0-007B008C0000}" done="0">
    <text xml:space="preserve">23109/07 +7.500.000
23138/10 -7.500.000
</text>
  </threadedComment>
  <threadedComment ref="D504" personId="{2F5F6CE8-9486-26C6-27E6-277EBB6962AB}" id="{006C007D-00B0-4E42-9AC2-0028006C0024}" done="0">
    <text xml:space="preserve">23518/02 -20.160
23138/10 -500.000
</text>
  </threadedComment>
  <threadedComment ref="D505" personId="{2F5F6CE8-9486-26C6-27E6-277EBB6962AB}" id="{001300FE-0015-4817-A888-000700DE00D2}" done="0">
    <text xml:space="preserve">23182/11 -500.000
</text>
  </threadedComment>
  <threadedComment ref="D506" personId="{2F5F6CE8-9486-26C6-27E6-277EBB6962AB}" id="{00750084-0087-4274-BFDC-00FC0085007F}" done="0">
    <text xml:space="preserve">23516/02 +20.160
</text>
  </threadedComment>
  <threadedComment ref="D508" personId="{2F5F6CE8-9486-26C6-27E6-277EBB6962AB}" id="{00940061-0017-4D6F-AC2C-005600FF0014}" done="0">
    <text xml:space="preserve">23507/02 -12.000
</text>
  </threadedComment>
  <threadedComment ref="D509" personId="{2F5F6CE8-9486-26C6-27E6-277EBB6962AB}" id="{000C0033-00DB-4639-9274-005E00890084}" done="0">
    <text xml:space="preserve">23507/02 +12.000
</text>
  </threadedComment>
  <threadedComment ref="D513" personId="{2F5F6CE8-9486-26C6-27E6-277EBB6962AB}" id="{00CF00E4-00CA-4050-9DA8-00CC003A00B9}" done="0">
    <text xml:space="preserve">23137/09 -412.445
</text>
  </threadedComment>
  <threadedComment ref="D519" personId="{2F5F6CE8-9486-26C6-27E6-277EBB6962AB}" id="{007C0039-004E-4768-9AF4-00CA00E00050}" done="0">
    <text xml:space="preserve">23173/11 -594,97
23179/11 +145.413,26
</text>
  </threadedComment>
  <threadedComment ref="D520" personId="{2F5F6CE8-9486-26C6-27E6-277EBB6962AB}" id="{002B0051-009D-47A7-B465-003C0090004E}" done="0">
    <text xml:space="preserve">23030/02 +70.804,80 +217.373,47
23040/03 +33.700
23055/04 úz 693
+50.000 NIV
+150.000 IV
23056/04 +80.000 úz673 NIV
23191/12 -217.373,47
</text>
  </threadedComment>
  <threadedComment ref="D521" personId="{2F5F6CE8-9486-26C6-27E6-277EBB6962AB}" id="{0044006C-0025-418A-AB48-00F200AF0027}" done="0">
    <text xml:space="preserve">23179/11 -145.413,26
</text>
  </threadedComment>
  <threadedComment ref="D525" personId="{2F5F6CE8-9486-26C6-27E6-277EBB6962AB}" id="{0053007F-00F8-4D03-9DB7-00140039005F}" done="0">
    <text xml:space="preserve">23196/10 +200
</text>
  </threadedComment>
  <threadedComment ref="D528" personId="{2F5F6CE8-9486-26C6-27E6-277EBB6962AB}" id="{00E500BD-0051-4197-B54B-0018004900D9}" done="0">
    <text xml:space="preserve">23065/05 +231.000 dorov.2022
dorov -30.000
</text>
  </threadedComment>
  <threadedComment ref="D529" personId="{2F5F6CE8-9486-26C6-27E6-277EBB6962AB}" id="{00BD00B4-00F4-4196-B5CC-00A300F900E1}" done="0">
    <text xml:space="preserve">dorov +30.000
</text>
  </threadedComment>
  <threadedComment ref="D54" personId="{2F5F6CE8-9486-26C6-27E6-277EBB6962AB}" id="{002B0072-008A-41CB-A472-001E00A600A4}" done="0">
    <text xml:space="preserve">23137/09 +396.670
</text>
  </threadedComment>
  <threadedComment ref="D531" personId="{2F5F6CE8-9486-26C6-27E6-277EBB6962AB}" id="{0058001A-0059-4D7F-B84D-00DA008700C3}" done="0">
    <text xml:space="preserve">23196/12 -200
</text>
  </threadedComment>
  <threadedComment ref="D538" personId="{2F5F6CE8-9486-26C6-27E6-277EBB6962AB}" id="{0065001F-0056-4C84-9B29-0099003200A2}" done="0">
    <text xml:space="preserve">23014/02 +864.200
</text>
  </threadedComment>
  <threadedComment ref="D548" personId="{2F5F6CE8-9486-26C6-27E6-277EBB6962AB}" id="{005B00A3-00A3-4CB7-B065-00EE00C2004F}" done="0">
    <text xml:space="preserve">23163/11 +60.000
</text>
  </threadedComment>
  <threadedComment ref="D549" personId="{2F5F6CE8-9486-26C6-27E6-277EBB6962AB}" id="{000F0040-00FC-4F4C-9872-008900C10049}" done="0">
    <text xml:space="preserve">23162/11 +58.074
</text>
  </threadedComment>
  <threadedComment ref="D553" personId="{2F5F6CE8-9486-26C6-27E6-277EBB6962AB}" id="{0016005B-00F1-4B74-80DB-00D6001A0083}" done="0">
    <text xml:space="preserve">23130/09 -3.074,21
23164/11 +60.000
</text>
  </threadedComment>
  <threadedComment ref="D555" personId="{2F5F6CE8-9486-26C6-27E6-277EBB6962AB}" id="{009A000D-0070-414B-ADB7-005000F40023}" done="0">
    <text xml:space="preserve">23165/11 -62,46
</text>
  </threadedComment>
  <threadedComment ref="D558" personId="{2F5F6CE8-9486-26C6-27E6-277EBB6962AB}" id="{00E80044-0024-4E9E-BFB7-008000FB0032}" done="0">
    <text xml:space="preserve">23167/11 +38.800
</text>
  </threadedComment>
  <threadedComment ref="D560" personId="{2F5F6CE8-9486-26C6-27E6-277EBB6962AB}" id="{004D0041-003D-44CA-BC15-00FD00CE00E5}" done="0">
    <text xml:space="preserve">23166/11 -70.122
</text>
  </threadedComment>
  <threadedComment ref="D563" personId="{2F5F6CE8-9486-26C6-27E6-277EBB6962AB}" id="{002C00E2-00AA-4C08-81FE-004F00170057}" done="0">
    <text xml:space="preserve">23095/06 +6.348
23145/10 -2.107
23160/11 -96.284
23161/11 -30.000
23162/11 -58.074
23163/11 -60.000
23164/11 -60.000
23167/11 -38.800
23172/11 -29.100-900
</text>
  </threadedComment>
  <threadedComment ref="D569" personId="{2F5F6CE8-9486-26C6-27E6-277EBB6962AB}" id="{00D50084-00E0-4DA2-8D1C-00D30032009F}" done="0">
    <text xml:space="preserve">23086/06 úz 913 
+ 4.752,88  120,1
+26.932,97 120,5
23107/07 úz 913
-1.607,13 1201
-9.107,07 1205
23117/08 úz 33092
 +  949.089,62 1431
+3.130.384,38 1435
23142/10 -3.504
23143/10 +262.743
23157/11
+ 4.900 úz 253 SR
+44.100 úz911 EU
</text>
  </threadedComment>
  <threadedComment ref="D570" personId="{2F5F6CE8-9486-26C6-27E6-277EBB6962AB}" id="{000E0062-0003-4F29-8638-00BE000500DC}" done="0">
    <text xml:space="preserve">23075/05 
+89.825 +296.450
</text>
  </threadedComment>
  <threadedComment ref="D571" personId="{2F5F6CE8-9486-26C6-27E6-277EBB6962AB}" id="{00F400E8-0081-4A9C-B1C1-0040005F00D1}" done="0">
    <text xml:space="preserve">23022/02 +603.790
23075/05 +213.204
</text>
  </threadedComment>
  <threadedComment ref="D574" personId="{2F5F6CE8-9486-26C6-27E6-277EBB6962AB}" id="{008100CD-00A1-48E2-8DE5-00BF00370098}" done="0">
    <text xml:space="preserve">23015/02 úz 33092
+1.005.316,48  143 1
+3.315.837,52  143 5
23086/06 úz 9143
+ 1.806,05  120,1
+10.234,30 120,5
23095/06 +5.595
23107/07 úz 913
- 1.051,79 1201
- 5.960,11 1205
23158/11 
+ 7.519 ÚZ 253
+67.671 úz 911
</text>
  </threadedComment>
  <threadedComment ref="D575" personId="{2F5F6CE8-9486-26C6-27E6-277EBB6962AB}" id="{005D004B-00EF-4781-B84E-006B00A000D4}" done="0">
    <text xml:space="preserve">23073/05 +96.800
23160/11 +96.284
23161/11 +30.000
</text>
  </threadedComment>
  <threadedComment ref="D576" personId="{2F5F6CE8-9486-26C6-27E6-277EBB6962AB}" id="{00DE002C-003A-460D-9EB7-00D7000A00F4}" done="0">
    <text xml:space="preserve">23073/05 -1.200.000
</text>
  </threadedComment>
  <threadedComment ref="D579" personId="{2F5F6CE8-9486-26C6-27E6-277EBB6962AB}" id="{0085002A-0061-42ED-8C1C-0079006C0099}" done="0">
    <text xml:space="preserve">23086/06 úz 913 
+ 5.713,08  120,1
+32.374,09 120,5
23107/07 úz 913
-  177,66  1201
-1.006,74 1205
23159/11 
+ 6.798 úz253 SR
+61.182 úz911 EU
</text>
  </threadedComment>
  <threadedComment ref="D59" personId="{2F5F6CE8-9486-26C6-27E6-277EBB6962AB}" id="{005F00FB-00F3-408B-9531-002600E90098}" done="0">
    <text xml:space="preserve">23126/08 +559.345,14
</text>
  </threadedComment>
  <threadedComment ref="D581" personId="{2F5F6CE8-9486-26C6-27E6-277EBB6962AB}" id="{004A0072-0021-4C56-982A-00D500660094}" done="0">
    <text xml:space="preserve">23168/11 -155.095,79
</text>
  </threadedComment>
  <threadedComment ref="D584" personId="{2F5F6CE8-9486-26C6-27E6-277EBB6962AB}" id="{001D0016-0094-4E83-B04A-00680049002B}" done="0">
    <text xml:space="preserve">23019/02 +5.208  poj
23058/04 úz 33092 JAK
+519.876,20 1431
+1.714.708,80 1435
</text>
  </threadedComment>
  <threadedComment ref="D585" personId="{2F5F6CE8-9486-26C6-27E6-277EBB6962AB}" id="{00880072-007D-4EF0-94CB-0053008F0000}" done="0">
    <text xml:space="preserve">23105/07 +300.000
</text>
  </threadedComment>
  <threadedComment ref="D586" personId="{2F5F6CE8-9486-26C6-27E6-277EBB6962AB}" id="{00200050-00FE-418C-8B89-000300990066}" done="0">
    <text xml:space="preserve">23070/05 +1.700.000
23074/05 
-1.100.000 -30.000 +48.400 +160.000
23129/08 -700.000
23169/11 -82.921,96
</text>
  </threadedComment>
  <threadedComment ref="D590" personId="{2F5F6CE8-9486-26C6-27E6-277EBB6962AB}" id="{00720005-00A7-4147-9796-003500260065}" done="0">
    <text xml:space="preserve">23059/04 +210.200 úz 833
23093/06 úz 33092
+ 551.883,82 1431
+1.820.279,28 1435
23102/07 +170.400 úz 910
23172/11 +30.000
23177/11 -28.290 úz 910
</text>
  </threadedComment>
  <threadedComment ref="D60" personId="{2F5F6CE8-9486-26C6-27E6-277EBB6962AB}" id="{00010091-00C0-4F01-9DA0-00AA006D00F1}" done="0">
    <text xml:space="preserve">23126/08 +559.345,14
</text>
  </threadedComment>
  <threadedComment ref="D593" personId="{2F5F6CE8-9486-26C6-27E6-277EBB6962AB}" id="{00C800C7-0061-4D61-8468-00EE00E4004F}" done="0">
    <text xml:space="preserve">23145/10 +2.107
</text>
  </threadedComment>
  <threadedComment ref="D596" personId="{2F5F6CE8-9486-26C6-27E6-277EBB6962AB}" id="{002E00A7-000A-45C9-942E-00B900CA00FA}" done="0">
    <text xml:space="preserve">23003/01 -45.455
23144/10 -98.187
23170/11 -200.000
23188/12 -300.000
</text>
  </threadedComment>
  <threadedComment ref="D600" personId="{2F5F6CE8-9486-26C6-27E6-277EBB6962AB}" id="{007500E9-00EE-4984-9F68-00E900DC0030}" done="0">
    <text xml:space="preserve">23032/02 +5.000
</text>
  </threadedComment>
  <threadedComment ref="D61" personId="{2F5F6CE8-9486-26C6-27E6-277EBB6962AB}" id="{00A2005F-007B-4653-9A66-00E90093005C}" done="0">
    <text xml:space="preserve">23126/08 +3.968.238,12
</text>
  </threadedComment>
  <threadedComment ref="D602" personId="{2F5F6CE8-9486-26C6-27E6-277EBB6962AB}" id="{00A80089-00A8-4EAE-A240-00E1004D005F}" done="0">
    <text xml:space="preserve">23183/11 -20.000
</text>
  </threadedComment>
  <threadedComment ref="D605" personId="{2F5F6CE8-9486-26C6-27E6-277EBB6962AB}" id="{007C006A-00D6-424C-8765-002F00420073}" done="0">
    <text xml:space="preserve">23095/06 +19.570
23096/06 +100.000 úz 34002
23183/11 -380.000
</text>
  </threadedComment>
  <threadedComment ref="D607" personId="{2F5F6CE8-9486-26C6-27E6-277EBB6962AB}" id="{009D00AB-00DC-4D41-BC0D-00F3005300B2}" done="0">
    <text xml:space="preserve">23183/11 -1.150.000
</text>
  </threadedComment>
  <threadedComment ref="D612" personId="{2F5F6CE8-9486-26C6-27E6-277EBB6962AB}" id="{006F0064-005A-4D10-A8C8-00FB0095006F}" done="0">
    <text xml:space="preserve">23001/01 +4.551.000
23019/02 +4.562 poj
23072/05 -2.989,27
23136/09 +300.000
23176/11 -700.000
23194.12 +50.000
</text>
  </threadedComment>
  <threadedComment ref="D614" personId="{2F5F6CE8-9486-26C6-27E6-277EBB6962AB}" id="{006100FE-00B9-45EE-A2A1-0030004500A7}" done="0">
    <text xml:space="preserve">23139/10 -1.000.000
23175/11 -484.000
</text>
  </threadedComment>
  <threadedComment ref="D621" personId="{2F5F6CE8-9486-26C6-27E6-277EBB6962AB}" id="{00B600C5-0007-4103-8F74-009D002D00FC}" done="0">
    <text xml:space="preserve">23033/02 -30.000 r
23128/09 -40.000 r
</text>
  </threadedComment>
  <threadedComment ref="D623" personId="{2F5F6CE8-9486-26C6-27E6-277EBB6962AB}" id="{00040039-0098-4D95-8A04-00EC00B8005A}" done="0">
    <text xml:space="preserve">23512/02 -200.000
</text>
  </threadedComment>
  <threadedComment ref="D626" personId="{2F5F6CE8-9486-26C6-27E6-277EBB6962AB}" id="{003500AC-002B-4D8E-AFAF-00C70034002D}" done="0">
    <text xml:space="preserve">23034/02 -25.000 r
23066/05 -10.000 r
23113/07 -10.000 r
</text>
  </threadedComment>
  <threadedComment ref="D629" personId="{2F5F6CE8-9486-26C6-27E6-277EBB6962AB}" id="{009200C0-008A-4696-96A1-008B00DD0071}" done="0">
    <text xml:space="preserve">23033/02 +30.000
23034/02 +25.000
23512/02 +200.000
23066/05 +10.000
23084/06 -90.000 r
+90.000       
23085/06 +147.136
23112/07 +49.000
23113/07 +10.000
23127/09 +500.000
23128/09 +40.000
23186/12 -25.000 r +25.000 
</text>
  </threadedComment>
  <threadedComment ref="D633" personId="{2F5F6CE8-9486-26C6-27E6-277EBB6962AB}" id="{00BE0071-00A0-4964-89CB-00DB005D00B7}" done="0">
    <text xml:space="preserve">23126/08 +- 209.862
</text>
  </threadedComment>
  <threadedComment ref="D636" personId="{2F5F6CE8-9486-26C6-27E6-277EBB6962AB}" id="{002200F2-0092-40F5-80DC-0059005D0058}" done="0">
    <text xml:space="preserve">23068/05 
+70.000 +80.000 +50.000
</text>
  </threadedComment>
  <threadedComment ref="D643" personId="{2F5F6CE8-9486-26C6-27E6-277EBB6962AB}" id="{0055008A-000C-40E4-AAE5-005F00B900C6}" done="0">
    <text xml:space="preserve">23068/05 -70.000
23095/06 +16.216
23116/08 +113.800,50
23121/08 +121.111
23638/11 +300.000
23661/11 -126.706
23678/12 -0,36
</text>
  </threadedComment>
  <threadedComment ref="D644" personId="{2F5F6CE8-9486-26C6-27E6-277EBB6962AB}" id="{00570012-0074-409F-AC16-00B4001500E9}" done="0">
    <text xml:space="preserve">23661/11 +126.706
23678/12 +0,36
</text>
  </threadedComment>
  <threadedComment ref="D645" personId="{2F5F6CE8-9486-26C6-27E6-277EBB6962AB}" id="{00E500F3-0083-4F8D-A080-001200ED00D1}" done="0">
    <text xml:space="preserve">23007/01 úz 13013
+8.051,90  1041
+68.441,11  1045
23511/02 úz 13013  3388
+9.438 1041
+4.719 1041 bez úz
+80.223 1045
23516/02 úz 13013  3388
+27.733,20 1041
+13.866,60 1041 bez úz
+235.732,20 1045
23566/06 úz 13013 
- 8.051,90 1041
+68.441,11 1045
23116/08 úz 13013 3388
+ 37.171,20 1041
+315.955,20 1045
</text>
  </threadedComment>
  <threadedComment ref="D646" personId="{2F5F6CE8-9486-26C6-27E6-277EBB6962AB}" id="{00A600F8-00C5-4EDF-ADE4-00D3004D00E0}" done="0">
    <text xml:space="preserve">23511/02 -94.380 (5168)
23516/02 -277.332 (5168)
23566/06 +76.493,01
23598/08 -427.454,54
23638/11 -300.000
23654/11 -285.501
23678/12 -48.795
</text>
  </threadedComment>
  <threadedComment ref="D647" personId="{2F5F6CE8-9486-26C6-27E6-277EBB6962AB}" id="{004D00B8-0084-4664-A822-00FA0058007E}" done="0">
    <text xml:space="preserve">23598/08 +427.454,54
23654/11 +285.501
23678/12 +48.795
</text>
  </threadedComment>
  <threadedComment ref="D651" personId="{2F5F6CE8-9486-26C6-27E6-277EBB6962AB}" id="{00B20090-00DE-42E1-BD94-00CC006C009A}" done="0">
    <text xml:space="preserve">23013/02 
+-1.927.500  5811
+    227.100  5169
23028/02
+-2.077.400  5811
+    232.500  5169
23042/03 
+-1.894.600  5811
+   210.000  5169
23064/04 
+-1.831.700 5811
+   231.000 5169
23076/05 
+- 1.703.700 5811
+    234.000
23092/06 
+-1.588.650 5811
+   241.800
23106/07 
+- 1.504.450  5811
+     231.000
23122/08 
+- 765.250  5811
23194.12 +45.000
</text>
  </threadedComment>
  <threadedComment ref="D655" personId="{2F5F6CE8-9486-26C6-27E6-277EBB6962AB}" id="{0006003E-00DB-4F25-A300-00E800A200CB}" done="0">
    <text xml:space="preserve">23002/01  +508.200
</text>
  </threadedComment>
  <threadedComment ref="D656" personId="{2F5F6CE8-9486-26C6-27E6-277EBB6962AB}" id="{005400AE-00D4-43D6-8E58-00DC00110028}" done="0">
    <text xml:space="preserve">23035/03 +400.000 +36.000
23094/06 +67.000
</text>
  </threadedComment>
  <threadedComment ref="D658" personId="{2F5F6CE8-9486-26C6-27E6-277EBB6962AB}" id="{00C700DD-006E-472D-80BB-00B600A8002C}" done="0">
    <text xml:space="preserve">23062/04  úz13015
+-791.900 5011
+-196.427 5031
+-71.271 5032
23534/04 -15.000
23068/05 -103.000 -27.000
23082/06 +94.000 -94.000
23094/06 -67.000
k 30.6. + 130.000
23108/07 +150.000
23116/08 +96.967,21 (5011org3389)
</text>
  </threadedComment>
  <threadedComment ref="D659" personId="{2F5F6CE8-9486-26C6-27E6-277EBB6962AB}" id="{0054006E-0091-4C88-8DA3-000000AA00DB}" done="0">
    <text xml:space="preserve">23534/04 +15.000
23082/06 -94.000
23087/06 +804.000
</text>
  </threadedComment>
  <threadedComment ref="D660" personId="{2F5F6CE8-9486-26C6-27E6-277EBB6962AB}" id="{005A005F-00EA-4B32-B4CC-00AC00560033}" done="0">
    <text xml:space="preserve">23082/06 -94.000
k 30.6. -224.000
</text>
  </threadedComment>
  <threadedComment ref="D661" personId="{2F5F6CE8-9486-26C6-27E6-277EBB6962AB}" id="{003C0025-0010-440F-BE57-0062003B00FB}" done="0">
    <text xml:space="preserve">23082/06 -94.000
</text>
  </threadedComment>
  <threadedComment ref="D665" personId="{2F5F6CE8-9486-26C6-27E6-277EBB6962AB}" id="{002500AD-00AA-4B4A-BCD5-00CC00DC00B9}" done="0">
    <text xml:space="preserve">23149/0 +1.0001
</text>
  </threadedComment>
  <threadedComment ref="D666" personId="{2F5F6CE8-9486-26C6-27E6-277EBB6962AB}" id="{00720030-0050-463E-8445-00E100AD0054}" done="0">
    <text xml:space="preserve">23135/09 +50.000
</text>
  </threadedComment>
  <threadedComment ref="D668" personId="{2F5F6CE8-9486-26C6-27E6-277EBB6962AB}" id="{00C30033-002A-4AC7-90BF-00CB00DD00A6}" done="0">
    <text xml:space="preserve">23662/11 +5.000
23685.12 +200
</text>
  </threadedComment>
  <threadedComment ref="D669" personId="{2F5F6CE8-9486-26C6-27E6-277EBB6962AB}" id="{005F00B0-00BA-42A6-8406-009400950065}" done="0">
    <text xml:space="preserve">23662/11 -5.000
23685.12 -200
</text>
  </threadedComment>
  <threadedComment ref="D673" personId="{2F5F6CE8-9486-26C6-27E6-277EBB6962AB}" id="{007B0006-00F2-4C27-921C-0045007D0096}" done="0">
    <text xml:space="preserve">23618/09 +30.000
</text>
  </threadedComment>
  <threadedComment ref="D677" personId="{2F5F6CE8-9486-26C6-27E6-277EBB6962AB}" id="{00DE0050-0088-4037-B59F-005700E7009F}" done="0">
    <text xml:space="preserve">23053/04 +50.000
23618/09 -30.000
23149/10 -1.000
</text>
  </threadedComment>
  <threadedComment ref="D679" personId="{2F5F6CE8-9486-26C6-27E6-277EBB6962AB}" id="{00AA00EF-00E9-4A45-A545-00B6001B0065}" done="0">
    <text xml:space="preserve">23053/04 -50.000
23135/09 -50.000
</text>
  </threadedComment>
  <threadedComment ref="D682" personId="{2F5F6CE8-9486-26C6-27E6-277EBB6962AB}" id="{00D40084-00CF-4C3E-8972-001E0084007F}" done="0">
    <text xml:space="preserve">23081/06 +157.000 r
</text>
  </threadedComment>
  <threadedComment ref="D686" personId="{2F5F6CE8-9486-26C6-27E6-277EBB6962AB}" id="{005A00EE-00BA-43BB-BF1A-00B400C9004C}" done="0">
    <text xml:space="preserve">23010/02 -5.000 r
23036/03 -15.000 r
23099/07 -15.000 r
23100/07 -3.906 r
23101/07 -10.000 r
</text>
  </threadedComment>
  <threadedComment ref="D688" personId="{2F5F6CE8-9486-26C6-27E6-277EBB6962AB}" id="{003200B7-0088-4DCD-8756-0038004500A2}" done="0">
    <text xml:space="preserve">23181/11 -2.000.000
</text>
  </threadedComment>
  <threadedComment ref="D689" personId="{2F5F6CE8-9486-26C6-27E6-277EBB6962AB}" id="{00D60092-004E-4357-AF89-005F006E00A3}" done="0">
    <text xml:space="preserve">23533/03 -150.000 
+140.000 + 10.000
na 231.0800
</text>
  </threadedComment>
  <threadedComment ref="D690" personId="{2F5F6CE8-9486-26C6-27E6-277EBB6962AB}" id="{00CC00E4-007F-4180-8256-00FB00B100D2}" done="0">
    <text xml:space="preserve">232052/04 +-6.000
</text>
  </threadedComment>
  <threadedComment ref="D70" personId="{2F5F6CE8-9486-26C6-27E6-277EBB6962AB}" id="{00F5005E-002D-4853-837A-003F00990048}" done="0">
    <text xml:space="preserve">23083/06 +20.000
</text>
  </threadedComment>
  <threadedComment ref="D691" personId="{2F5F6CE8-9486-26C6-27E6-277EBB6962AB}" id="{00C20072-0086-421F-9DC9-00CF00960072}" done="0">
    <text xml:space="preserve">23010/02 +5,000
23036/03 +15.000
23048/03 -+5.000
23081/06 +157.000
23099/07 +15.000
23100/07 +3.906
23101/07 +10.000
</text>
  </threadedComment>
  <threadedComment ref="D697" personId="{2F5F6CE8-9486-26C6-27E6-277EBB6962AB}" id="{00F20022-003D-4020-9432-00AB00D100F4}" done="0">
    <text xml:space="preserve">23054/04 +3.134.000 úz 13305
23095/06 +51.728
k 30.6. -1.898.394
23138/10 +1.898.394 úz914 2390 
23151/11 -2.010.000  2390
23155/11 +7.011 0390
23650/11 -40.000 0390
23693/12 -2.953,19  0390
23700.12 -148.656,70
</text>
  </threadedComment>
  <threadedComment ref="D698" personId="{2F5F6CE8-9486-26C6-27E6-277EBB6962AB}" id="{00E6003A-00E7-4C9D-BE22-0003001E00EE}" done="0">
    <text xml:space="preserve">23174/11 
-1.900.000 17968 1071
+     2.117,50 17015 1071
+    35.997,50 17016 1075
+    93.385,85 17968 1071
+1.587.559,45 17969 1075
23650/11 +40.000
23693/12 +2.953,19
23700.12 +148.656,70
</text>
  </threadedComment>
  <threadedComment ref="D699" personId="{2F5F6CE8-9486-26C6-27E6-277EBB6962AB}" id="{001900C9-0047-4BA6-984B-00E900790080}" done="0">
    <text xml:space="preserve">23054/04 +740.000 úz 13305
23151/10 -400.000 1391,2391
</text>
  </threadedComment>
  <threadedComment ref="D700" personId="{2F5F6CE8-9486-26C6-27E6-277EBB6962AB}" id="{001300BF-00CB-451F-B7AD-0059009800DE}" done="0">
    <text xml:space="preserve">23054/04 +2.086.000 úz 13305
k 30.6. +1.898.394
23138/10 -1.898.394 ( úz914 2393)
23151/11 -1.920.000 1393,2393
</text>
  </threadedComment>
  <threadedComment ref="D71" personId="{2F5F6CE8-9486-26C6-27E6-277EBB6962AB}" id="{009600AF-0082-4AA8-A84D-005F006A009D}" done="0">
    <text xml:space="preserve">23083/06 +87.410
</text>
  </threadedComment>
  <threadedComment ref="D705" personId="{2F5F6CE8-9486-26C6-27E6-277EBB6962AB}" id="{001A0023-003F-499A-BDAF-000500B200A0}" done="0">
    <text xml:space="preserve">23194.12 +901.049
</text>
  </threadedComment>
  <threadedComment ref="D707" personId="{2F5F6CE8-9486-26C6-27E6-277EBB6962AB}" id="{00320078-00B8-4E54-A4A8-00EE000D00B9}" done="0">
    <text xml:space="preserve">23125/08 -260.000
</text>
  </threadedComment>
  <threadedComment ref="D72" personId="{2F5F6CE8-9486-26C6-27E6-277EBB6962AB}" id="{003A0083-00EF-469D-B26B-002F00D10050}" done="0">
    <text xml:space="preserve">23137/09 +1.404.681,67
</text>
  </threadedComment>
  <threadedComment ref="D711" personId="{2F5F6CE8-9486-26C6-27E6-277EBB6962AB}" id="{00040098-00A6-4F64-85BF-00F700E20059}" done="0">
    <text xml:space="preserve">23029/02 +400.000
23050/04 -400.000
23195/12 -900.000
</text>
  </threadedComment>
  <threadedComment ref="D713" personId="{2F5F6CE8-9486-26C6-27E6-277EBB6962AB}" id="{0095000D-0065-4ADC-90DA-0042009D0059}" done="0">
    <text xml:space="preserve">23009/02 +3.663.880
23173/11 -162.566
23193/12 -3.337.434
</text>
  </threadedComment>
  <threadedComment ref="D715" personId="{2F5F6CE8-9486-26C6-27E6-277EBB6962AB}" id="{000400F9-006D-44B4-ADC5-00F500FC0072}" done="0">
    <text xml:space="preserve">23125/08 -100.000
</text>
  </threadedComment>
  <threadedComment ref="D718" personId="{2F5F6CE8-9486-26C6-27E6-277EBB6962AB}" id="{00710016-00F7-4D18-AD12-00740029003F}" done="0">
    <text xml:space="preserve">23171/11 -300.000
</text>
  </threadedComment>
  <threadedComment ref="D719" personId="{2F5F6CE8-9486-26C6-27E6-277EBB6962AB}" id="{000C0042-000B-4DB3-9BDA-0073000D00D9}" done="0">
    <text xml:space="preserve">23111/07 +81.550,55
</text>
  </threadedComment>
  <threadedComment ref="D720" personId="{2F5F6CE8-9486-26C6-27E6-277EBB6962AB}" id="{005C001A-000D-40EA-BBCC-00FF008400A8}" done="0">
    <text xml:space="preserve">23173/11 -686.470,59 -115.000
23187/12 +52.695,50
</text>
  </threadedComment>
  <threadedComment ref="D721" personId="{2F5F6CE8-9486-26C6-27E6-277EBB6962AB}" id="{00BB00C1-001D-4B7C-A830-0023000F0009}" done="0">
    <text xml:space="preserve">23057/04 
+14.200 úz 29015
+35.205 úz 29031
231125/08 +360.000
</text>
  </threadedComment>
  <threadedComment ref="D727" personId="{2F5F6CE8-9486-26C6-27E6-277EBB6962AB}" id="{000600CF-00AD-422C-83B2-009700350046}" done="0">
    <text xml:space="preserve">23146/10 +9.000
</text>
  </threadedComment>
  <threadedComment ref="D731" personId="{2F5F6CE8-9486-26C6-27E6-277EBB6962AB}" id="{00F5007A-0086-4D4D-AFBC-0044004200BA}" done="0">
    <text xml:space="preserve">23532/03 -431.000
23546/04 -152.880
23563/05 -400.000
</text>
  </threadedComment>
  <threadedComment ref="D732" personId="{2F5F6CE8-9486-26C6-27E6-277EBB6962AB}" id="{00900051-0094-4687-BAE1-007A007A000B}" done="0">
    <text xml:space="preserve">23513/02 +45.254
</text>
  </threadedComment>
  <threadedComment ref="D734" personId="{2F5F6CE8-9486-26C6-27E6-277EBB6962AB}" id="{00D800DB-000E-4192-ACF5-004D007500A3}" done="0">
    <text xml:space="preserve">23563/05 -150.000
</text>
  </threadedComment>
  <threadedComment ref="D735" personId="{2F5F6CE8-9486-26C6-27E6-277EBB6962AB}" id="{00DA0076-0005-4C20-8614-003600720044}" done="0">
    <text xml:space="preserve">23563/05 -100.000
</text>
  </threadedComment>
  <threadedComment ref="D736" personId="{2F5F6CE8-9486-26C6-27E6-277EBB6962AB}" id="{004C008B-00C3-4441-A300-004800BA0048}" done="0">
    <text xml:space="preserve">23563/05 -250.000
</text>
  </threadedComment>
  <threadedComment ref="D737" personId="{2F5F6CE8-9486-26C6-27E6-277EBB6962AB}" id="{003C0054-0092-4499-B7A7-00410005003D}" done="0">
    <text xml:space="preserve">23563/05 -100.000
</text>
  </threadedComment>
  <threadedComment ref="D739" personId="{2F5F6CE8-9486-26C6-27E6-277EBB6962AB}" id="{00F30071-0036-47AF-B587-005B00A10007}" done="0">
    <text xml:space="preserve">23563/05 -800.000
</text>
  </threadedComment>
  <threadedComment ref="D740" personId="{2F5F6CE8-9486-26C6-27E6-277EBB6962AB}" id="{00F500A3-00DA-4DAD-8DF9-006400A700A9}" done="0">
    <text xml:space="preserve">23563/05 -300.000
</text>
  </threadedComment>
  <threadedComment ref="D75" personId="{2F5F6CE8-9486-26C6-27E6-277EBB6962AB}" id="{00EC0022-0015-48AF-8D60-008A00EC0095}" done="0">
    <text xml:space="preserve">23126/08 +300.000
</text>
  </threadedComment>
  <threadedComment ref="D742" personId="{2F5F6CE8-9486-26C6-27E6-277EBB6962AB}" id="{00FD00EF-0004-45F5-8616-00B00063001A}" done="0">
    <text xml:space="preserve">23006/01 +1.812.000
23513/02 -45.254
23558/05 -20.971
23561/05 -13.463,31
23563/05 +2.100.000
23574/06 -63.727
23114/08 +1.163.197,81
23630/10 -31.878
23642/11 -1.911
23673/12 -1.036
23695.12 -18.280,01
</text>
  </threadedComment>
  <threadedComment ref="D743" personId="{2F5F6CE8-9486-26C6-27E6-277EBB6962AB}" id="{002A0048-0008-4981-9900-0096004B00A5}" done="0">
    <text xml:space="preserve">23546/04 
+152.880
23558/05 +20.971
23561/05 +13.463,31
23574/06 +63.727
23630/10 +31.878
23642/11 +1.911
23673/12 +1.036
23695.12 +18.280,01
</text>
  </threadedComment>
  <threadedComment ref="D747" personId="{2F5F6CE8-9486-26C6-27E6-277EBB6962AB}" id="{001B0051-0097-4886-8EC8-00F300AC00AF}" done="0">
    <text xml:space="preserve">23532/03 +431.000
</text>
  </threadedComment>
  <threadedComment ref="D750" personId="{2F5F6CE8-9486-26C6-27E6-277EBB6962AB}" id="{000C001E-0013-4CF1-AF75-00F100DC0083}" done="0">
    <text xml:space="preserve">23022/02 -617.845,43
23617/09 -41.009
23673/12 -12.687,46
23194.12 -323,86
23695.12 -0,03
</text>
  </threadedComment>
  <threadedComment ref="D751" personId="{2F5F6CE8-9486-26C6-27E6-277EBB6962AB}" id="{00770069-00AF-46D2-B656-00BF00CE0076}" done="0">
    <text xml:space="preserve">23617/09 +41.009
23673/12 +12.687,46
23695.12 +0,03
</text>
  </threadedComment>
  <threadedComment ref="D756" personId="{2F5F6CE8-9486-26C6-27E6-277EBB6962AB}" id="{00B700A6-0013-4207-8D00-00CB00FF00FA}" done="0">
    <text xml:space="preserve">23024/02 -1.500.000
</text>
  </threadedComment>
  <threadedComment ref="D762" personId="{2F5F6CE8-9486-26C6-27E6-277EBB6962AB}" id="{00B30061-0065-4230-84CF-0013009900BF}" done="0">
    <text xml:space="preserve">23024/02  - 500.000 jung b2 (část z 1.200.00)
</text>
  </threadedComment>
  <threadedComment ref="D763" personId="{2F5F6CE8-9486-26C6-27E6-277EBB6962AB}" id="{00DD003E-0003-4A66-AB74-00E500530041}" done="0">
    <text xml:space="preserve">23137/09 -1.000.000
</text>
  </threadedComment>
  <threadedComment ref="D764" personId="{2F5F6CE8-9486-26C6-27E6-277EBB6962AB}" id="{00A7001A-00B2-47AD-8107-004900FE00D1}" done="0">
    <text xml:space="preserve">GV -500.000
</text>
  </threadedComment>
  <threadedComment ref="D765" personId="{2F5F6CE8-9486-26C6-27E6-277EBB6962AB}" id="{00B90070-00C8-4CF9-9002-002200E600B1}" done="0">
    <text xml:space="preserve">23024/02  
-1.500.000 jung b1
- 500.000 jung b2 (část z 1.200.00)
</text>
  </threadedComment>
  <threadedComment ref="D769" personId="{2F5F6CE8-9486-26C6-27E6-277EBB6962AB}" id="{00290046-0060-4FE8-AC71-00FF00830062}" done="0">
    <text xml:space="preserve">23194.12 -200.000
</text>
  </threadedComment>
  <threadedComment ref="D771" personId="{2F5F6CE8-9486-26C6-27E6-277EBB6962AB}" id="{000000F7-009A-442F-A120-005C002B00B3}" done="0">
    <text xml:space="preserve">23178/11 -500.000
23194.12 -1.500.000
GV +500.000
</text>
  </threadedComment>
  <threadedComment ref="D774" personId="{2F5F6CE8-9486-26C6-27E6-277EBB6962AB}" id="{00A300EC-00BE-41F2-A8B6-00A400400098}" done="0">
    <text xml:space="preserve">23095/06 +13.073
23194.12 -250.000
</text>
  </threadedComment>
  <threadedComment ref="D775" personId="{2F5F6CE8-9486-26C6-27E6-277EBB6962AB}" id="{00390057-00CC-49D7-9E4F-005C000F00A4}" done="0">
    <text xml:space="preserve">23194.12 -300.000
</text>
  </threadedComment>
  <threadedComment ref="D776" personId="{2F5F6CE8-9486-26C6-27E6-277EBB6962AB}" id="{006A0062-0012-49B6-B5ED-00CC00560050}" done="0">
    <text xml:space="preserve">23178/11 -500.000
23194.12 -200.000
</text>
  </threadedComment>
  <threadedComment ref="D780" personId="{2F5F6CE8-9486-26C6-27E6-277EBB6962AB}" id="{00F1006D-007B-4858-B989-008400BE003D}" done="0">
    <text xml:space="preserve">23137/09 -250.000
</text>
  </threadedComment>
  <threadedComment ref="D79" personId="{2F5F6CE8-9486-26C6-27E6-277EBB6962AB}" id="{00740050-0023-47CF-9925-0036001100BB}" done="0">
    <text xml:space="preserve">23044/03 +384 (321)
23061/04 +43.797 (350)
23071/05 +270 (322)
23142/10 -3.504 (321)
23143/10 +262.743 (321)
</text>
  </threadedComment>
  <threadedComment ref="D786" personId="{2F5F6CE8-9486-26C6-27E6-277EBB6962AB}" id="{00C90043-0069-4A79-9341-001200AD0032}" done="0">
    <text xml:space="preserve">23194.12 +2.450.000
</text>
  </threadedComment>
  <threadedComment ref="D790" personId="{2F5F6CE8-9486-26C6-27E6-277EBB6962AB}" id="{005E00DF-0064-4021-A7A5-0002000F00BF}" done="0">
    <text xml:space="preserve">23103/07 -80.000
23171/11 -20.000
</text>
  </threadedComment>
  <threadedComment ref="D793" personId="{2F5F6CE8-9486-26C6-27E6-277EBB6962AB}" id="{0099006B-0038-47DE-AC85-00CB00630022}" done="0">
    <text xml:space="preserve">23137/09 -400.000
</text>
  </threadedComment>
  <threadedComment ref="D795" personId="{2F5F6CE8-9486-26C6-27E6-277EBB6962AB}" id="{00F7008C-0097-41C5-9BF3-004600A20049}" done="0">
    <text xml:space="preserve">23020/02 +150.000
23173/11 
-32.530 -110.347,82
</text>
  </threadedComment>
  <threadedComment ref="D796" personId="{2F5F6CE8-9486-26C6-27E6-277EBB6962AB}" id="{00C60087-0043-4207-9FA2-0000009E0044}" done="0">
    <text xml:space="preserve">23137/09 -600.000
</text>
  </threadedComment>
  <threadedComment ref="D797" personId="{2F5F6CE8-9486-26C6-27E6-277EBB6962AB}" id="{000F00D2-001B-45ED-8CF5-003C00890052}" done="0">
    <text xml:space="preserve">23024/02 -4.000.000
</text>
  </threadedComment>
  <threadedComment ref="D799" personId="{2F5F6CE8-9486-26C6-27E6-277EBB6962AB}" id="{001E00F7-00F5-4DD5-8AF6-0089009D007F}" done="0">
    <text xml:space="preserve">23137/09 -900.000
</text>
  </threadedComment>
  <threadedComment ref="D801" personId="{2F5F6CE8-9486-26C6-27E6-277EBB6962AB}" id="{00180053-00C3-41D4-8B07-0036003D0097}" done="0">
    <text xml:space="preserve">23546/04 +4.000
23620/09 +100.000
</text>
  </threadedComment>
  <threadedComment ref="D810" personId="{2F5F6CE8-9486-26C6-27E6-277EBB6962AB}" id="{00E9002F-005D-4597-A0FD-00D600530061}" done="0">
    <text xml:space="preserve">23620/09 -100.000
</text>
  </threadedComment>
  <threadedComment ref="D811" personId="{2F5F6CE8-9486-26C6-27E6-277EBB6962AB}" id="{000600E2-002F-4C87-9A9F-005D006B00E6}" done="0">
    <text xml:space="preserve">GV -10.000
</text>
  </threadedComment>
  <threadedComment ref="D813" personId="{2F5F6CE8-9486-26C6-27E6-277EBB6962AB}" id="{00F700BF-005A-4A60-B666-0063006B00CC}" done="0">
    <text xml:space="preserve">23528/03 +146.700
23546/04 -4.000
</text>
  </threadedComment>
  <threadedComment ref="D815" personId="{2F5F6CE8-9486-26C6-27E6-277EBB6962AB}" id="{001A0085-00A6-47B8-85FD-005300F50098}" done="0">
    <text xml:space="preserve">23528/03 -146.700
</text>
  </threadedComment>
  <threadedComment ref="D816" personId="{2F5F6CE8-9486-26C6-27E6-277EBB6962AB}" id="{009E007A-00B2-40B8-A8DF-0083005B00FA}" done="0">
    <text xml:space="preserve">23171/11 -280.000
</text>
  </threadedComment>
  <threadedComment ref="D817" personId="{2F5F6CE8-9486-26C6-27E6-277EBB6962AB}" id="{00D200AB-0053-4C06-BB4C-007100D7001E}" done="0">
    <text xml:space="preserve">23103/07 -80.000
23171/11 -20.000
</text>
  </threadedComment>
  <threadedComment ref="D818" personId="{2F5F6CE8-9486-26C6-27E6-277EBB6962AB}" id="{00010016-0032-4969-9C66-0073000E00BE}" done="0">
    <text xml:space="preserve">GV -2.500
</text>
  </threadedComment>
  <threadedComment ref="D819" personId="{2F5F6CE8-9486-26C6-27E6-277EBB6962AB}" id="{000A00FA-00F2-4710-B5C7-006D006A0028}" done="0">
    <text xml:space="preserve">23137/09 -2.500.000
</text>
  </threadedComment>
  <threadedComment ref="D821" personId="{2F5F6CE8-9486-26C6-27E6-277EBB6962AB}" id="{004E00A3-0016-4630-A17E-009B007D004D}" done="0">
    <text xml:space="preserve">23020/02 
-330.000 +180.000
23104/07 +280.000
23171/11 -15.613,03 -1,16
</text>
  </threadedComment>
  <threadedComment ref="D823" personId="{2F5F6CE8-9486-26C6-27E6-277EBB6962AB}" id="{002600C6-009E-4367-9024-00F3001400ED}" done="0">
    <text xml:space="preserve">23620/09 -100.000
</text>
  </threadedComment>
  <threadedComment ref="D825" personId="{2F5F6CE8-9486-26C6-27E6-277EBB6962AB}" id="{00940016-005B-466C-8390-0045003A00AC}" done="0">
    <text xml:space="preserve">23181/11 +2.000.000
</text>
  </threadedComment>
  <threadedComment ref="D834" personId="{2F5F6CE8-9486-26C6-27E6-277EBB6962AB}" id="{00C400E0-006F-4776-A797-0075008400C5}" done="0">
    <text xml:space="preserve">23620/09 +100.000
GV +10.000
</text>
  </threadedComment>
  <threadedComment ref="D837" personId="{2F5F6CE8-9486-26C6-27E6-277EBB6962AB}" id="{007F006B-006D-4492-9FE0-00C9007C00ED}" done="0">
    <text xml:space="preserve">23137/09 -700.000
</text>
  </threadedComment>
  <threadedComment ref="D85" personId="{2F5F6CE8-9486-26C6-27E6-277EBB6962AB}" id="{00A8000F-003A-4CFC-9DDB-0073005E0081}" done="0">
    <text xml:space="preserve">23146/10 +9.000
</text>
  </threadedComment>
  <threadedComment ref="D843" personId="{2F5F6CE8-9486-26C6-27E6-277EBB6962AB}" id="{00750075-00D4-4CAF-A0A9-00BE00540074}" done="0">
    <text xml:space="preserve">23177/11 +1.000.000
GV +1.100.000
</text>
  </threadedComment>
  <threadedComment ref="D847" personId="{2F5F6CE8-9486-26C6-27E6-277EBB6962AB}" id="{00460093-002B-4659-AC22-004B00EA0058}" done="0">
    <text xml:space="preserve">GV -600.000
</text>
  </threadedComment>
  <threadedComment ref="D848" personId="{2F5F6CE8-9486-26C6-27E6-277EBB6962AB}" id="{004B00B9-00CE-49C9-9169-0063005C00A7}" done="0">
    <text xml:space="preserve">23545/04 +-1.500.000 org
GV -500.000
</text>
  </threadedComment>
  <threadedComment ref="D849" personId="{2F5F6CE8-9486-26C6-27E6-277EBB6962AB}" id="{00DA00D1-0043-4A66-AAF4-0034002C002C}" done="0">
    <text xml:space="preserve">GV +2.500
</text>
  </threadedComment>
  <threadedComment ref="D856" personId="{2F5F6CE8-9486-26C6-27E6-277EBB6962AB}" id="{00BC00BB-0030-4E63-8E48-00BB008F0097}" done="0">
    <text xml:space="preserve">23137/09 -500.000
</text>
  </threadedComment>
  <threadedComment ref="D858" personId="{2F5F6CE8-9486-26C6-27E6-277EBB6962AB}" id="{00D900BA-001E-4B32-B92B-008B0006001A}" done="0">
    <text xml:space="preserve">23137/09 -200.000
</text>
  </threadedComment>
  <threadedComment ref="D873" personId="{2F5F6CE8-9486-26C6-27E6-277EBB6962AB}" id="{0018008F-00CC-44EC-A4A4-0013001D007A}" done="0">
    <text xml:space="preserve">23089/06 -242.500
</text>
  </threadedComment>
  <threadedComment ref="D875" personId="{2F5F6CE8-9486-26C6-27E6-277EBB6962AB}" id="{009D0039-0012-4F06-B70B-004100C300F8}" done="0">
    <text xml:space="preserve">23017/02
+15.614,79   0309
+57.246,53   0321
+130.295,27 0322
+210.485,42 0323
+444.697,21 0325
</text>
  </threadedComment>
  <threadedComment ref="D876" personId="{2F5F6CE8-9486-26C6-27E6-277EBB6962AB}" id="{003E00C0-009F-4824-BE97-00E300F400A1}" done="0">
    <text xml:space="preserve">23041/03 -285.281
</text>
  </threadedComment>
  <threadedComment ref="D877" personId="{2F5F6CE8-9486-26C6-27E6-277EBB6962AB}" id="{00E400B1-006C-4B69-AD54-00B2004B00A5}" done="0">
    <text xml:space="preserve">23041/03 -285.281
</text>
  </threadedComment>
  <threadedComment ref="D878" personId="{2F5F6CE8-9486-26C6-27E6-277EBB6962AB}" id="{0088008E-00B7-4E90-A2D4-002800C40089}" done="0">
    <text xml:space="preserve">23156/11 +300.000
</text>
  </threadedComment>
  <threadedComment ref="D880" personId="{2F5F6CE8-9486-26C6-27E6-277EBB6962AB}" id="{0082001D-0021-48E1-ACC0-00E700CF007A}" done="0">
    <text xml:space="preserve">23083/06 +50.000
23126/08 
+50.000 +50.000
23182/12 +100.000
23194.12+10.000
</text>
  </threadedComment>
  <threadedComment ref="D882" personId="{2F5F6CE8-9486-26C6-27E6-277EBB6962AB}" id="{00450078-0047-4E9F-8867-008600000015}" done="0">
    <text xml:space="preserve">23060/04 -10.050.300
</text>
  </threadedComment>
  <threadedComment ref="D883" personId="{2F5F6CE8-9486-26C6-27E6-277EBB6962AB}" id="{002000E0-00CD-4296-A9A1-001C002A0092}" done="0">
    <text xml:space="preserve">23083/06 -3.000.000
23118/08 +5.000.000
</text>
  </threadedComment>
  <threadedComment ref="D886" personId="{2F5F6CE8-9486-26C6-27E6-277EBB6962AB}" id="{003900AA-0023-48BF-8052-009500080091}" done="0">
    <text xml:space="preserve">23107/07 úz 13014
+ 1.784,32 1201
+10.111,13 1205
</text>
  </threadedComment>
  <threadedComment ref="D887" personId="{2F5F6CE8-9486-26C6-27E6-277EBB6962AB}" id="{00C80055-00D6-42B2-AEC4-00B9009100F2}" done="0">
    <text xml:space="preserve">23107/07 úz 13014
+ 1.784,32 1201
+10.111,13 1205
</text>
  </threadedComment>
  <threadedComment ref="D888" personId="{2F5F6CE8-9486-26C6-27E6-277EBB6962AB}" id="{00B500BB-007A-4323-BBB4-000200DC00D6}" done="0">
    <text xml:space="preserve">23016/02 +8.015
</text>
  </threadedComment>
  <threadedComment ref="D889" personId="{2F5F6CE8-9486-26C6-27E6-277EBB6962AB}" id="{0036005B-0091-40A5-BE5E-00B100D700A5}" done="0">
    <text xml:space="preserve">23016/02 +33.210
</text>
  </threadedComment>
  <threadedComment ref="D890" personId="{2F5F6CE8-9486-26C6-27E6-277EBB6962AB}" id="{00070091-0002-4814-83A8-005800F10099}" done="0">
    <text xml:space="preserve">23090/06 +1.449.005,28
</text>
  </threadedComment>
  <threadedComment ref="D90" personId="{2F5F6CE8-9486-26C6-27E6-277EBB6962AB}" id="{00F7000E-0030-4B20-9F83-00DA004A0093}" done="0">
    <text xml:space="preserve">23043/03 -7.381.538
</text>
  </threadedComment>
  <threadedComment ref="D891" personId="{2F5F6CE8-9486-26C6-27E6-277EBB6962AB}" id="{002F00E4-0028-498A-973B-006D0010000C}" done="0">
    <text xml:space="preserve">23018/02 +221.800
</text>
  </threadedComment>
  <threadedComment ref="D892" personId="{2F5F6CE8-9486-26C6-27E6-277EBB6962AB}" id="{00C100DB-00C6-4227-B913-006B009600FF}" done="0">
    <text xml:space="preserve">23050/04 +400.000
</text>
  </threadedComment>
  <threadedComment ref="D894" personId="{2F5F6CE8-9486-26C6-27E6-277EBB6962AB}" id="{00C800D3-00AB-4735-9A28-0019003300B7}" done="0">
    <text xml:space="preserve">23002/01 -508.200
23003/01 +45.455
23004/01 -2.500.000
23005/01 +2.499.800
23006/01 -1.812.000
23007/01 -76.493,01
23008/01 -33.698
23009/02 -3.663.880
23017/02 -120.860,71
23018/02 -221.800
23019/02 +50.161  poj
23021/02 +14.000.000
23022/02 +14.055,43
23026/02 -1.700.000
23029/02 -300.000
23030/02 -1.938.178,27
23035/03 -436.000
23037/03 -175.000
23038/03 +5.706.845,54
23041/03 +285.281
23043/03 -7.381.538
23044/03 +384
23046/03 +80.676,71
23047/03 +248.308,32
23049/03 -1.750.000
23061/04 +43.797
23062/04 -84.940
23063/04 +3.705,41
23065/05 -231.000
23069/05 -50.000
23071/05 +270
23072/05 +2.989,27
23073/05 +1.200.000 -96.800
23074/05 +921.600
23075/05 
-89.825 -296.450 -213.204
23077/05 -1.000.000
23080/06 -5.500.000
23083/06
+20.000 +76.497 +20200 +36.600 +156.589,68 +5.360 +147.136 +87.410 +265 673,13 +2.870.000
23085/06 -147.136
23089/06 -176
23090/06 -1.449.005,28
23098/07 +23.330.000
23103/07 +160.000
23104/07 -280.000
23105/07 -300.000
23108/07 -150.000
23112/07 -49.000
23114/08 -1.163.197,81
23116/08 -500.000
23118/08 -5.000.000
23119/08 -300.000
23126/08 +9.703.265,68
23605/08 -86.815,98
23127/09 -500.000
23129/09 +700.000
23130/09 +3.074,21
23131/09 +275.000
23136/09 -300.000
23137/09 čistící
+2.277.799,35 +412.445 +7.050.000 
23138/10
+300.000 +1.060.000 +1.000.000 +6.690.000 +7.500.000 +500.000 +1.800.000 +3.930.000 +800.000
23139/10 +1.000.000
23144/10 +98.187
23147/10 +500.000
23151/11 +4.330.000 +700.000
23152/11 +114.563,55
23153/11 -76.493,02
23154/11 +1.650.000
23155/11 +28.572
23156/11 -300.000
23165/11 +62,46
23166/11 +70.122
23168/11 +155.095,79
23169/11 +82.921,96
23170/11 +200.000
23171/11
+48.744 +15.613,03 +1,16 +100.000 +350.000 +280.000 +300.000 +600.000 +10.163 -300.000 +20.000 +20.000
23173/11
+370.000 +175.000 +10.637.000 +26.810 +686.470,59 +30.000 +115.000 +162.566 +32.630 +110.347,82 +594,97
23174/11 +500.000
23175/11 +484.000
23176/11 +700.000
23182/11 +500.000
23183/11 +1.550.000
23184/11 +2.200.000
23185/11 +4.011
23187/12 -52.695,50
23188/12 +300.000
23189/12 +2.180.699,34
23191/12 +217.373,47
23192/12 -100.000
23193/12 +3.337.434
23194.12 -117.496 -2.869.843,80 -287.980 -101.945,85 -5.103.000 -8.281.000 +323,86
23195/12 +1.600.000 +900.000
23196/12 -100.000
</text>
  </threadedComment>
  <threadedComment ref="D895" personId="{2F5F6CE8-9486-26C6-27E6-277EBB6962AB}" id="{00E9000D-001C-49DD-B47A-000E00AD00F5}" done="0">
    <text xml:space="preserve">23069/05 +40.000 +10.000
23083/06 +80.000
</text>
  </threadedComment>
  <threadedComment ref="D896" personId="{2F5F6CE8-9486-26C6-27E6-277EBB6962AB}" id="{00A100E6-00FD-4BA2-B44E-0018007A002C}" done="0">
    <text xml:space="preserve">23605/08 +86.815,98
</text>
  </threadedComment>
  <threadedComment ref="D96" personId="{2F5F6CE8-9486-26C6-27E6-277EBB6962AB}" id="{00CF007B-0021-4B18-8E42-004600510093}" done="0">
    <text xml:space="preserve">23083/06 +36.600
</text>
  </threadedComment>
  <threadedComment ref="D97" personId="{2F5F6CE8-9486-26C6-27E6-277EBB6962AB}" id="{00350051-006E-4540-AB12-009B00950054}" done="0">
    <text xml:space="preserve">23083/06 
+144.589,67 osm
+12.000 od
</text>
  </threadedComment>
</ThreadedComments>
</file>

<file path=xl/threadedComments/threadedComment5.xml><?xml version="1.0" encoding="utf-8"?>
<ThreadedComments xmlns="http://schemas.microsoft.com/office/spreadsheetml/2018/threadedcomments" xmlns:x="http://schemas.openxmlformats.org/spreadsheetml/2006/main">
  <threadedComment ref="K11" personId="{2F5F6CE8-9486-26C6-27E6-277EBB6962AB}" id="{00A900E3-0058-4C7C-AAA7-004B0060001C}" done="0">
    <text xml:space="preserve">ř.4240-4220
</text>
  </threadedComment>
  <threadedComment ref="D102" personId="{2F5F6CE8-9486-26C6-27E6-277EBB6962AB}" id="{008B0016-0046-45F8-BBCE-006000FB00D2}" done="0">
    <text xml:space="preserve">23137/09 +65.755,68
</text>
  </threadedComment>
  <threadedComment ref="D103" personId="{2F5F6CE8-9486-26C6-27E6-277EBB6962AB}" id="{00D1007F-00C1-4A7D-AFF0-0046005C0098}" done="0">
    <text xml:space="preserve">23126/08 +28.500
</text>
  </threadedComment>
  <threadedComment ref="D108" personId="{2F5F6CE8-9486-26C6-27E6-277EBB6962AB}" id="{00A500CC-00AB-4889-A237-005A001B0056}" done="0">
    <text xml:space="preserve">23137/09 +65.069
</text>
  </threadedComment>
  <threadedComment ref="D110" personId="{2F5F6CE8-9486-26C6-27E6-277EBB6962AB}" id="{00420031-0082-4570-B288-009F0017000B}" done="0">
    <text xml:space="preserve">23017/02 
+ 91.051,59   0307
+159.661,95 0305
</text>
  </threadedComment>
  <threadedComment ref="K12" personId="{8DF53CA1-B0D4-78BB-20C5-B40BD0C91D2C}" id="{006F0001-00CD-43D7-A093-00B70091007D}" done="0">
    <text xml:space="preserve">040 ř.4220
nebo celk výdaje - tř6
nebo
min Závěrečný propočet dle výkazu
</text>
  </threadedComment>
  <threadedComment ref="L12" personId="{2F5F6CE8-9486-26C6-27E6-277EBB6962AB}" id="{005F0077-009F-4109-B965-001F00470029}" done="0">
    <text xml:space="preserve">ř.4220
</text>
  </threadedComment>
  <threadedComment ref="D111" personId="{2F5F6CE8-9486-26C6-27E6-277EBB6962AB}" id="{008800E9-00C2-487C-87BC-00F600D100BA}" done="0">
    <text xml:space="preserve">23017/02 +29.886,84
</text>
  </threadedComment>
  <threadedComment ref="D112" personId="{2F5F6CE8-9486-26C6-27E6-277EBB6962AB}" id="{0087008C-0041-460A-8E20-0010008800D9}" done="0">
    <text xml:space="preserve">23017/02 +305.600,85
</text>
  </threadedComment>
  <threadedComment ref="D113" personId="{2F5F6CE8-9486-26C6-27E6-277EBB6962AB}" id="{00390019-00FF-4810-9824-00FD004300D2}" done="0">
    <text xml:space="preserve">23017/02 +151.277,28
</text>
  </threadedComment>
  <threadedComment ref="D114" personId="{2F5F6CE8-9486-26C6-27E6-277EBB6962AB}" id="{009100AF-0056-41D7-9D0F-00DF00380046}" done="0">
    <text xml:space="preserve">23038/03 +5.706.845,54
23126/08 -1.000.000
</text>
  </threadedComment>
  <threadedComment ref="D115" personId="{2F5F6CE8-9486-26C6-27E6-277EBB6962AB}" id="{0040002B-00BE-4967-8EBB-00D500A50027}" done="0">
    <text xml:space="preserve">23126/08 +1.457.025,42
</text>
  </threadedComment>
  <threadedComment ref="D116" personId="{2F5F6CE8-9486-26C6-27E6-277EBB6962AB}" id="{004E00D7-0016-4E7C-8BA6-008A003B0046}" done="0">
    <text xml:space="preserve">23083/06 +265.673,13
</text>
  </threadedComment>
  <threadedComment ref="D118" personId="{2F5F6CE8-9486-26C6-27E6-277EBB6962AB}" id="{001A00A2-0011-49D4-9CC3-00F800D50059}" done="0">
    <text xml:space="preserve">23083/06 
+5.360 +147.136
</text>
  </threadedComment>
  <threadedComment ref="D119" personId="{2F5F6CE8-9486-26C6-27E6-277EBB6962AB}" id="{00FE00B2-0019-49D7-A825-006A00810049}" done="0">
    <text xml:space="preserve">23107/07 úz13014
+ 1.784,32 1201
+10.111,13 1205
</text>
  </threadedComment>
  <threadedComment ref="D120" personId="{2F5F6CE8-9486-26C6-27E6-277EBB6962AB}" id="{008B0065-00CD-4D45-B70E-00A1008700BE}" done="0">
    <text xml:space="preserve">23016/02 +8.015
</text>
  </threadedComment>
  <threadedComment ref="K13" personId="{8DF53CA1-B0D4-78BB-20C5-B40BD0C91D2C}" id="{005E00D3-00B3-4E05-8E01-00DB00EF0008}" done="0">
    <text xml:space="preserve">040 ř.4240
nebo
min Závěrečný propočet
dle výkazu
</text>
  </threadedComment>
  <threadedComment ref="L13" personId="{2F5F6CE8-9486-26C6-27E6-277EBB6962AB}" id="{00260076-0069-41DC-B78D-00C700CB0088}" done="0">
    <text xml:space="preserve">ř.4240-ř.4300-ř.4310
</text>
  </threadedComment>
  <threadedComment ref="D121" personId="{2F5F6CE8-9486-26C6-27E6-277EBB6962AB}" id="{00B700BF-00F9-4FF9-B29B-004700E000EA}" done="0">
    <text xml:space="preserve">23016/02 +33.210
</text>
  </threadedComment>
  <threadedComment ref="D122" personId="{2F5F6CE8-9486-26C6-27E6-277EBB6962AB}" id="{00360052-0042-452E-9217-00DC00610081}" done="0">
    <text xml:space="preserve">23050/04 +100.000
</text>
  </threadedComment>
  <threadedComment ref="D123" personId="{2F5F6CE8-9486-26C6-27E6-277EBB6962AB}" id="{00680095-008F-43E0-A3FC-00BB002D0031}" done="0">
    <text xml:space="preserve">23011/02 -+50.000
23031/02 -+50.000
23032/02 +5.000
</text>
  </threadedComment>
  <threadedComment ref="D124" personId="{2F5F6CE8-9486-26C6-27E6-277EBB6962AB}" id="{00B1005D-003B-4DC6-84FF-00C4005D005A}" done="0">
    <text xml:space="preserve">23019/02 +59.931
23095/06 +206.193
23155/11 +35.583
23185/11 +4.011
</text>
  </threadedComment>
  <threadedComment ref="D126" personId="{2F5F6CE8-9486-26C6-27E6-277EBB6962AB}" id="{001E00CC-0032-4B9D-9608-007200A4001B}" done="0">
    <text xml:space="preserve">23194.12 +901.049
</text>
  </threadedComment>
  <threadedComment ref="D130" personId="{2F5F6CE8-9486-26C6-27E6-277EBB6962AB}" id="{001C00F7-0037-43EB-8743-00E500A90093}" done="0">
    <text xml:space="preserve">23194.12 -101.945,85
</text>
  </threadedComment>
  <threadedComment ref="D131" personId="{2F5F6CE8-9486-26C6-27E6-277EBB6962AB}" id="{009C00AD-00E9-4E42-AD26-005300B30064}" done="0">
    <text xml:space="preserve">23194.12 -101.945,85
</text>
  </threadedComment>
  <threadedComment ref="D135" personId="{2F5F6CE8-9486-26C6-27E6-277EBB6962AB}" id="{00C800BD-0030-42AD-9E6F-00D300720046}" done="0">
    <text xml:space="preserve">23126/08 +145.200
</text>
  </threadedComment>
  <threadedComment ref="D142" personId="{2F5F6CE8-9486-26C6-27E6-277EBB6962AB}" id="{00F50090-00AA-4662-A356-00DD003000D4}" done="0">
    <text xml:space="preserve">23013/02 +227.100
23028/02 +232.500
23042/03 +210.000
23064/04 +231.000
23076/05 +234.000
23092/06 +241.800
23106/07 +231.000
</text>
  </threadedComment>
  <threadedComment ref="D146" personId="{2F5F6CE8-9486-26C6-27E6-277EBB6962AB}" id="{0011005A-00AD-40AC-915B-00B600750053}" done="0">
    <text xml:space="preserve">23194.12 +50.000
</text>
  </threadedComment>
  <threadedComment ref="D152" personId="{2F5F6CE8-9486-26C6-27E6-277EBB6962AB}" id="{00DD003F-0003-4097-805B-005600AE0060}" done="0">
    <text xml:space="preserve">23080/06 -5.500.000
</text>
  </threadedComment>
  <threadedComment ref="D153" personId="{2F5F6CE8-9486-26C6-27E6-277EBB6962AB}" id="{001700EB-00A7-4543-91FD-00E900120075}" done="0">
    <text xml:space="preserve">23087/06 -7.500.000
</text>
  </threadedComment>
  <threadedComment ref="D154" personId="{2F5F6CE8-9486-26C6-27E6-277EBB6962AB}" id="{00C5002E-001A-4272-BBBA-008900C800D7}" done="0">
    <text xml:space="preserve">23062/04 -1.144.538
</text>
  </threadedComment>
  <threadedComment ref="D164" personId="{2F5F6CE8-9486-26C6-27E6-277EBB6962AB}" id="{00F2004D-005E-4B91-9441-000300E4008F}" done="0">
    <text xml:space="preserve">23194.12 -4.081.000
</text>
  </threadedComment>
  <threadedComment ref="D165" personId="{2F5F6CE8-9486-26C6-27E6-277EBB6962AB}" id="{001C0080-00D3-48A6-B240-009400A3000C}" done="0">
    <text xml:space="preserve">23194.12 -5.103.000
</text>
  </threadedComment>
  <threadedComment ref="D166" personId="{2F5F6CE8-9486-26C6-27E6-277EBB6962AB}" id="{00E70040-0029-4410-AC87-003E006900E6}" done="0">
    <text xml:space="preserve">23194.12 -4.200.000
</text>
  </threadedComment>
  <threadedComment ref="D167" personId="{2F5F6CE8-9486-26C6-27E6-277EBB6962AB}" id="{0073002A-004E-45E4-9AC2-002000CA00F2}" done="0">
    <text xml:space="preserve">23121/08 +121.111
</text>
  </threadedComment>
  <threadedComment ref="D170" personId="{2F5F6CE8-9486-26C6-27E6-277EBB6962AB}" id="{009700B6-00FC-408B-B76C-00AF002D0032}" done="0">
    <text xml:space="preserve">23147/10 +500.000
23196/12 -100.000
</text>
  </threadedComment>
  <threadedComment ref="D172" personId="{2F5F6CE8-9486-26C6-27E6-277EBB6962AB}" id="{00040062-00BA-421E-88C7-003A004A009F}" done="0">
    <text xml:space="preserve">23126/08 -2.200.000
</text>
  </threadedComment>
  <threadedComment ref="D173" personId="{2F5F6CE8-9486-26C6-27E6-277EBB6962AB}" id="{00BC001C-006D-4ECA-B8EE-002D00A00024}" done="0">
    <text xml:space="preserve">23133/09 -1.200.000
</text>
  </threadedComment>
  <threadedComment ref="D177" personId="{2F5F6CE8-9486-26C6-27E6-277EBB6962AB}" id="{00BD008F-004A-458B-B9B0-0020003C0037}" done="0">
    <text xml:space="preserve">23014/02 +864.200
</text>
  </threadedComment>
  <threadedComment ref="D178" personId="{2F5F6CE8-9486-26C6-27E6-277EBB6962AB}" id="{00DA009B-0037-483B-97A0-0081003E0078}" done="0">
    <text xml:space="preserve">23063/04 +3.705,41
</text>
  </threadedComment>
  <threadedComment ref="D179" personId="{2F5F6CE8-9486-26C6-27E6-277EBB6962AB}" id="{00B400A4-0082-4590-9399-002000D50082}" done="0">
    <text xml:space="preserve">23005/01 +2.499.800
</text>
  </threadedComment>
  <threadedComment ref="D181" personId="{2F5F6CE8-9486-26C6-27E6-277EBB6962AB}" id="{007600A9-0004-423E-8C5C-00E800D10023}" done="0">
    <text xml:space="preserve">23116/08 + úz 13013
+ 59.357,27 (1041)
+504.536,84 (1045)
</text>
  </threadedComment>
  <threadedComment ref="D182" personId="{2F5F6CE8-9486-26C6-27E6-277EBB6962AB}" id="{008C0089-0020-4914-AE82-009100C90041}" done="0">
    <text xml:space="preserve">23062/04 +1.059.598
</text>
  </threadedComment>
  <threadedComment ref="D183" personId="{2F5F6CE8-9486-26C6-27E6-277EBB6962AB}" id="{00C40074-002A-4E42-A7FE-008F000B005F}" done="0">
    <text xml:space="preserve">23087/06 +8.304.000
</text>
  </threadedComment>
  <threadedComment ref="D184" personId="{2F5F6CE8-9486-26C6-27E6-277EBB6962AB}" id="{003A0044-0008-4017-A512-006400950000}" done="0">
    <text xml:space="preserve">23152/11 +114.563,55
</text>
  </threadedComment>
  <threadedComment ref="D185" personId="{2F5F6CE8-9486-26C6-27E6-277EBB6962AB}" id="{0072008E-00D0-4A31-A7C5-0027002C00D9}" done="0">
    <text xml:space="preserve">23046/03
+    635,25 17015 1071
+12.705     17015 1075 
</text>
  </threadedComment>
  <threadedComment ref="D186" personId="{2F5F6CE8-9486-26C6-27E6-277EBB6962AB}" id="{009F003A-00C7-4540-8883-003E001F009A}" done="0">
    <text xml:space="preserve">23047/03
+ 635,25  17015 107 1
+12.705  17016 107 5
</text>
  </threadedComment>
  <threadedComment ref="D187" personId="{2F5F6CE8-9486-26C6-27E6-277EBB6962AB}" id="{00F400D9-00AD-4EF4-8810-003900C900D2}" done="0">
    <text xml:space="preserve">23174/11
+ 2.117,50  17015 107 1
+35.997,50  17016 107 5
</text>
  </threadedComment>
  <threadedComment ref="D188" personId="{2F5F6CE8-9486-26C6-27E6-277EBB6962AB}" id="{00200094-00C8-4546-8399-0084003E0042}" done="0">
    <text xml:space="preserve">23057/04 +14.200
</text>
  </threadedComment>
  <threadedComment ref="D189" personId="{2F5F6CE8-9486-26C6-27E6-277EBB6962AB}" id="{00260097-00C6-448C-8020-003800BC00F4}" done="0">
    <text xml:space="preserve">23057/04 +35.205
23194.12 -108.238 úz29031 1705
</text>
  </threadedComment>
  <threadedComment ref="D190" personId="{B5FD8596-77AF-ADAD-A15D-964B5815616B}" id="{006F00C4-000E-4A9D-953E-00D400D500E5}" done="0">
    <text xml:space="preserve">23015/02 úz33092 
+ +949.089,62 1431
+3.130.384,38 1435
</text>
  </threadedComment>
  <threadedComment ref="D191" personId="{B5FD8596-77AF-ADAD-A15D-964B5815616B}" id="{00ED00C0-005E-4CAB-9231-008400FD00D8}" done="0">
    <text xml:space="preserve">23015/02 úz33092 
+1.005.316,48 1431
+3.315.837,52 1435
</text>
  </threadedComment>
  <threadedComment ref="D192" personId="{B5FD8596-77AF-ADAD-A15D-964B5815616B}" id="{00000002-00DC-430C-B32E-00470044009C}" done="0">
    <text xml:space="preserve">23058/04 úz33092 
+ 519.876,20 1431
+1.714.708,80 1435
</text>
  </threadedComment>
  <threadedComment ref="D193" personId="{B5FD8596-77AF-ADAD-A15D-964B5815616B}" id="{00E6004B-00BD-4100-B769-0026003A0098}" done="0">
    <text xml:space="preserve">23093/06 úz33092 
+ 551.883,72 1431
+1.820.279,28 1435
</text>
  </threadedComment>
  <threadedComment ref="D194" personId="{2F5F6CE8-9486-26C6-27E6-277EBB6962AB}" id="{0006009F-00D0-4C2E-A0A4-000B001F0093}" done="0">
    <text xml:space="preserve">23096/06 +100.000
</text>
  </threadedComment>
  <threadedComment ref="D195" personId="{2F5F6CE8-9486-26C6-27E6-277EBB6962AB}" id="{001E0066-0092-4282-B3ED-00D2002400CD}" done="0">
    <text xml:space="preserve">23131/09 
+775.000 -500.000
</text>
  </threadedComment>
  <threadedComment ref="D197" personId="{2F5F6CE8-9486-26C6-27E6-277EBB6962AB}" id="{002100E2-0003-4389-B28E-000000AD00D6}" done="0">
    <text xml:space="preserve">23137/09 +67.500
</text>
  </threadedComment>
  <threadedComment ref="D198" personId="{2F5F6CE8-9486-26C6-27E6-277EBB6962AB}" id="{00590024-0091-41C6-BEBA-00460008003D}" done="0">
    <text xml:space="preserve">23194.12 -204
</text>
  </threadedComment>
  <threadedComment ref="D199" personId="{2F5F6CE8-9486-26C6-27E6-277EBB6962AB}" id="{00CD00E4-0028-45FF-94F6-0089002F00B0}" done="0">
    <text xml:space="preserve">23194.12 -75.889
</text>
  </threadedComment>
  <threadedComment ref="D201" personId="{2F5F6CE8-9486-26C6-27E6-277EBB6962AB}" id="{001E00EC-00AB-4F48-B111-004500B6004C}" done="0">
    <text xml:space="preserve">23039/03 org z 541 na 029
</text>
  </threadedComment>
  <threadedComment ref="D202" personId="{2F5F6CE8-9486-26C6-27E6-277EBB6962AB}" id="{002D0004-00E3-47F0-8473-000000ED0059}" done="0">
    <text xml:space="preserve">23137/09 
+230.505 -100.000
23194.12 +76.835
</text>
  </threadedComment>
  <threadedComment ref="D205" personId="{2F5F6CE8-9486-26C6-27E6-277EBB6962AB}" id="{008B000A-008F-4BDB-97E8-006B004A00EB}" done="0">
    <text xml:space="preserve">23157/11 
+ 4.900 úz 253 SR
+44.100 úz 911 EU
</text>
  </threadedComment>
  <threadedComment ref="D206" personId="{2F5F6CE8-9486-26C6-27E6-277EBB6962AB}" id="{0008008B-004E-48BC-A010-006A009300BF}" done="0">
    <text xml:space="preserve">23158/11 
+ 7.519 úz 253 SR
+67.671 úz 911 EU
</text>
  </threadedComment>
  <threadedComment ref="D207" personId="{2F5F6CE8-9486-26C6-27E6-277EBB6962AB}" id="{00D5006C-00C3-407C-A68A-00D700D10005}" done="0">
    <text xml:space="preserve">23159/11 
+ 6.798 úz 253 SR
+61.182 úz 911 EU
</text>
  </threadedComment>
  <threadedComment ref="D208" personId="{2F5F6CE8-9486-26C6-27E6-277EBB6962AB}" id="{003B00CE-00BC-454F-85AE-00B8006C00B0}" done="0">
    <text xml:space="preserve">23001/01 +4.551.000
</text>
  </threadedComment>
  <threadedComment ref="D209" personId="{2F5F6CE8-9486-26C6-27E6-277EBB6962AB}" id="{0088006C-00F7-42C9-ADDF-00EC00390006}" done="0">
    <text xml:space="preserve">23056/04 +80.000
</text>
  </threadedComment>
  <threadedComment ref="D210" personId="{2F5F6CE8-9486-26C6-27E6-277EBB6962AB}" id="{002A004F-00D2-4A25-9EEF-004600D6008A}" done="0">
    <text xml:space="preserve">23055/04 +50.000
</text>
  </threadedComment>
  <threadedComment ref="D211" personId="{2F5F6CE8-9486-26C6-27E6-277EBB6962AB}" id="{009A00F5-00E3-40E9-92A2-0077002600A3}" done="0">
    <text xml:space="preserve">23027/02 +9.234 (z 4222)
</text>
  </threadedComment>
  <threadedComment ref="D212" personId="{2F5F6CE8-9486-26C6-27E6-277EBB6962AB}" id="{006F00DA-0008-4569-B47F-003A00AD0050}" done="0">
    <text xml:space="preserve">23059/04 +210.000
</text>
  </threadedComment>
  <threadedComment ref="D213" personId="{2F5F6CE8-9486-26C6-27E6-277EBB6962AB}" id="{00480093-00BC-44BE-8B9A-005000C70042}" done="0">
    <text xml:space="preserve">23194.12 +45.000
</text>
  </threadedComment>
  <threadedComment ref="D214" personId="{2F5F6CE8-9486-26C6-27E6-277EBB6962AB}" id="{004E00E2-00DE-40AB-9933-008F00D90093}" done="0">
    <text xml:space="preserve">23102/07 +170.400
23177/11 -28.290
</text>
  </threadedComment>
  <threadedComment ref="D215" personId="{2F5F6CE8-9486-26C6-27E6-277EBB6962AB}" id="{008D0087-0063-443D-8C22-006E00590004}" done="0">
    <text xml:space="preserve">23086/06 úz 913, 120 1,5
+ 4.752,88 (0321, 1201)
+26.932,97 (0321, 1205)
+ 1.806,05 (0322, 1201)
+10.234,30 (0322, 1205)
+ 5.713,08 (0323, 1201)
+32.374,08 (0323, 1205)
23107/07 úz 913
- 1.607,13 (0321 1205)
- 9.107,07 (0321 1205)
- 1.051,79 (0322 1201)
- 5.960,11 (0322 1205)
-   177,66  (0323 1201)
- 1.006,74 (0320 1205)
</text>
  </threadedComment>
  <threadedComment ref="D216" personId="{2F5F6CE8-9486-26C6-27E6-277EBB6962AB}" id="{000C00E8-0007-44CA-B95E-002C00C20010}" done="0">
    <text xml:space="preserve">23054/04 + 5.960.000
</text>
  </threadedComment>
  <threadedComment ref="D217" personId="{2F5F6CE8-9486-26C6-27E6-277EBB6962AB}" id="{008700D4-00AA-44F4-BF91-0017003800CE}" done="0">
    <text xml:space="preserve">23082/06-94.000
</text>
  </threadedComment>
  <threadedComment ref="D219" personId="{2F5F6CE8-9486-26C6-27E6-277EBB6962AB}" id="{0045007E-0021-4941-9DDE-003F00630084}" done="0">
    <text xml:space="preserve">23174/11 -1.400.000
23189/11 +2.180.699,34
</text>
  </threadedComment>
  <threadedComment ref="D221" personId="{2F5F6CE8-9486-26C6-27E6-277EBB6962AB}" id="{005F0045-00BA-444F-998A-003300EC007B}" done="0">
    <text xml:space="preserve">23116/08 -500.000
</text>
  </threadedComment>
  <threadedComment ref="D222" personId="{2F5F6CE8-9486-26C6-27E6-277EBB6962AB}" id="{00460053-00C0-4278-938A-00D80071007C}" done="0">
    <text xml:space="preserve">23133/09 +1.200.000
</text>
  </threadedComment>
  <threadedComment ref="D223" personId="{2F5F6CE8-9486-26C6-27E6-277EBB6962AB}" id="{00990074-00A7-4315-927F-00D2006B00F8}" done="0">
    <text xml:space="preserve">23046/03 -4.250.000
+   205.587,45 17968 1071
+4.111.749,01  17969 1075 
</text>
  </threadedComment>
  <threadedComment ref="D224" personId="{2F5F6CE8-9486-26C6-27E6-277EBB6962AB}" id="{00500091-0047-4CD5-9074-00C900B3000A}" done="0">
    <text xml:space="preserve">23047/03 
-4.800.000 17969 1075
+ 239.760,30 17968 107 1
+4.795.207,68 17969 107 5
</text>
  </threadedComment>
  <threadedComment ref="D225" personId="{2F5F6CE8-9486-26C6-27E6-277EBB6962AB}" id="{00FB00E1-004D-407F-9D4D-000800C40033}" done="0">
    <text xml:space="preserve">23174/11
+    93.385,85 17968 107 1
+1.587.559,45 17969 107 5
</text>
  </threadedComment>
  <threadedComment ref="D226" personId="{2F5F6CE8-9486-26C6-27E6-277EBB6962AB}" id="{0071007D-0096-4779-BB17-004200B900BE}" done="0">
    <text xml:space="preserve">23194.12 -2.869.843,80
</text>
  </threadedComment>
  <threadedComment ref="D228" personId="{2F5F6CE8-9486-26C6-27E6-277EBB6962AB}" id="{000100B0-00D1-48F7-954F-005D00500001}" done="0">
    <text xml:space="preserve">23055/04 +150.000
</text>
  </threadedComment>
  <threadedComment ref="D229" personId="{2F5F6CE8-9486-26C6-27E6-277EBB6962AB}" id="{00F300AA-00DF-40C0-A67F-004D00790085}" done="0">
    <text xml:space="preserve">23088/06 +22.018
</text>
  </threadedComment>
  <threadedComment ref="D230" personId="{2F5F6CE8-9486-26C6-27E6-277EBB6962AB}" id="{00BD001E-0056-4EFF-89D5-007500B200A3}" done="0">
    <text xml:space="preserve">23027/02 
zm úz z 720 na 711,
-9.234 (na 4122)
</text>
  </threadedComment>
  <threadedComment ref="D231" personId="{2F5F6CE8-9486-26C6-27E6-277EBB6962AB}" id="{00F700F9-0072-44F6-A88B-00F40060000F}" done="0">
    <text xml:space="preserve">23194.12 -287.980
</text>
  </threadedComment>
  <threadedComment ref="D247" personId="{2F5F6CE8-9486-26C6-27E6-277EBB6962AB}" id="{00AD00BA-00BE-4028-9198-000E005600C2}" done="0">
    <text xml:space="preserve">23571/06 -13.240
</text>
  </threadedComment>
  <threadedComment ref="D248" personId="{2F5F6CE8-9486-26C6-27E6-277EBB6962AB}" id="{008A00EA-00B1-42E7-8E0A-000700080037}" done="0">
    <text xml:space="preserve">23625/10 +58.821
</text>
  </threadedComment>
  <threadedComment ref="D249" personId="{2F5F6CE8-9486-26C6-27E6-277EBB6962AB}" id="{00C4001F-00CB-46B5-8E4B-00AD005F0063}" done="0">
    <text xml:space="preserve">23625/10 -58.821
</text>
  </threadedComment>
  <threadedComment ref="D250" personId="{2F5F6CE8-9486-26C6-27E6-277EBB6962AB}" id="{00480019-0045-4E86-AB6F-004C0014002B}" done="0">
    <text xml:space="preserve">23571/06 +13.240
</text>
  </threadedComment>
  <threadedComment ref="D252" personId="{2F5F6CE8-9486-26C6-27E6-277EBB6962AB}" id="{001C0070-00BB-48E5-A6B8-00010027009B}" done="0">
    <text xml:space="preserve">23180/11 +70.000
</text>
  </threadedComment>
  <threadedComment ref="D253" personId="{2F5F6CE8-9486-26C6-27E6-277EBB6962AB}" id="{008B0035-00FD-4528-A4AD-0013007700C3}" done="0">
    <text xml:space="preserve">23089/06 +242.676
23602/08 +100.000
</text>
  </threadedComment>
  <threadedComment ref="D254" personId="{2F5F6CE8-9486-26C6-27E6-277EBB6962AB}" id="{00D800D5-000D-41AD-9D77-00ED00E2005C}" done="0">
    <text xml:space="preserve">23602/08 -100.000
</text>
  </threadedComment>
  <threadedComment ref="D258" personId="{2F5F6CE8-9486-26C6-27E6-277EBB6962AB}" id="{000200EF-0014-4766-B6C1-00FA00210021}" done="0">
    <text xml:space="preserve">23180/11 -70.000
</text>
  </threadedComment>
  <threadedComment ref="D262" personId="{2F5F6CE8-9486-26C6-27E6-277EBB6962AB}" id="{006F003D-0036-49AB-AA31-00C500F0003B}" done="0">
    <text xml:space="preserve">23173/11 -30.000
</text>
  </threadedComment>
  <threadedComment ref="D263" personId="{2F5F6CE8-9486-26C6-27E6-277EBB6962AB}" id="{00AB0061-004E-4B4E-95A3-0019005100AD}" done="0">
    <text xml:space="preserve">23173/11 -10.637.000
</text>
  </threadedComment>
  <threadedComment ref="D264" personId="{2F5F6CE8-9486-26C6-27E6-277EBB6962AB}" id="{007D00B6-0092-495C-9C53-00BC004F0030}" done="0">
    <text xml:space="preserve">23173/11 -26.810
</text>
  </threadedComment>
  <threadedComment ref="D265" personId="{2F5F6CE8-9486-26C6-27E6-277EBB6962AB}" id="{0000001C-0013-45C4-99EA-002400B000B3}" done="0">
    <text xml:space="preserve">23171/11 +300.000
</text>
  </threadedComment>
  <threadedComment ref="D266" personId="{2F5F6CE8-9486-26C6-27E6-277EBB6962AB}" id="{00C5001D-005E-4017-A22E-002100E10003}" done="0">
    <text xml:space="preserve">23171/11 -100.000
23195/12 -1.600.000
</text>
  </threadedComment>
  <threadedComment ref="D267" personId="{2F5F6CE8-9486-26C6-27E6-277EBB6962AB}" id="{00B600A9-00FC-4585-8B32-009B003700AF}" done="0">
    <text xml:space="preserve">23095/06 +61.673
23148/10 -100.000
23190/12 -125.000
</text>
  </threadedComment>
  <threadedComment ref="D268" personId="{2F5F6CE8-9486-26C6-27E6-277EBB6962AB}" id="{00AB0024-0049-4AF7-937E-00930065004B}" done="0">
    <text xml:space="preserve">23590/07 +500.000
23119/08 +300.000
23635/10 +3j00.000
</text>
  </threadedComment>
  <threadedComment ref="D269" personId="{2F5F6CE8-9486-26C6-27E6-277EBB6962AB}" id="{005E00BE-00E1-4F5B-85F6-00C5004800FA}" done="0">
    <text xml:space="preserve">23590/07 -500.000
23635/10 -300.000
23636/10 -550.000
</text>
  </threadedComment>
  <threadedComment ref="D270" personId="{2F5F6CE8-9486-26C6-27E6-277EBB6962AB}" id="{00ED009F-002A-463E-9CB0-000D00DF00C2}" done="0">
    <text xml:space="preserve">23636/10 +550.000
</text>
  </threadedComment>
  <threadedComment ref="D274" personId="{2F5F6CE8-9486-26C6-27E6-277EBB6962AB}" id="{0082009D-0094-4936-A30B-00EB003A0061}" done="0">
    <text xml:space="preserve">23049/03 -700.000
23624/10 +3.000
</text>
  </threadedComment>
  <threadedComment ref="D277" personId="{2F5F6CE8-9486-26C6-27E6-277EBB6962AB}" id="{0074009C-004E-467A-BA8E-0029003000FA}" done="0">
    <text xml:space="preserve">23624/10 -3.000
</text>
  </threadedComment>
  <threadedComment ref="D278" personId="{2F5F6CE8-9486-26C6-27E6-277EBB6962AB}" id="{00050050-00F1-4B42-80CE-003200610096}" done="0">
    <text xml:space="preserve">23671/12 +114.240
</text>
  </threadedComment>
  <threadedComment ref="D279" personId="{2F5F6CE8-9486-26C6-27E6-277EBB6962AB}" id="{00E900FC-007E-4888-BFE2-00DF005D00D0}" done="0">
    <text xml:space="preserve">23120/08 -76.104,43
23124/08 -103.109,69
23134/09 +76.104,43
23148/10 +100.000
23190/12 +125.000
23671/12 -114.240
</text>
  </threadedComment>
  <threadedComment ref="D282" personId="{2F5F6CE8-9486-26C6-27E6-277EBB6962AB}" id="{00760070-006D-427C-8D16-00D000E700B8}" done="0">
    <text xml:space="preserve">23508/02 +29.498,59
</text>
  </threadedComment>
  <threadedComment ref="D283" personId="{2F5F6CE8-9486-26C6-27E6-277EBB6962AB}" id="{007E008C-0004-44E8-BB35-0067009A009E}" done="0">
    <text xml:space="preserve">23508/02 -29.498,59
</text>
  </threadedComment>
  <threadedComment ref="D284" personId="{2F5F6CE8-9486-26C6-27E6-277EBB6962AB}" id="{008000AD-00C1-4DAF-97CA-007000BE0065}" done="0">
    <text xml:space="preserve">23095/06 +1.124
</text>
  </threadedComment>
  <threadedComment ref="D290" personId="{2F5F6CE8-9486-26C6-27E6-277EBB6962AB}" id="{00C20090-008A-4A0A-A939-008E008C001E}" done="0">
    <text xml:space="preserve">23633/10 -8.000
23651/11 +15.000
</text>
  </threadedComment>
  <threadedComment ref="D292" personId="{2F5F6CE8-9486-26C6-27E6-277EBB6962AB}" id="{006C0064-0021-46CE-9E17-00B000600072}" done="0">
    <text xml:space="preserve">23651/11 -15.000
</text>
  </threadedComment>
  <threadedComment ref="D293" personId="{2F5F6CE8-9486-26C6-27E6-277EBB6962AB}" id="{00350021-0010-40CF-AD43-008400CB00BB}" done="0">
    <text xml:space="preserve">23633/10 +8.000
</text>
  </threadedComment>
  <threadedComment ref="D301" personId="{2F5F6CE8-9486-26C6-27E6-277EBB6962AB}" id="{007100FE-008A-4E53-B7C8-00DD009200CE}" done="0">
    <text xml:space="preserve">23091/06 +274.029,69
23097/06 +220.000 
(a 23115/08)
</text>
  </threadedComment>
  <threadedComment ref="D302" personId="{2F5F6CE8-9486-26C6-27E6-277EBB6962AB}" id="{008900E2-00A8-4C17-BE89-0018008C0016}" done="0">
    <text xml:space="preserve">23132/09 +200.000
</text>
  </threadedComment>
  <threadedComment ref="D304" personId="{2F5F6CE8-9486-26C6-27E6-277EBB6962AB}" id="{006E0042-00DB-48B3-9068-007700920008}" done="0">
    <text xml:space="preserve">23123/08 +146.890,31
23124/08 +103.109,69
</text>
  </threadedComment>
  <threadedComment ref="D305" personId="{2F5F6CE8-9486-26C6-27E6-277EBB6962AB}" id="{00A500AB-0033-45D6-B2FA-001100C600A6}" done="0">
    <text xml:space="preserve">23553/05 -179.080
23091/06 -274.029,69
23123/08 -146.890,31
</text>
  </threadedComment>
  <threadedComment ref="D308" personId="{2F5F6CE8-9486-26C6-27E6-277EBB6962AB}" id="{00280089-0021-4712-A63E-0023008800C5}" done="0">
    <text xml:space="preserve">23553/05 +179.080
</text>
  </threadedComment>
  <threadedComment ref="D309" personId="{2F5F6CE8-9486-26C6-27E6-277EBB6962AB}" id="{0052004D-002A-4449-A9BE-004800A100AD}" done="0">
    <text xml:space="preserve">23051/04 +100.000 houpačka Kojetín part.rozp
</text>
  </threadedComment>
  <threadedComment ref="D311" personId="{2F5F6CE8-9486-26C6-27E6-277EBB6962AB}" id="{004600DE-006B-429F-948F-002800C400BC}" done="0">
    <text xml:space="preserve">23171/11 -48.744
</text>
  </threadedComment>
  <threadedComment ref="D316" personId="{2F5F6CE8-9486-26C6-27E6-277EBB6962AB}" id="{00E800AD-0067-4C23-AA80-00BC00F00031}" done="0">
    <text xml:space="preserve">23025/02 -43.923
</text>
  </threadedComment>
  <threadedComment ref="D318" personId="{2F5F6CE8-9486-26C6-27E6-277EBB6962AB}" id="{009E0029-0089-4DF1-A5BE-000000D000EF}" done="0">
    <text xml:space="preserve">23184/11 -300.000
</text>
  </threadedComment>
  <threadedComment ref="D320" personId="{2F5F6CE8-9486-26C6-27E6-277EBB6962AB}" id="{005700C6-00B0-409B-BBC3-00630071002B}" done="0">
    <text xml:space="preserve">23171/11 -350.000
</text>
  </threadedComment>
  <threadedComment ref="D323" personId="{2F5F6CE8-9486-26C6-27E6-277EBB6962AB}" id="{008B005A-00A6-4A5A-B9D5-00C700EF0075}" done="0">
    <text xml:space="preserve">23095/06 +1.858
</text>
  </threadedComment>
  <threadedComment ref="D326" personId="{2F5F6CE8-9486-26C6-27E6-277EBB6962AB}" id="{006C00A1-0040-437D-B115-009300160096}" done="0">
    <text xml:space="preserve">23514/02 +70.301
</text>
  </threadedComment>
  <threadedComment ref="D327" personId="{2F5F6CE8-9486-26C6-27E6-277EBB6962AB}" id="{005500A0-0096-4B2A-8200-006D00A10010}" done="0">
    <text xml:space="preserve">23514/02 +26257
</text>
  </threadedComment>
  <threadedComment ref="D328" personId="{2F5F6CE8-9486-26C6-27E6-277EBB6962AB}" id="{002800FA-0090-47B3-81AF-00CA00030007}" done="0">
    <text xml:space="preserve">23184/11
</text>
  </threadedComment>
  <threadedComment ref="D330" personId="{2F5F6CE8-9486-26C6-27E6-277EBB6962AB}" id="{00FD0065-0097-4267-80CF-003D00C1007F}" done="0">
    <text xml:space="preserve">23514/02 -124.482
23184/11 -400.000
</text>
  </threadedComment>
  <threadedComment ref="D331" personId="{2F5F6CE8-9486-26C6-27E6-277EBB6962AB}" id="{00490098-0057-4039-A54E-00B600F800AE}" done="0">
    <text xml:space="preserve">23514/02 +27.924
</text>
  </threadedComment>
  <threadedComment ref="D333" personId="{2F5F6CE8-9486-26C6-27E6-277EBB6962AB}" id="{00A30078-00EB-499C-9872-004B000500F8}" done="0">
    <text xml:space="preserve">23184/11 -900.000
</text>
  </threadedComment>
  <threadedComment ref="D336" personId="{2F5F6CE8-9486-26C6-27E6-277EBB6962AB}" id="{005200CA-0040-46D3-8EC3-0046004200EE}" done="0">
    <text xml:space="preserve">23008/01 +33.698
23173/11 -370.088
</text>
  </threadedComment>
  <threadedComment ref="D337" personId="{2F5F6CE8-9486-26C6-27E6-277EBB6962AB}" id="{004C0066-0091-449E-9693-002C00070001}" done="0">
    <text xml:space="preserve">23037/03 +175.000
23173/11 -175.000
</text>
  </threadedComment>
  <threadedComment ref="D338" personId="{2F5F6CE8-9486-26C6-27E6-277EBB6962AB}" id="{006D000C-0010-4B74-BF44-0078001D0089}" done="0">
    <text xml:space="preserve">23171/11 -600.000
</text>
  </threadedComment>
  <threadedComment ref="D339" personId="{2F5F6CE8-9486-26C6-27E6-277EBB6962AB}" id="{00300055-0008-4142-AF16-009000570015}" done="0">
    <text xml:space="preserve">23171/11 -10.163
</text>
  </threadedComment>
  <threadedComment ref="D347" personId="{2F5F6CE8-9486-26C6-27E6-277EBB6962AB}" id="{00DC0070-009B-43DB-96F5-00D1009B004B}" done="0"/>
  <threadedComment ref="D348" personId="{2F5F6CE8-9486-26C6-27E6-277EBB6962AB}" id="{00B7008D-00AC-4D2D-B8A0-0045009C00A2}" done="0">
    <text xml:space="preserve">23095/06 +29.008
23132/09 +200.000
(part.rozp. lavičky Hückelovy vily)
</text>
  </threadedComment>
  <threadedComment ref="D353" personId="{2F5F6CE8-9486-26C6-27E6-277EBB6962AB}" id="{002B00AA-0085-4B15-AC74-0079000500C9}" done="0">
    <text xml:space="preserve">23098/07 -1.000.000
</text>
  </threadedComment>
  <threadedComment ref="D355" personId="{2F5F6CE8-9486-26C6-27E6-277EBB6962AB}" id="{008E004E-0031-4743-BD6A-00DC003A00DC}" done="0">
    <text xml:space="preserve">23098/07 -1.000.000
23138/10 -100.000
23140/10 -400.000
</text>
  </threadedComment>
  <threadedComment ref="D356" personId="{2F5F6CE8-9486-26C6-27E6-277EBB6962AB}" id="{005E0084-001C-49BB-9EA8-00AC002000CC}" done="0">
    <text xml:space="preserve">23098/07 -1.000.000
</text>
  </threadedComment>
  <threadedComment ref="D357" personId="{2F5F6CE8-9486-26C6-27E6-277EBB6962AB}" id="{003E009D-002C-4C75-A8D7-009F00C900B9}" done="0">
    <text xml:space="preserve">23138/10 -200.000
</text>
  </threadedComment>
  <threadedComment ref="D358" personId="{2F5F6CE8-9486-26C6-27E6-277EBB6962AB}" id="{00790072-0026-4B9C-9891-007C00170032}" done="0">
    <text xml:space="preserve">23098/07 -280.000
23594/07 +10.000
</text>
  </threadedComment>
  <threadedComment ref="D359" personId="{2F5F6CE8-9486-26C6-27E6-277EBB6962AB}" id="{004D0032-00E6-4F80-A20A-0097004F0061}" done="0">
    <text xml:space="preserve">23594/07 -10.000
</text>
  </threadedComment>
  <threadedComment ref="D364" personId="{2F5F6CE8-9486-26C6-27E6-277EBB6962AB}" id="{00B3001F-0078-47FA-9029-00F400DE0006}" done="0">
    <text xml:space="preserve">23520/02 -13.500
23049/03 
+700.000 +1.250.000
23138/10 -1.800.000
</text>
  </threadedComment>
  <threadedComment ref="D368" personId="{2F5F6CE8-9486-26C6-27E6-277EBB6962AB}" id="{001D00F6-0037-4DEB-AAEA-009A00BE0042}" done="0">
    <text xml:space="preserve">23520/02 +13.500
</text>
  </threadedComment>
  <threadedComment ref="D369" personId="{2F5F6CE8-9486-26C6-27E6-277EBB6962AB}" id="{00F90064-00D7-4B98-9975-00640072004E}" done="0">
    <text xml:space="preserve">23569/06 +200.000
</text>
  </threadedComment>
  <threadedComment ref="D38" personId="{2F5F6CE8-9486-26C6-27E6-277EBB6962AB}" id="{00E700F3-00CF-4FE1-B218-009D00FB0026}" done="0">
    <text xml:space="preserve">23060/04 -10.050.300
</text>
  </threadedComment>
  <threadedComment ref="D371" personId="{2F5F6CE8-9486-26C6-27E6-277EBB6962AB}" id="{00A2005B-00C8-4C60-B4DA-00A900E800AD}" done="0">
    <text xml:space="preserve">23569/06 -200.000
23138/10 -2.000.000
</text>
  </threadedComment>
  <threadedComment ref="D372" personId="{2F5F6CE8-9486-26C6-27E6-277EBB6962AB}" id="{007B008F-0050-4D2D-8E54-005A00F50087}" done="0">
    <text xml:space="preserve">23138/10 -500.000
</text>
  </threadedComment>
  <threadedComment ref="D373" personId="{2F5F6CE8-9486-26C6-27E6-277EBB6962AB}" id="{00F00054-00CA-45CA-9B6B-006600F300C2}" done="0">
    <text xml:space="preserve">23049/03 +500.000
23138/10 -450.000
</text>
  </threadedComment>
  <threadedComment ref="D374" personId="{2F5F6CE8-9486-26C6-27E6-277EBB6962AB}" id="{006E008F-008A-4DC1-A5A6-009700F100C6}" done="0">
    <text xml:space="preserve">23138/10 -230.000
23677/12 +70.000
</text>
  </threadedComment>
  <threadedComment ref="D375" personId="{2F5F6CE8-9486-26C6-27E6-277EBB6962AB}" id="{00870075-0072-4700-9A1B-001600380072}" done="0">
    <text xml:space="preserve">23138/10 -2s00.000
23677/12 -70.000
</text>
  </threadedComment>
  <threadedComment ref="D379" personId="{2F5F6CE8-9486-26C6-27E6-277EBB6962AB}" id="{00E10010-0088-481F-B1BB-00F900CF0067}" done="0">
    <text xml:space="preserve">23573/06 +50.000
</text>
  </threadedComment>
  <threadedComment ref="D380" personId="{2F5F6CE8-9486-26C6-27E6-277EBB6962AB}" id="{00070037-0090-4041-8008-003C0076007C}" done="0">
    <text xml:space="preserve">23542/04 -50.000
23573/06 -50.000
</text>
  </threadedComment>
  <threadedComment ref="D381" personId="{2F5F6CE8-9486-26C6-27E6-277EBB6962AB}" id="{00CB00B1-003D-4658-BE63-00AE00CE0081}" done="0">
    <text xml:space="preserve">23588/07 +500.000
</text>
  </threadedComment>
  <threadedComment ref="D382" personId="{2F5F6CE8-9486-26C6-27E6-277EBB6962AB}" id="{00A100FD-0013-4239-A999-009E00C70075}" done="0">
    <text xml:space="preserve">23542/04 +50.000
23585/07 +660.000
</text>
  </threadedComment>
  <threadedComment ref="D384" personId="{2F5F6CE8-9486-26C6-27E6-277EBB6962AB}" id="{00FB00E4-0045-437F-AE8D-003500F700E3}" done="0">
    <text xml:space="preserve">23138/10 -730.000
</text>
  </threadedComment>
  <threadedComment ref="D385" personId="{2F5F6CE8-9486-26C6-27E6-277EBB6962AB}" id="{00310004-0079-4AB0-BE59-0042002000BC}" done="0">
    <text xml:space="preserve">23004/01 +2.500.000
23138/10 -300.000
</text>
  </threadedComment>
  <threadedComment ref="D387" personId="{2F5F6CE8-9486-26C6-27E6-277EBB6962AB}" id="{0065006A-0025-46F0-99EC-007400B20047}" done="0">
    <text xml:space="preserve">23138/10 -550.000
</text>
  </threadedComment>
  <threadedComment ref="D40" personId="{2F5F6CE8-9486-26C6-27E6-277EBB6962AB}" id="{00FF00C7-00D9-421C-8BBA-00DB000800EC}" done="0">
    <text xml:space="preserve">23126/08 +20.000
</text>
  </threadedComment>
  <threadedComment ref="D392" personId="{2F5F6CE8-9486-26C6-27E6-277EBB6962AB}" id="{00FE004B-00E5-4A42-8A8A-000100FC00D0}" done="0">
    <text xml:space="preserve">23151/11 -700.000
</text>
  </threadedComment>
  <threadedComment ref="D393" personId="{2F5F6CE8-9486-26C6-27E6-277EBB6962AB}" id="{004D00E7-00FF-4606-A928-00FB008D0005}" done="0">
    <text xml:space="preserve">23138/10 -450.000 
</text>
  </threadedComment>
  <threadedComment ref="D394" personId="{2F5F6CE8-9486-26C6-27E6-277EBB6962AB}" id="{006C0007-0057-4480-9667-00EC005B00B1}" done="0">
    <text xml:space="preserve">23138/10 -800.000
</text>
  </threadedComment>
  <threadedComment ref="D395" personId="{2F5F6CE8-9486-26C6-27E6-277EBB6962AB}" id="{008B007A-0059-45BB-B2F9-009200E2005F}" done="0">
    <text xml:space="preserve">23111/07 -81.550,55
23588/07 -500.000
23138/10 -310000
</text>
  </threadedComment>
  <threadedComment ref="D41" personId="{2F5F6CE8-9486-26C6-27E6-277EBB6962AB}" id="{00670096-0026-4261-B440-00DB007C0056}" done="0">
    <text xml:space="preserve">23194.12 -3.221,96
</text>
  </threadedComment>
  <threadedComment ref="D401" personId="{2F5F6CE8-9486-26C6-27E6-277EBB6962AB}" id="{00410006-0003-4190-A72B-001C009100B3}" done="0">
    <text xml:space="preserve">23088 +22.018 úz611
</text>
  </threadedComment>
  <threadedComment ref="D402" personId="{2F5F6CE8-9486-26C6-27E6-277EBB6962AB}" id="{00A9004B-00EA-4349-A808-00E300F2005E}" done="0">
    <text xml:space="preserve">23521/03 +-117.833 dozn úz 610
23138/10 -500.000
</text>
  </threadedComment>
  <threadedComment ref="D403" personId="{2F5F6CE8-9486-26C6-27E6-277EBB6962AB}" id="{008D0013-009F-4D37-9471-002400DD00CC}" done="0">
    <text xml:space="preserve">23138/10 -750.000
</text>
  </threadedComment>
  <threadedComment ref="D405" personId="{2F5F6CE8-9486-26C6-27E6-277EBB6962AB}" id="{00C700E3-00BB-4D14-A8F8-002500EE001B}" done="0">
    <text xml:space="preserve">23138/10 -780.000
</text>
  </threadedComment>
  <threadedComment ref="D406" personId="{2F5F6CE8-9486-26C6-27E6-277EBB6962AB}" id="{0062001D-0086-4D03-8FD6-00800000004C}" done="0">
    <text xml:space="preserve">23012/02 +13.000 úz612
</text>
  </threadedComment>
  <threadedComment ref="D408" personId="{2F5F6CE8-9486-26C6-27E6-277EBB6962AB}" id="{00B7006B-008B-43EA-8971-004000000079}" done="0">
    <text xml:space="preserve">23598/07 -1.000.000
23109/07 -7.500.000
23110/07 -100.000
-660.000
</text>
  </threadedComment>
  <threadedComment ref="D413" personId="{2F5F6CE8-9486-26C6-27E6-277EBB6962AB}" id="{004A002D-0052-412F-AE1E-003F00900069}" done="0">
    <text xml:space="preserve">23110/07 +100.000
</text>
  </threadedComment>
  <threadedComment ref="D416" personId="{2F5F6CE8-9486-26C6-27E6-277EBB6962AB}" id="{0059001D-00AA-4B0D-8679-00C600520041}" done="0">
    <text xml:space="preserve">23601/08 -520.000
</text>
  </threadedComment>
  <threadedComment ref="D418" personId="{2F5F6CE8-9486-26C6-27E6-277EBB6962AB}" id="{009D000F-0052-4324-9A2A-0035009D00AA}" done="0">
    <text xml:space="preserve">23543/04 +4.635.000
23601/08 +520.000
</text>
  </threadedComment>
  <threadedComment ref="D419" personId="{2F5F6CE8-9486-26C6-27E6-277EBB6962AB}" id="{004400F4-00CB-44DB-BEAC-005F00500053}" done="0">
    <text xml:space="preserve">23543/04 -4.635.000
</text>
  </threadedComment>
  <threadedComment ref="D422" personId="{2F5F6CE8-9486-26C6-27E6-277EBB6962AB}" id="{00C700D4-0011-4D86-AAAD-00E40033005B}" done="0">
    <text xml:space="preserve">23548/05 
+150.000 +80.000
23596/08 +200.000
</text>
  </threadedComment>
  <threadedComment ref="D423" personId="{2F5F6CE8-9486-26C6-27E6-277EBB6962AB}" id="{00EE00C9-0039-4A44-A593-001C009A0063}" done="0">
    <text xml:space="preserve">23596/08 -200.000
23141/10 -100.000
</text>
  </threadedComment>
  <threadedComment ref="D424" personId="{2F5F6CE8-9486-26C6-27E6-277EBB6962AB}" id="{00A40098-00AB-4151-8B19-009C00FE00D7}" done="0">
    <text xml:space="preserve">23070/05 -1.700.000
</text>
  </threadedComment>
  <threadedComment ref="D425" personId="{2F5F6CE8-9486-26C6-27E6-277EBB6962AB}" id="{001D001B-00D6-43C2-8A69-00E100F700FB}" done="0">
    <text xml:space="preserve">23021/02 -14.000.000
23548/05 -230.000
</text>
  </threadedComment>
  <threadedComment ref="D431" personId="{2F5F6CE8-9486-26C6-27E6-277EBB6962AB}" id="{00750056-007B-4611-AD5D-00A700000009}" done="0">
    <text xml:space="preserve">23098/07 -1.000.000
</text>
  </threadedComment>
  <threadedComment ref="D435" personId="{2F5F6CE8-9486-26C6-27E6-277EBB6962AB}" id="{00830049-00AF-40AC-9579-00E500730016}" done="0">
    <text xml:space="preserve">23679/12 +16.000
</text>
  </threadedComment>
  <threadedComment ref="D436" personId="{2F5F6CE8-9486-26C6-27E6-277EBB6962AB}" id="{008C00A2-0016-4A90-A2A4-007E00E500AD}" done="0">
    <text xml:space="preserve">23023/02 -153.307 part.rozp-psí hř
23051/04 -100.000 part.rozp Houpačka Kojetín
23604/08 +-184.827,50
23132/09 -400.000 part.rozp-
(200t. Rodinné hřiště TJ Sokol Lamberk+200t Lavičky Hückelovy vily) 
23138/10 -1.000.000 studie
23679/12 -16.000
</text>
  </threadedComment>
  <threadedComment ref="D440" personId="{2F5F6CE8-9486-26C6-27E6-277EBB6962AB}" id="{006300EE-007E-485A-94DB-00630084000E}" done="0">
    <text xml:space="preserve">23098/07 -6.900.000
</text>
  </threadedComment>
  <threadedComment ref="D45" personId="{2F5F6CE8-9486-26C6-27E6-277EBB6962AB}" id="{00270005-0049-4F11-A3E7-00F30095007E}" done="0">
    <text xml:space="preserve">23083/06 +76.497
23126/08 +92.417
23137/09 +24.118
</text>
  </threadedComment>
  <threadedComment ref="D442" personId="{2F5F6CE8-9486-26C6-27E6-277EBB6962AB}" id="{004700EC-00CA-4699-96F3-008100EA00BC}" done="0">
    <text xml:space="preserve">23098/07 -2.000.000
</text>
  </threadedComment>
  <threadedComment ref="D447" personId="{2F5F6CE8-9486-26C6-27E6-277EBB6962AB}" id="{008F00CC-00E8-4D81-B6B1-0045006B00AF}" done="0">
    <text xml:space="preserve">23554/05 +500.000
23131/09 +-500.000
(dopl. Úz 34054)
</text>
  </threadedComment>
  <threadedComment ref="D448" personId="{2F5F6CE8-9486-26C6-27E6-277EBB6962AB}" id="{002C0029-004E-4FAD-86A3-0060002F006C}" done="0">
    <text xml:space="preserve">23606/09 -150.000
</text>
  </threadedComment>
  <threadedComment ref="D449" personId="{2F5F6CE8-9486-26C6-27E6-277EBB6962AB}" id="{0022001B-00C1-4466-8229-00BC001C00E3}" done="0">
    <text xml:space="preserve">23554/05 -500.000
23606/09 +150.000
</text>
  </threadedComment>
  <threadedComment ref="D46" personId="{2F5F6CE8-9486-26C6-27E6-277EBB6962AB}" id="{0017008C-0078-4167-9AF9-008B009D00AB}" done="0">
    <text xml:space="preserve">23137/09 +36.700  110
</text>
  </threadedComment>
  <threadedComment ref="D454" personId="{2F5F6CE8-9486-26C6-27E6-277EBB6962AB}" id="{002500F4-0023-49B9-856E-005700D100E3}" done="0">
    <text xml:space="preserve">23140/10 +400.000
</text>
  </threadedComment>
  <threadedComment ref="D460" personId="{2F5F6CE8-9486-26C6-27E6-277EBB6962AB}" id="{0085002B-0015-43A2-BD80-00EB00540052}" done="0">
    <text xml:space="preserve">23089/07 -1.000.000
</text>
  </threadedComment>
  <threadedComment ref="D47" personId="{2F5F6CE8-9486-26C6-27E6-277EBB6962AB}" id="{005400BA-0095-47A8-A0E5-007A00E70031}" done="0">
    <text xml:space="preserve">23126/08 +32.540
</text>
  </threadedComment>
  <threadedComment ref="D463" personId="{2F5F6CE8-9486-26C6-27E6-277EBB6962AB}" id="{00A000B1-0025-43BD-B3E8-009900450032}" done="0">
    <text xml:space="preserve">23045/03 +1.500.000
</text>
  </threadedComment>
  <threadedComment ref="D465" personId="{2F5F6CE8-9486-26C6-27E6-277EBB6962AB}" id="{007D00D5-00F9-452B-933E-0005000800F6}" done="0">
    <text xml:space="preserve">23537/04 +-400.000 org
</text>
  </threadedComment>
  <threadedComment ref="D469" personId="{2F5F6CE8-9486-26C6-27E6-277EBB6962AB}" id="{00070074-00A8-4BD6-A706-007C00C1004D}" done="0">
    <text xml:space="preserve">23024/02 +1.500.000
</text>
  </threadedComment>
  <threadedComment ref="D470" personId="{2F5F6CE8-9486-26C6-27E6-277EBB6962AB}" id="{00B6008C-0059-4784-9E56-009F00EE008F}" done="0">
    <text xml:space="preserve">23024/02 +1.200.000
</text>
  </threadedComment>
  <threadedComment ref="D48" personId="{2F5F6CE8-9486-26C6-27E6-277EBB6962AB}" id="{004000FC-0001-424A-94E7-00500025009E}" done="0">
    <text xml:space="preserve">23194.12 +10.674,12
</text>
  </threadedComment>
  <threadedComment ref="D472" personId="{2F5F6CE8-9486-26C6-27E6-277EBB6962AB}" id="{004700B1-00C6-4EFA-B325-00F000010009}" done="0">
    <text xml:space="preserve">23098/07 -2.000.000
23610/09 - 500.000
</text>
  </threadedComment>
  <threadedComment ref="D473" personId="{2F5F6CE8-9486-26C6-27E6-277EBB6962AB}" id="{00650064-00AB-41D6-AA9D-0036002E0087}" done="0">
    <text xml:space="preserve">23610/09 -230.000
</text>
  </threadedComment>
  <threadedComment ref="D474" personId="{2F5F6CE8-9486-26C6-27E6-277EBB6962AB}" id="{00FB00D4-0029-465C-83B7-009D00030099}" done="0">
    <text xml:space="preserve">23098/07 -1.100.000
</text>
  </threadedComment>
  <threadedComment ref="D475" personId="{2F5F6CE8-9486-26C6-27E6-277EBB6962AB}" id="{002F00D9-0053-4626-9882-00570024004E}" done="0">
    <text xml:space="preserve">23098/07 -550.000
</text>
  </threadedComment>
  <threadedComment ref="D476" personId="{2F5F6CE8-9486-26C6-27E6-277EBB6962AB}" id="{00160097-0015-498F-A03D-006400C90055}" done="0">
    <text xml:space="preserve">23026/02 +1.700.000
23610/09 -  258.000
</text>
  </threadedComment>
  <threadedComment ref="D477" personId="{2F5F6CE8-9486-26C6-27E6-277EBB6962AB}" id="{0012007F-00D8-4F78-859F-007300CD0043}" done="0">
    <text xml:space="preserve">23024/02 +4.000.000
23610/09 +988.000
</text>
  </threadedComment>
  <threadedComment ref="D479" personId="{2F5F6CE8-9486-26C6-27E6-277EBB6962AB}" id="{00940033-0003-4E46-A05A-002F001C00DB}" done="0">
    <text xml:space="preserve">23551/05 -1.300.000
23098/07 -1.500.000
23138/10 -800.000
</text>
  </threadedComment>
  <threadedComment ref="D49" personId="{2F5F6CE8-9486-26C6-27E6-277EBB6962AB}" id="{0032007D-0006-45DD-922B-002D008A0028}" done="0">
    <text xml:space="preserve">23040/03 +33.700
23083/06 +20.200
23137/09 + 8.100
</text>
  </threadedComment>
  <threadedComment ref="D481" personId="{2F5F6CE8-9486-26C6-27E6-277EBB6962AB}" id="{003A0075-0019-4EF7-8019-008200E100CF}" done="0">
    <text xml:space="preserve">23524/03 -1.300.000
23551/05 +1.300.000
</text>
  </threadedComment>
  <threadedComment ref="D483" personId="{2F5F6CE8-9486-26C6-27E6-277EBB6962AB}" id="{009C0071-00D3-46C1-BE5F-005400E900E6}" done="0">
    <text xml:space="preserve">23098/07 -1.500.000
23138/10 -450.000
</text>
  </threadedComment>
  <threadedComment ref="D484" personId="{2F5F6CE8-9486-26C6-27E6-277EBB6962AB}" id="{00CC00CA-0007-45A4-ABE0-00D400A000EF}" done="0">
    <text xml:space="preserve">23098/07 -1.500.000
23138/10 -480.000
</text>
  </threadedComment>
  <threadedComment ref="D485" personId="{2F5F6CE8-9486-26C6-27E6-277EBB6962AB}" id="{00CC00A1-0097-40FD-B408-001A00F70091}" done="0">
    <text xml:space="preserve">23523/03 -40.000
23138/10 -2.000.000
</text>
  </threadedComment>
  <threadedComment ref="D486" personId="{2F5F6CE8-9486-26C6-27E6-277EBB6962AB}" id="{002300AA-00A1-483C-8115-002B00230079}" done="0">
    <text xml:space="preserve">23524/03 +1.300.000
23138/10 -200.000
</text>
  </threadedComment>
  <threadedComment ref="D487" personId="{2F5F6CE8-9486-26C6-27E6-277EBB6962AB}" id="{00C100E7-00F3-49D1-A59A-008200FE008A}" done="0">
    <text xml:space="preserve">23523/03 +40.000
</text>
  </threadedComment>
  <threadedComment ref="D50" personId="{2F5F6CE8-9486-26C6-27E6-277EBB6962AB}" id="{00550003-00C0-49C3-BA5F-00F600BC0093}" done="0">
    <text xml:space="preserve">23137/09 + 78.700
</text>
  </threadedComment>
  <threadedComment ref="D494" personId="{2F5F6CE8-9486-26C6-27E6-277EBB6962AB}" id="{002E0081-0065-4AB5-BA64-00C4001D00B7}" done="0">
    <text xml:space="preserve">23012/02 -13.000
23522/03 +3.000
</text>
  </threadedComment>
  <threadedComment ref="D495" personId="{2F5F6CE8-9486-26C6-27E6-277EBB6962AB}" id="{00D700E8-0048-444D-8274-009E00AC0089}" done="0">
    <text xml:space="preserve">23501/01 -20.000
23522/03 -3.000
23535/04 -10.000
</text>
  </threadedComment>
  <threadedComment ref="D496" personId="{2F5F6CE8-9486-26C6-27E6-277EBB6962AB}" id="{00F100D9-000A-4A5D-87CF-0022006A0047}" done="0">
    <text xml:space="preserve">23501/01 +20.000
23535/04 +10.000
23568/06 +50.000
</text>
  </threadedComment>
  <threadedComment ref="D499" personId="{2F5F6CE8-9486-26C6-27E6-277EBB6962AB}" id="{004800DE-002C-4290-BC86-002800D000C6}" done="0">
    <text xml:space="preserve">23012/02 -13.000
23568/06 -50.000
</text>
  </threadedComment>
  <threadedComment ref="D51" personId="{2F5F6CE8-9486-26C6-27E6-277EBB6962AB}" id="{0091002C-007D-4B08-AA75-00FC00A20049}" done="0">
    <text xml:space="preserve">23194.12 -7.452,16
</text>
  </threadedComment>
  <threadedComment ref="D503" personId="{2F5F6CE8-9486-26C6-27E6-277EBB6962AB}" id="{005A004F-003F-4113-B8C8-005600CA002A}" done="0">
    <text xml:space="preserve">23109/07 +7.500.000
23138/10 -7.500.000
</text>
  </threadedComment>
  <threadedComment ref="D504" personId="{2F5F6CE8-9486-26C6-27E6-277EBB6962AB}" id="{004100F8-004C-457B-9A3B-0072007100A9}" done="0">
    <text xml:space="preserve">23518/02 -20.160
23138/10 -500.000
</text>
  </threadedComment>
  <threadedComment ref="D505" personId="{2F5F6CE8-9486-26C6-27E6-277EBB6962AB}" id="{009600F4-00A9-4A4C-86ED-00CB0020001C}" done="0">
    <text xml:space="preserve">23182/11 -500.000
</text>
  </threadedComment>
  <threadedComment ref="D506" personId="{2F5F6CE8-9486-26C6-27E6-277EBB6962AB}" id="{009800E5-00C1-4C6E-9A91-009400F1004C}" done="0">
    <text xml:space="preserve">23516/02 +20.160
</text>
  </threadedComment>
  <threadedComment ref="D508" personId="{2F5F6CE8-9486-26C6-27E6-277EBB6962AB}" id="{002400F8-005F-437A-AAF6-0010003B008B}" done="0">
    <text xml:space="preserve">23507/02 -12.000
</text>
  </threadedComment>
  <threadedComment ref="D509" personId="{2F5F6CE8-9486-26C6-27E6-277EBB6962AB}" id="{00D3008D-0023-40B7-870D-002B006B00D0}" done="0">
    <text xml:space="preserve">23507/02 +12.000
</text>
  </threadedComment>
  <threadedComment ref="D513" personId="{2F5F6CE8-9486-26C6-27E6-277EBB6962AB}" id="{004E0026-0074-4802-9088-007F00580043}" done="0">
    <text xml:space="preserve">23137/09 -412.445
</text>
  </threadedComment>
  <threadedComment ref="D519" personId="{2F5F6CE8-9486-26C6-27E6-277EBB6962AB}" id="{0007006C-0087-407B-8EC2-00A200BA0065}" done="0">
    <text xml:space="preserve">23173/11 -594,97
23179/11 +145.413,26
</text>
  </threadedComment>
  <threadedComment ref="D520" personId="{2F5F6CE8-9486-26C6-27E6-277EBB6962AB}" id="{00AB0061-009E-47DB-9B0A-00A5007C00C2}" done="0">
    <text xml:space="preserve">23030/02 +70.804,80 +217.373,47
23040/03 +33.700
23055/04 úz 693
+50.000 NIV
+150.000 IV
23056/04 +80.000 úz673 NIV
23191/12 -217.373,47
</text>
  </threadedComment>
  <threadedComment ref="D521" personId="{2F5F6CE8-9486-26C6-27E6-277EBB6962AB}" id="{00F20093-0085-45AF-8B1C-00F7008C0009}" done="0">
    <text xml:space="preserve">23179/11 -145.413,26
</text>
  </threadedComment>
  <threadedComment ref="D525" personId="{2F5F6CE8-9486-26C6-27E6-277EBB6962AB}" id="{00EB002D-00A8-4A86-BD1D-0082001200DD}" done="0">
    <text xml:space="preserve">23196/10 +200
</text>
  </threadedComment>
  <threadedComment ref="D528" personId="{2F5F6CE8-9486-26C6-27E6-277EBB6962AB}" id="{001900E5-002B-4C56-929B-00BF00CF0063}" done="0">
    <text xml:space="preserve">23065/05 +231.000 dorov.2022
dorov -30.000
</text>
  </threadedComment>
  <threadedComment ref="D529" personId="{2F5F6CE8-9486-26C6-27E6-277EBB6962AB}" id="{0032002D-00B7-4F29-B418-0056008B00A7}" done="0">
    <text xml:space="preserve">dorov +30.000
</text>
  </threadedComment>
  <threadedComment ref="D54" personId="{2F5F6CE8-9486-26C6-27E6-277EBB6962AB}" id="{008700E4-0085-48AA-95CA-00F200250043}" done="0">
    <text xml:space="preserve">23137/09 +396.670
</text>
  </threadedComment>
  <threadedComment ref="D531" personId="{2F5F6CE8-9486-26C6-27E6-277EBB6962AB}" id="{00720009-0094-4C0F-8E99-006700670097}" done="0">
    <text xml:space="preserve">23196/12 -200
</text>
  </threadedComment>
  <threadedComment ref="D538" personId="{2F5F6CE8-9486-26C6-27E6-277EBB6962AB}" id="{009A00D3-0036-48F3-905A-005100C80064}" done="0">
    <text xml:space="preserve">23014/02 +864.200
</text>
  </threadedComment>
  <threadedComment ref="D548" personId="{2F5F6CE8-9486-26C6-27E6-277EBB6962AB}" id="{0023001C-004A-47E0-8039-001C002900C1}" done="0">
    <text xml:space="preserve">23163/11 +60.000
</text>
  </threadedComment>
  <threadedComment ref="D549" personId="{2F5F6CE8-9486-26C6-27E6-277EBB6962AB}" id="{002B00A0-00FA-4693-8B5E-0015000E006F}" done="0">
    <text xml:space="preserve">23162/11 +58.074
</text>
  </threadedComment>
  <threadedComment ref="D553" personId="{2F5F6CE8-9486-26C6-27E6-277EBB6962AB}" id="{000000E3-0052-4E9C-9CB3-004900070061}" done="0">
    <text xml:space="preserve">23130/09 -3.074,21
23164/11 +60.000
</text>
  </threadedComment>
  <threadedComment ref="D555" personId="{2F5F6CE8-9486-26C6-27E6-277EBB6962AB}" id="{002C00A9-008E-476A-BE74-00BA0034001B}" done="0">
    <text xml:space="preserve">23165/11 -62,46
</text>
  </threadedComment>
  <threadedComment ref="D558" personId="{2F5F6CE8-9486-26C6-27E6-277EBB6962AB}" id="{007E00BB-0033-430F-858C-001600C500B7}" done="0">
    <text xml:space="preserve">23167/11 +38.800
</text>
  </threadedComment>
  <threadedComment ref="D560" personId="{2F5F6CE8-9486-26C6-27E6-277EBB6962AB}" id="{002C0000-0038-4ACB-BB1F-009700D10041}" done="0">
    <text xml:space="preserve">23166/11 -70.122
</text>
  </threadedComment>
  <threadedComment ref="D563" personId="{2F5F6CE8-9486-26C6-27E6-277EBB6962AB}" id="{00B600DB-007F-4E9B-9DE8-009C0049003F}" done="0">
    <text xml:space="preserve">23095/06 +6.348
23145/10 -2.107
23160/11 -96.284
23161/11 -30.000
23162/11 -58.074
23163/11 -60.000
23164/11 -60.000
23167/11 -38.800
23172/11 -29.100-900
</text>
  </threadedComment>
  <threadedComment ref="D569" personId="{2F5F6CE8-9486-26C6-27E6-277EBB6962AB}" id="{00DB004A-006E-4424-A326-00C5009600B3}" done="0">
    <text xml:space="preserve">23086/06 úz 913 
+ 4.752,88  120,1
+26.932,97 120,5
23107/07 úz 913
-1.607,13 1201
-9.107,07 1205
23117/08 úz 33092
 +  949.089,62 1431
+3.130.384,38 1435
23142/10 -3.504
23143/10 +262.743
23157/11
+ 4.900 úz 253 SR
+44.100 úz911 EU
</text>
  </threadedComment>
  <threadedComment ref="D570" personId="{2F5F6CE8-9486-26C6-27E6-277EBB6962AB}" id="{00D500C1-002F-4793-AFFA-007300600033}" done="0">
    <text xml:space="preserve">23075/05 
+89.825 +296.450
</text>
  </threadedComment>
  <threadedComment ref="D571" personId="{2F5F6CE8-9486-26C6-27E6-277EBB6962AB}" id="{00D000F7-00AA-4B91-AA62-00AA00590000}" done="0">
    <text xml:space="preserve">23022/02 +603.790
23075/05 +213.204
</text>
  </threadedComment>
  <threadedComment ref="D574" personId="{2F5F6CE8-9486-26C6-27E6-277EBB6962AB}" id="{00C60045-0087-4F13-90E9-00AC009300F3}" done="0">
    <text xml:space="preserve">23015/02 úz 33092
+1.005.316,48  143 1
+3.315.837,52  143 5
23086/06 úz 9143
+ 1.806,05  120,1
+10.234,30 120,5
23095/06 +5.595
23107/07 úz 913
- 1.051,79 1201
- 5.960,11 1205
23158/11 
+ 7.519 ÚZ 253
+67.671 úz 911
</text>
  </threadedComment>
  <threadedComment ref="D575" personId="{2F5F6CE8-9486-26C6-27E6-277EBB6962AB}" id="{00AB001D-002E-4B78-BB44-00E4000A001D}" done="0">
    <text xml:space="preserve">23073/05 +96.800
23160/11 +96.284
23161/11 +30.000
</text>
  </threadedComment>
  <threadedComment ref="D576" personId="{2F5F6CE8-9486-26C6-27E6-277EBB6962AB}" id="{00BF00F7-00B0-47BF-9DE4-00EE0090008F}" done="0">
    <text xml:space="preserve">23073/05 -1.200.000
</text>
  </threadedComment>
  <threadedComment ref="D579" personId="{2F5F6CE8-9486-26C6-27E6-277EBB6962AB}" id="{003E006A-0081-4D4B-8A73-008A00A10009}" done="0">
    <text xml:space="preserve">23086/06 úz 913 
+ 5.713,08  120,1
+32.374,09 120,5
23107/07 úz 913
-  177,66  1201
-1.006,74 1205
23159/11 
+ 6.798 úz253 SR
+61.182 úz911 EU
</text>
  </threadedComment>
  <threadedComment ref="D59" personId="{2F5F6CE8-9486-26C6-27E6-277EBB6962AB}" id="{00BB00EE-0012-4F9E-887D-00CD00160015}" done="0">
    <text xml:space="preserve">23126/08 +559.345,14
</text>
  </threadedComment>
  <threadedComment ref="D581" personId="{2F5F6CE8-9486-26C6-27E6-277EBB6962AB}" id="{0090003F-001A-4801-8145-00FD00D3001C}" done="0">
    <text xml:space="preserve">23168/11 -155.095,79
</text>
  </threadedComment>
  <threadedComment ref="D584" personId="{2F5F6CE8-9486-26C6-27E6-277EBB6962AB}" id="{00E70029-00AA-42DE-A945-00B3002E00AA}" done="0">
    <text xml:space="preserve">23019/02 +5.208  poj
23058/04 úz 33092 JAK
+519.876,20 1431
+1.714.708,80 1435
</text>
  </threadedComment>
  <threadedComment ref="D585" personId="{2F5F6CE8-9486-26C6-27E6-277EBB6962AB}" id="{004A00D6-00EB-4635-9F8F-008100B4004C}" done="0">
    <text xml:space="preserve">23105/07 +300.000
</text>
  </threadedComment>
  <threadedComment ref="D586" personId="{2F5F6CE8-9486-26C6-27E6-277EBB6962AB}" id="{00D1005B-0061-42B5-AE57-007200A30002}" done="0">
    <text xml:space="preserve">23070/05 +1.700.000
23074/05 
-1.100.000 -30.000 +48.400 +160.000
23129/08 -700.000
23169/11 -82.921,96
</text>
  </threadedComment>
  <threadedComment ref="D590" personId="{2F5F6CE8-9486-26C6-27E6-277EBB6962AB}" id="{001D00C6-00A4-4C72-A97F-006500580034}" done="0">
    <text xml:space="preserve">23059/04 +210.200 úz 833
23093/06 úz 33092
+ 551.883,82 1431
+1.820.279,28 1435
23102/07 +170.400 úz 910
23172/11 +30.000
23177/11 -28.290 úz 910
</text>
  </threadedComment>
  <threadedComment ref="D60" personId="{2F5F6CE8-9486-26C6-27E6-277EBB6962AB}" id="{006F0097-00B0-4723-92E1-0087007900D2}" done="0">
    <text xml:space="preserve">23126/08 +559.345,14
</text>
  </threadedComment>
  <threadedComment ref="D593" personId="{2F5F6CE8-9486-26C6-27E6-277EBB6962AB}" id="{000600E4-00DD-4004-B8CB-000700180064}" done="0">
    <text xml:space="preserve">23145/10 +2.107
</text>
  </threadedComment>
  <threadedComment ref="D596" personId="{2F5F6CE8-9486-26C6-27E6-277EBB6962AB}" id="{00EC0006-0001-48B8-AC67-00A600570080}" done="0">
    <text xml:space="preserve">23003/01 -45.455
23144/10 -98.187
23170/11 -200.000
23188/12 -300.000
</text>
  </threadedComment>
  <threadedComment ref="D600" personId="{2F5F6CE8-9486-26C6-27E6-277EBB6962AB}" id="{00E200E9-00E7-4F0F-82F3-0021006B005A}" done="0">
    <text xml:space="preserve">23032/02 +5.000
</text>
  </threadedComment>
  <threadedComment ref="D61" personId="{2F5F6CE8-9486-26C6-27E6-277EBB6962AB}" id="{008500F3-002A-4221-AED5-009200700060}" done="0">
    <text xml:space="preserve">23126/08 +3.968.238,12
</text>
  </threadedComment>
  <threadedComment ref="D602" personId="{2F5F6CE8-9486-26C6-27E6-277EBB6962AB}" id="{0057004C-0004-49D7-8129-001F00FA0042}" done="0">
    <text xml:space="preserve">23183/11 -20.000
</text>
  </threadedComment>
  <threadedComment ref="D605" personId="{2F5F6CE8-9486-26C6-27E6-277EBB6962AB}" id="{004E00FF-0092-47F4-85D9-008C00F2005B}" done="0">
    <text xml:space="preserve">23095/06 +19.570
23096/06 +100.000 úz 34002
23183/11 -380.000
</text>
  </threadedComment>
  <threadedComment ref="D607" personId="{2F5F6CE8-9486-26C6-27E6-277EBB6962AB}" id="{006800EF-0004-4B08-BD78-001A002000FD}" done="0">
    <text xml:space="preserve">23183/11 -1.150.000
</text>
  </threadedComment>
  <threadedComment ref="D612" personId="{2F5F6CE8-9486-26C6-27E6-277EBB6962AB}" id="{00EE001B-00E0-4FAB-8CAE-00EC00810074}" done="0">
    <text xml:space="preserve">23001/01 +4.551.000
23019/02 +4.562 poj
23072/05 -2.989,27
23136/09 +300.000
23176/11 -700.000
23194.12 +50.000
</text>
  </threadedComment>
  <threadedComment ref="D614" personId="{2F5F6CE8-9486-26C6-27E6-277EBB6962AB}" id="{00990009-0081-483E-A84D-0034003A00DA}" done="0">
    <text xml:space="preserve">23139/10 -1.000.000
23175/11 -484.000
</text>
  </threadedComment>
  <threadedComment ref="D621" personId="{2F5F6CE8-9486-26C6-27E6-277EBB6962AB}" id="{002600B5-00AB-4128-8515-00AC00960073}" done="0">
    <text xml:space="preserve">23033/02 -30.000 r
23128/09 -40.000 r
</text>
  </threadedComment>
  <threadedComment ref="D623" personId="{2F5F6CE8-9486-26C6-27E6-277EBB6962AB}" id="{0048003C-0022-47D4-8ABF-003300D000CC}" done="0">
    <text xml:space="preserve">23512/02 -200.000
</text>
  </threadedComment>
  <threadedComment ref="D626" personId="{2F5F6CE8-9486-26C6-27E6-277EBB6962AB}" id="{00E3003D-00F9-4F09-8C4E-00DE002900A3}" done="0">
    <text xml:space="preserve">23034/02 -25.000 r
23066/05 -10.000 r
23113/07 -10.000 r
</text>
  </threadedComment>
  <threadedComment ref="D629" personId="{2F5F6CE8-9486-26C6-27E6-277EBB6962AB}" id="{0066000B-009F-43F2-8FB7-009500710033}" done="0">
    <text xml:space="preserve">23033/02 +30.000
23034/02 +25.000
23512/02 +200.000
23066/05 +10.000
23084/06 -90.000 r
+90.000       
23085/06 +147.136
23112/07 +49.000
23113/07 +10.000
23127/09 +500.000
23128/09 +40.000
23186/12 -25.000 r +25.000 
</text>
  </threadedComment>
  <threadedComment ref="D633" personId="{2F5F6CE8-9486-26C6-27E6-277EBB6962AB}" id="{002F0083-0083-4763-AD00-00CD00B80035}" done="0">
    <text xml:space="preserve">23126/08 +- 209.862
</text>
  </threadedComment>
  <threadedComment ref="D636" personId="{2F5F6CE8-9486-26C6-27E6-277EBB6962AB}" id="{007C006F-0040-4ED8-B5ED-000300B60053}" done="0">
    <text xml:space="preserve">23068/05 
+70.000 +80.000 +50.000
</text>
  </threadedComment>
  <threadedComment ref="D643" personId="{2F5F6CE8-9486-26C6-27E6-277EBB6962AB}" id="{007A0055-0008-4A46-8137-00CB004D0069}" done="0">
    <text xml:space="preserve">23068/05 -70.000
23095/06 +16.216
23116/08 +113.800,50
23121/08 +121.111
23638/11 +300.000
23661/11 -126.706
23678/12 -0,36
</text>
  </threadedComment>
  <threadedComment ref="D644" personId="{2F5F6CE8-9486-26C6-27E6-277EBB6962AB}" id="{00BF00D2-00F7-468A-87F2-00EC00EB0079}" done="0">
    <text xml:space="preserve">23661/11 +126.706
23678/12 +0,36
</text>
  </threadedComment>
  <threadedComment ref="D645" personId="{2F5F6CE8-9486-26C6-27E6-277EBB6962AB}" id="{00750042-00A0-4522-8577-001C009F00AF}" done="0">
    <text xml:space="preserve">23007/01 úz 13013
+8.051,90  1041
+68.441,11  1045
23511/02 úz 13013  3388
+9.438 1041
+4.719 1041 bez úz
+80.223 1045
23516/02 úz 13013  3388
+27.733,20 1041
+13.866,60 1041 bez úz
+235.732,20 1045
23566/06 úz 13013 
- 8.051,90 1041
+68.441,11 1045
23116/08 úz 13013 3388
+ 37.171,20 1041
+315.955,20 1045
</text>
  </threadedComment>
  <threadedComment ref="D646" personId="{2F5F6CE8-9486-26C6-27E6-277EBB6962AB}" id="{00EF00AB-000C-4886-A8DE-009C00460056}" done="0">
    <text xml:space="preserve">23511/02 -94.380 (5168)
23516/02 -277.332 (5168)
23566/06 +76.493,01
23598/08 -427.454,54
23638/11 -300.000
23654/11 -285.501
23678/12 -48.795
</text>
  </threadedComment>
  <threadedComment ref="D647" personId="{2F5F6CE8-9486-26C6-27E6-277EBB6962AB}" id="{00F7001A-00B6-407E-9F49-006100760059}" done="0">
    <text xml:space="preserve">23598/08 +427.454,54
23654/11 +285.501
23678/12 +48.795
</text>
  </threadedComment>
  <threadedComment ref="D651" personId="{2F5F6CE8-9486-26C6-27E6-277EBB6962AB}" id="{00AD00EA-0035-4CFD-923B-0063000600A1}" done="0">
    <text xml:space="preserve">23013/02 
+-1.927.500  5811
+    227.100  5169
23028/02
+-2.077.400  5811
+    232.500  5169
23042/03 
+-1.894.600  5811
+   210.000  5169
23064/04 
+-1.831.700 5811
+   231.000 5169
23076/05 
+- 1.703.700 5811
+    234.000
23092/06 
+-1.588.650 5811
+   241.800
23106/07 
+- 1.504.450  5811
+     231.000
23122/08 
+- 765.250  5811
23194.12 +45.000
</text>
  </threadedComment>
  <threadedComment ref="D655" personId="{2F5F6CE8-9486-26C6-27E6-277EBB6962AB}" id="{00FD006D-0002-45A7-A892-00C0000700D5}" done="0">
    <text xml:space="preserve">23002/01  +508.200
</text>
  </threadedComment>
  <threadedComment ref="D656" personId="{2F5F6CE8-9486-26C6-27E6-277EBB6962AB}" id="{006F00BD-00D7-4E15-BCB0-002C00090048}" done="0">
    <text xml:space="preserve">23035/03 +400.000 +36.000
23094/06 +67.000
</text>
  </threadedComment>
  <threadedComment ref="D658" personId="{2F5F6CE8-9486-26C6-27E6-277EBB6962AB}" id="{007600C3-0029-4ED5-B716-000F001E004D}" done="0">
    <text xml:space="preserve">23062/04  úz13015
+-791.900 5011
+-196.427 5031
+-71.271 5032
23534/04 -15.000
23068/05 -103.000 -27.000
23082/06 +94.000 -94.000
23094/06 -67.000
k 30.6. + 130.000
23108/07 +150.000
23116/08 +96.967,21 (5011org3389)
</text>
  </threadedComment>
  <threadedComment ref="D659" personId="{2F5F6CE8-9486-26C6-27E6-277EBB6962AB}" id="{003100D9-008C-4B5C-BA36-00A20026002F}" done="0">
    <text xml:space="preserve">23534/04 +15.000
23082/06 -94.000
23087/06 +804.000
</text>
  </threadedComment>
  <threadedComment ref="D660" personId="{2F5F6CE8-9486-26C6-27E6-277EBB6962AB}" id="{00E40038-0095-4E9C-B2E4-002800990093}" done="0">
    <text xml:space="preserve">23082/06 -94.000
k 30.6. -224.000
</text>
  </threadedComment>
  <threadedComment ref="D661" personId="{2F5F6CE8-9486-26C6-27E6-277EBB6962AB}" id="{00890023-0070-463C-871F-00B30064009F}" done="0">
    <text xml:space="preserve">23082/06 -94.000
</text>
  </threadedComment>
  <threadedComment ref="D664" personId="{2F5F6CE8-9486-26C6-27E6-277EBB6962AB}" id="{008A00DA-0018-465B-B7FA-00550032008F}" done="0">
    <text xml:space="preserve">23149/0 +1.0001
</text>
  </threadedComment>
  <threadedComment ref="D665" personId="{2F5F6CE8-9486-26C6-27E6-277EBB6962AB}" id="{009C00CB-0090-4D09-BABC-00B7007C003E}" done="0">
    <text xml:space="preserve">23135/09 +50.000
</text>
  </threadedComment>
  <threadedComment ref="D667" personId="{2F5F6CE8-9486-26C6-27E6-277EBB6962AB}" id="{002800AA-000F-4C89-B774-00D700F4002A}" done="0">
    <text xml:space="preserve">23662/11 +5.000
23685.12 +200
</text>
  </threadedComment>
  <threadedComment ref="D668" personId="{2F5F6CE8-9486-26C6-27E6-277EBB6962AB}" id="{005D0039-0000-42CE-B7FF-00DD005D0073}" done="0">
    <text xml:space="preserve">23662/11 -5.000
23685.12 -200
</text>
  </threadedComment>
  <threadedComment ref="D672" personId="{2F5F6CE8-9486-26C6-27E6-277EBB6962AB}" id="{00E40019-009B-46A6-953D-00C1008E0033}" done="0">
    <text xml:space="preserve">23618/09 +30.000
</text>
  </threadedComment>
  <threadedComment ref="D676" personId="{2F5F6CE8-9486-26C6-27E6-277EBB6962AB}" id="{008A00BD-004A-4460-A8B7-007F00D00018}" done="0">
    <text xml:space="preserve">23053/04 +50.000
23618/09 -30.000
23149/10 -1.000
</text>
  </threadedComment>
  <threadedComment ref="D678" personId="{2F5F6CE8-9486-26C6-27E6-277EBB6962AB}" id="{001700F0-00FB-4EA3-9441-00500094003E}" done="0">
    <text xml:space="preserve">23053/04 -50.000
23135/09 -50.000
</text>
  </threadedComment>
  <threadedComment ref="D681" personId="{2F5F6CE8-9486-26C6-27E6-277EBB6962AB}" id="{00010083-00FF-4FCE-B1F5-00C600CD0058}" done="0">
    <text xml:space="preserve">23081/06 +157.000 r
</text>
  </threadedComment>
  <threadedComment ref="D685" personId="{2F5F6CE8-9486-26C6-27E6-277EBB6962AB}" id="{00F80018-00A8-47E0-9AF0-008F0044008D}" done="0">
    <text xml:space="preserve">23010/02 -5.000 r
23036/03 -15.000 r
23099/07 -15.000 r
23100/07 -3.906 r
23101/07 -10.000 r
</text>
  </threadedComment>
  <threadedComment ref="D687" personId="{2F5F6CE8-9486-26C6-27E6-277EBB6962AB}" id="{00200063-00D6-40E1-B5C9-001900970078}" done="0">
    <text xml:space="preserve">23181/11 -2.000.000
</text>
  </threadedComment>
  <threadedComment ref="D688" personId="{2F5F6CE8-9486-26C6-27E6-277EBB6962AB}" id="{00070025-00D8-49AF-A57C-00E800B4006B}" done="0">
    <text xml:space="preserve">23533/03 -150.000 
+140.000 + 10.000
na 231.0800
</text>
  </threadedComment>
  <threadedComment ref="D689" personId="{2F5F6CE8-9486-26C6-27E6-277EBB6962AB}" id="{00790075-00B1-40EB-B31C-002E00EC00A6}" done="0">
    <text xml:space="preserve">232052/04 +-6.000
</text>
  </threadedComment>
  <threadedComment ref="D690" personId="{2F5F6CE8-9486-26C6-27E6-277EBB6962AB}" id="{002500CE-00C4-43AD-B6C9-00AC000400F6}" done="0">
    <text xml:space="preserve">23010/02 +5,000
23036/03 +15.000
23048/03 -+5.000
23081/06 +157.000
23099/07 +15.000
23100/07 +3.906
23101/07 +10.000
</text>
  </threadedComment>
  <threadedComment ref="D70" personId="{2F5F6CE8-9486-26C6-27E6-277EBB6962AB}" id="{0028005D-0062-45BD-A257-00FE00E7005B}" done="0">
    <text xml:space="preserve">23083/06 +20.000
</text>
  </threadedComment>
  <threadedComment ref="D696" personId="{2F5F6CE8-9486-26C6-27E6-277EBB6962AB}" id="{00C300CC-005C-491D-9A02-003700450016}" done="0">
    <text xml:space="preserve">23054/04 +3.134.000 úz 13305
23095/06 +51.728
k 30.6. -1.898.394
23138/10 +1.898.394 úz914 2390 
23151/11 -2.010.000  2390
23155/11 +7.011 0390
23650/11 -40.000 0390
23693/12 -2.953,19  0390
23700.12 -148.656,70
</text>
  </threadedComment>
  <threadedComment ref="D697" personId="{2F5F6CE8-9486-26C6-27E6-277EBB6962AB}" id="{00A200AD-00AC-4AAC-99AA-003700FA0048}" done="0">
    <text xml:space="preserve">23174/11 
-1.900.000 17968 1071
+     2.117,50 17015 1071
+    35.997,50 17016 1075
+    93.385,85 17968 1071
+1.587.559,45 17969 1075
23650/11 +40.000
23693/12 +2.953,19
23700.12 +148.656,70
</text>
  </threadedComment>
  <threadedComment ref="D698" personId="{2F5F6CE8-9486-26C6-27E6-277EBB6962AB}" id="{00790083-0046-4F1E-912E-0078005900B1}" done="0">
    <text xml:space="preserve">23054/04 +740.000 úz 13305
23151/10 -400.000 1391,2391
</text>
  </threadedComment>
  <threadedComment ref="D699" personId="{2F5F6CE8-9486-26C6-27E6-277EBB6962AB}" id="{00FA0013-0013-43E4-8210-00B60082002D}" done="0">
    <text xml:space="preserve">23054/04 +2.086.000 úz 13305
k 30.6. +1.898.394
23138/10 -1.898.394 ( úz914 2393)
23151/11 -1.920.000 1393,2393
</text>
  </threadedComment>
  <threadedComment ref="D71" personId="{2F5F6CE8-9486-26C6-27E6-277EBB6962AB}" id="{00EF0039-008B-44A6-9697-00BF004A0058}" done="0">
    <text xml:space="preserve">23083/06 +87.410
</text>
  </threadedComment>
  <threadedComment ref="D705" personId="{2F5F6CE8-9486-26C6-27E6-277EBB6962AB}" id="{00CE00D4-00D0-401D-B49A-002300710086}" done="0">
    <text xml:space="preserve">23194.12 +901.049
</text>
  </threadedComment>
  <threadedComment ref="D707" personId="{2F5F6CE8-9486-26C6-27E6-277EBB6962AB}" id="{00BF00C1-00B0-4D92-8C45-002C004C0029}" done="0">
    <text xml:space="preserve">23125/08 -260.000
</text>
  </threadedComment>
  <threadedComment ref="D72" personId="{2F5F6CE8-9486-26C6-27E6-277EBB6962AB}" id="{00E30010-00BC-408B-9DC9-00A900770032}" done="0">
    <text xml:space="preserve">23137/09 +1.404.681,67
</text>
  </threadedComment>
  <threadedComment ref="D711" personId="{2F5F6CE8-9486-26C6-27E6-277EBB6962AB}" id="{00E0009C-0093-465A-A787-005900CF0006}" done="0">
    <text xml:space="preserve">23029/02 +400.000
23050/04 -400.000
23195/12 -900.000
</text>
  </threadedComment>
  <threadedComment ref="D713" personId="{2F5F6CE8-9486-26C6-27E6-277EBB6962AB}" id="{00B800F0-00E6-428F-8C6B-001200BF0004}" done="0">
    <text xml:space="preserve">23009/02 +3.663.880
23173/11 -162.566
23193/12 -3.337.434
</text>
  </threadedComment>
  <threadedComment ref="D715" personId="{2F5F6CE8-9486-26C6-27E6-277EBB6962AB}" id="{00FE0083-00C1-4CCC-AECA-0000001C0032}" done="0">
    <text xml:space="preserve">23125/08 -100.000
</text>
  </threadedComment>
  <threadedComment ref="D718" personId="{2F5F6CE8-9486-26C6-27E6-277EBB6962AB}" id="{00F000A7-0024-46E9-94D2-0014002D0038}" done="0">
    <text xml:space="preserve">23171/11 -300.000
</text>
  </threadedComment>
  <threadedComment ref="D719" personId="{2F5F6CE8-9486-26C6-27E6-277EBB6962AB}" id="{0097002E-0039-4493-A782-009D000000F3}" done="0">
    <text xml:space="preserve">23111/07 +81.550,55
</text>
  </threadedComment>
  <threadedComment ref="D720" personId="{2F5F6CE8-9486-26C6-27E6-277EBB6962AB}" id="{005A003F-00A9-4327-A7DD-00B9004100F8}" done="0">
    <text xml:space="preserve">23173/11 -686.470,59 -115.000
23187/12 +52.695,50
</text>
  </threadedComment>
  <threadedComment ref="D721" personId="{2F5F6CE8-9486-26C6-27E6-277EBB6962AB}" id="{00390090-00A2-4800-BED9-001E003F00C5}" done="0">
    <text xml:space="preserve">23057/04 
+14.200 úz 29015
+35.205 úz 29031
231125/08 +360.000
</text>
  </threadedComment>
  <threadedComment ref="D727" personId="{2F5F6CE8-9486-26C6-27E6-277EBB6962AB}" id="{00BD00A8-00A3-4CC9-B436-00FC00A500CF}" done="0">
    <text xml:space="preserve">23146/10 +9.000
</text>
  </threadedComment>
  <threadedComment ref="D731" personId="{2F5F6CE8-9486-26C6-27E6-277EBB6962AB}" id="{007600CF-0039-477E-961F-000B004500A4}" done="0">
    <text xml:space="preserve">23532/03 -431.000
23546/04 -152.880
23563/05 -400.000
</text>
  </threadedComment>
  <threadedComment ref="D732" personId="{2F5F6CE8-9486-26C6-27E6-277EBB6962AB}" id="{00F600FC-003D-4931-B497-00FD0088007A}" done="0">
    <text xml:space="preserve">23513/02 +45.254
</text>
  </threadedComment>
  <threadedComment ref="D734" personId="{2F5F6CE8-9486-26C6-27E6-277EBB6962AB}" id="{008B00B6-0019-46BC-A003-0088001A007C}" done="0">
    <text xml:space="preserve">23563/05 -150.000
</text>
  </threadedComment>
  <threadedComment ref="D735" personId="{2F5F6CE8-9486-26C6-27E6-277EBB6962AB}" id="{00FA0044-00EC-4556-90DF-004400B200BE}" done="0">
    <text xml:space="preserve">23563/05 -100.000
</text>
  </threadedComment>
  <threadedComment ref="D736" personId="{2F5F6CE8-9486-26C6-27E6-277EBB6962AB}" id="{00030027-0000-4289-8599-0031004F0032}" done="0">
    <text xml:space="preserve">23563/05 -250.000
</text>
  </threadedComment>
  <threadedComment ref="D737" personId="{2F5F6CE8-9486-26C6-27E6-277EBB6962AB}" id="{00DE00B0-00A1-4A61-B10A-00A500240088}" done="0">
    <text xml:space="preserve">23563/05 -100.000
</text>
  </threadedComment>
  <threadedComment ref="D739" personId="{2F5F6CE8-9486-26C6-27E6-277EBB6962AB}" id="{000F0004-0011-4951-96F6-005B003800BC}" done="0">
    <text xml:space="preserve">23563/05 -800.000
</text>
  </threadedComment>
  <threadedComment ref="D740" personId="{2F5F6CE8-9486-26C6-27E6-277EBB6962AB}" id="{00660013-00DB-4C34-A12A-0097004800C3}" done="0">
    <text xml:space="preserve">23563/05 -300.000
</text>
  </threadedComment>
  <threadedComment ref="D75" personId="{2F5F6CE8-9486-26C6-27E6-277EBB6962AB}" id="{00CE00B7-003E-4845-B523-00170045002B}" done="0">
    <text xml:space="preserve">23126/08 +300.000
</text>
  </threadedComment>
  <threadedComment ref="D742" personId="{2F5F6CE8-9486-26C6-27E6-277EBB6962AB}" id="{00BA00A2-0037-46FE-92D8-0087005D0062}" done="0">
    <text xml:space="preserve">23006/01 +1.812.000
23513/02 -45.254
23558/05 -20.971
23561/05 -13.463,31
23563/05 +2.100.000
23574/06 -63.727
23114/08 +1.163.197,81
23630/10 -31.878
23642/11 -1.911
23673/12 -1.036
23695.12 -18.280,01
</text>
  </threadedComment>
  <threadedComment ref="D743" personId="{2F5F6CE8-9486-26C6-27E6-277EBB6962AB}" id="{00D100D1-0037-450E-834C-003300FD0070}" done="0">
    <text xml:space="preserve">23546/04 
+152.880
23558/05 +20.971
23561/05 +13.463,31
23574/06 +63.727
23630/10 +31.878
23642/11 +1.911
23673/12 +1.036
23695.12 +18.280,01
</text>
  </threadedComment>
  <threadedComment ref="D747" personId="{2F5F6CE8-9486-26C6-27E6-277EBB6962AB}" id="{006E001A-00FE-4B43-B1EB-00EB0068007F}" done="0">
    <text xml:space="preserve">23532/03 +431.000
</text>
  </threadedComment>
  <threadedComment ref="D750" personId="{2F5F6CE8-9486-26C6-27E6-277EBB6962AB}" id="{00D10057-00DA-416F-A279-002200310043}" done="0">
    <text xml:space="preserve">23022/02 -617.845,43
23617/09 -41.009
23673/12 -12.687,46
23194.12 -323,86
23695.12 -0,03
</text>
  </threadedComment>
  <threadedComment ref="D751" personId="{2F5F6CE8-9486-26C6-27E6-277EBB6962AB}" id="{008600F0-0037-4A16-9EE8-009500DE0037}" done="0">
    <text xml:space="preserve">23617/09 +41.009
23673/12 +12.687,46
23695.12 +0,03
</text>
  </threadedComment>
  <threadedComment ref="D756" personId="{2F5F6CE8-9486-26C6-27E6-277EBB6962AB}" id="{00D90014-0018-415A-927E-004700230034}" done="0">
    <text xml:space="preserve">23024/02 -1.500.000
</text>
  </threadedComment>
  <threadedComment ref="D762" personId="{2F5F6CE8-9486-26C6-27E6-277EBB6962AB}" id="{00410032-00A6-41FD-9B6F-008C00FF0080}" done="0">
    <text xml:space="preserve">23024/02  - 500.000 jung b2 (část z 1.200.00)
</text>
  </threadedComment>
  <threadedComment ref="D763" personId="{2F5F6CE8-9486-26C6-27E6-277EBB6962AB}" id="{00660018-0021-412F-B40B-00CA005500D7}" done="0">
    <text xml:space="preserve">23137/09 -1.000.000
</text>
  </threadedComment>
  <threadedComment ref="D765" personId="{2F5F6CE8-9486-26C6-27E6-277EBB6962AB}" id="{0019009B-008B-40E5-8DCF-009B00AD00FF}" done="0">
    <text xml:space="preserve">23024/02  
-1.500.000 jung b1
- 500.000 jung b2 (část z 1.200.00)
</text>
  </threadedComment>
  <threadedComment ref="D769" personId="{2F5F6CE8-9486-26C6-27E6-277EBB6962AB}" id="{007C00E1-0070-43FB-B7F8-005C00E300AE}" done="0">
    <text xml:space="preserve">23194.12 -200.000
</text>
  </threadedComment>
  <threadedComment ref="D771" personId="{2F5F6CE8-9486-26C6-27E6-277EBB6962AB}" id="{00EC00AD-0072-4314-8912-0040006E006F}" done="0">
    <text xml:space="preserve">23178/11 -500.000
23194.12 -1.500.000
</text>
  </threadedComment>
  <threadedComment ref="D774" personId="{2F5F6CE8-9486-26C6-27E6-277EBB6962AB}" id="{0098005C-004A-4C98-80C6-0032007700C7}" done="0">
    <text xml:space="preserve">23095/06 +13.073
23194.12 -250.000
</text>
  </threadedComment>
  <threadedComment ref="D775" personId="{2F5F6CE8-9486-26C6-27E6-277EBB6962AB}" id="{003200F6-0049-4883-B59D-00AD00F800F8}" done="0">
    <text xml:space="preserve">23194.12 -300.000
</text>
  </threadedComment>
  <threadedComment ref="D776" personId="{2F5F6CE8-9486-26C6-27E6-277EBB6962AB}" id="{003100A3-001C-4BC2-909B-003A0052002C}" done="0">
    <text xml:space="preserve">23178/11 -500.000
23194.12 -200.000
</text>
  </threadedComment>
  <threadedComment ref="D780" personId="{2F5F6CE8-9486-26C6-27E6-277EBB6962AB}" id="{001D008A-004B-4956-B492-009E00E3008A}" done="0">
    <text xml:space="preserve">23137/09 -250.000
</text>
  </threadedComment>
  <threadedComment ref="D79" personId="{2F5F6CE8-9486-26C6-27E6-277EBB6962AB}" id="{00FF00F3-0070-4507-829A-001400BD00C3}" done="0">
    <text xml:space="preserve">23044/03 +384 (321)
23061/04 +43.797 (350)
23071/05 +270 (322)
23142/10 -3.504 (321)
23143/10 +262.743 (321)
</text>
  </threadedComment>
  <threadedComment ref="D786" personId="{2F5F6CE8-9486-26C6-27E6-277EBB6962AB}" id="{0016001E-00D3-42EA-BB5C-00DC00A10068}" done="0">
    <text xml:space="preserve">23194.12 +2.450.000
</text>
  </threadedComment>
  <threadedComment ref="D790" personId="{2F5F6CE8-9486-26C6-27E6-277EBB6962AB}" id="{00FE0019-00E1-4974-AAD5-003D00580025}" done="0">
    <text xml:space="preserve">23103/07 -80.000
23171/11 -20.000
</text>
  </threadedComment>
  <threadedComment ref="D793" personId="{2F5F6CE8-9486-26C6-27E6-277EBB6962AB}" id="{00C60038-0027-4D03-A353-009D00B700C4}" done="0">
    <text xml:space="preserve">23137/09 -400.000
</text>
  </threadedComment>
  <threadedComment ref="D795" personId="{2F5F6CE8-9486-26C6-27E6-277EBB6962AB}" id="{002500EB-0015-43BC-9D7D-0021004C00E4}" done="0">
    <text xml:space="preserve">23020/02 +150.000
23173/11 
-32.530 -110.347,82
</text>
  </threadedComment>
  <threadedComment ref="D796" personId="{2F5F6CE8-9486-26C6-27E6-277EBB6962AB}" id="{00C000B6-002F-439B-9303-001100C800B6}" done="0">
    <text xml:space="preserve">23137/09 -600.000
</text>
  </threadedComment>
  <threadedComment ref="D797" personId="{2F5F6CE8-9486-26C6-27E6-277EBB6962AB}" id="{009900FA-00C2-45D4-8C76-00A800F30087}" done="0">
    <text xml:space="preserve">23024/02 -4.000.000
</text>
  </threadedComment>
  <threadedComment ref="D799" personId="{2F5F6CE8-9486-26C6-27E6-277EBB6962AB}" id="{00A30042-00EB-44BF-A67C-00B300970079}" done="0">
    <text xml:space="preserve">23137/09 -900.000
</text>
  </threadedComment>
  <threadedComment ref="D801" personId="{2F5F6CE8-9486-26C6-27E6-277EBB6962AB}" id="{002F0019-007B-4579-B5CD-008F00640037}" done="0">
    <text xml:space="preserve">23546/04 +4.000
23620/09 +100.000
</text>
  </threadedComment>
  <threadedComment ref="D810" personId="{2F5F6CE8-9486-26C6-27E6-277EBB6962AB}" id="{00E0009E-0085-4459-9F8F-00CF002A0043}" done="0">
    <text xml:space="preserve">23620/09 -100.000
</text>
  </threadedComment>
  <threadedComment ref="D813" personId="{2F5F6CE8-9486-26C6-27E6-277EBB6962AB}" id="{008200E6-00D7-4209-8F77-00DC00470078}" done="0">
    <text xml:space="preserve">23528/03 +146.700
23546/04 -4.000
</text>
  </threadedComment>
  <threadedComment ref="D815" personId="{2F5F6CE8-9486-26C6-27E6-277EBB6962AB}" id="{00BC00D1-0041-4085-9DFE-00FF0099006E}" done="0">
    <text xml:space="preserve">23528/03 -146.700
</text>
  </threadedComment>
  <threadedComment ref="D816" personId="{2F5F6CE8-9486-26C6-27E6-277EBB6962AB}" id="{001E004D-00C9-43DB-9A72-00B0006000A5}" done="0">
    <text xml:space="preserve">23171/11 -280.000
</text>
  </threadedComment>
  <threadedComment ref="D817" personId="{2F5F6CE8-9486-26C6-27E6-277EBB6962AB}" id="{001A002D-009B-4DA1-AB5E-00FC001C00F3}" done="0">
    <text xml:space="preserve">23103/07 -80.000
23171/11 -20.000
</text>
  </threadedComment>
  <threadedComment ref="D819" personId="{2F5F6CE8-9486-26C6-27E6-277EBB6962AB}" id="{004F006D-004D-49E0-93D5-0067000900E2}" done="0">
    <text xml:space="preserve">23137/09 -2.500.000
</text>
  </threadedComment>
  <threadedComment ref="D821" personId="{2F5F6CE8-9486-26C6-27E6-277EBB6962AB}" id="{00530028-004D-44AE-8F84-007C006C00E6}" done="0">
    <text xml:space="preserve">23020/02 
-330.000 +180.000
23104/07 +280.000
23171/11 -15.613,03 -1,16
</text>
  </threadedComment>
  <threadedComment ref="D823" personId="{2F5F6CE8-9486-26C6-27E6-277EBB6962AB}" id="{009500A8-00BF-42A2-9324-007200D800AE}" done="0">
    <text xml:space="preserve">23620/09 -100.000
</text>
  </threadedComment>
  <threadedComment ref="D825" personId="{2F5F6CE8-9486-26C6-27E6-277EBB6962AB}" id="{00210097-000F-423F-80D7-00E200A400DC}" done="0">
    <text xml:space="preserve">23181/11 +2.000.000
</text>
  </threadedComment>
  <threadedComment ref="D834" personId="{2F5F6CE8-9486-26C6-27E6-277EBB6962AB}" id="{00320048-007A-474B-AD1C-000C00FE0018}" done="0">
    <text xml:space="preserve">23620/09 +100.000
</text>
  </threadedComment>
  <threadedComment ref="D837" personId="{2F5F6CE8-9486-26C6-27E6-277EBB6962AB}" id="{00C000E8-00C5-4412-A652-009D00C400E6}" done="0">
    <text xml:space="preserve">23137/09 -700.000
</text>
  </threadedComment>
  <threadedComment ref="D85" personId="{2F5F6CE8-9486-26C6-27E6-277EBB6962AB}" id="{00F500D5-00F1-4119-9CEE-0049005A009E}" done="0">
    <text xml:space="preserve">23146/10 +9.000
</text>
  </threadedComment>
  <threadedComment ref="D843" personId="{2F5F6CE8-9486-26C6-27E6-277EBB6962AB}" id="{00DF00F7-000A-42C6-B782-007300B70096}" done="0">
    <text xml:space="preserve">23177/11 +1.000.000
</text>
  </threadedComment>
  <threadedComment ref="D848" personId="{2F5F6CE8-9486-26C6-27E6-277EBB6962AB}" id="{00640086-0020-4F7D-89F1-00D800030009}" done="0">
    <text xml:space="preserve">23545/04 +-1.500.000 org
</text>
  </threadedComment>
  <threadedComment ref="D856" personId="{2F5F6CE8-9486-26C6-27E6-277EBB6962AB}" id="{008700B6-00E0-47E9-B462-00F8002400E4}" done="0">
    <text xml:space="preserve">23137/09 -500.000
</text>
  </threadedComment>
  <threadedComment ref="D858" personId="{2F5F6CE8-9486-26C6-27E6-277EBB6962AB}" id="{00870049-009D-43F1-988A-00C70000003A}" done="0">
    <text xml:space="preserve">23137/09 -200.000
</text>
  </threadedComment>
  <threadedComment ref="D873" personId="{2F5F6CE8-9486-26C6-27E6-277EBB6962AB}" id="{00D000FA-0054-4BC7-9B5C-005D00BC0054}" done="0">
    <text xml:space="preserve">23089/06 -242.500
</text>
  </threadedComment>
  <threadedComment ref="D875" personId="{2F5F6CE8-9486-26C6-27E6-277EBB6962AB}" id="{00D60039-00AB-49F2-9D6E-002400D20057}" done="0">
    <text xml:space="preserve">23017/02
+15.614,79   0309
+57.246,53   0321
+130.295,27 0322
+210.485,42 0323
+444.697,21 0325
</text>
  </threadedComment>
  <threadedComment ref="D876" personId="{2F5F6CE8-9486-26C6-27E6-277EBB6962AB}" id="{004C0040-0083-4112-B0C8-00CD003100CF}" done="0">
    <text xml:space="preserve">23041/03 -285.281
</text>
  </threadedComment>
  <threadedComment ref="D877" personId="{2F5F6CE8-9486-26C6-27E6-277EBB6962AB}" id="{00F900FC-00EA-4FA4-9694-00A000070083}" done="0">
    <text xml:space="preserve">23041/03 -285.281
</text>
  </threadedComment>
  <threadedComment ref="D878" personId="{2F5F6CE8-9486-26C6-27E6-277EBB6962AB}" id="{0005003D-000E-4FAD-B218-0014005900A6}" done="0">
    <text xml:space="preserve">23156/11 +300.000
</text>
  </threadedComment>
  <threadedComment ref="D880" personId="{2F5F6CE8-9486-26C6-27E6-277EBB6962AB}" id="{00DC00A8-0013-490D-8776-00DA006200E0}" done="0">
    <text xml:space="preserve">23083/06 +50.000
23126/08 
+50.000 +50.000
23182/12 +100.000
23194.12+10.000
</text>
  </threadedComment>
  <threadedComment ref="D882" personId="{2F5F6CE8-9486-26C6-27E6-277EBB6962AB}" id="{007C00A3-00D4-41F9-B5E8-009400750044}" done="0">
    <text xml:space="preserve">23060/04 -10.050.300
</text>
  </threadedComment>
  <threadedComment ref="D883" personId="{2F5F6CE8-9486-26C6-27E6-277EBB6962AB}" id="{00D40079-00EE-4C2D-B921-00F1004300DC}" done="0">
    <text xml:space="preserve">23083/06 -3.000.000
23118/08 +5.000.000
</text>
  </threadedComment>
  <threadedComment ref="D886" personId="{2F5F6CE8-9486-26C6-27E6-277EBB6962AB}" id="{007B00FA-007F-449B-85C3-0041008D0047}" done="0">
    <text xml:space="preserve">23107/07 úz 13014
+ 1.784,32 1201
+10.111,13 1205
</text>
  </threadedComment>
  <threadedComment ref="D887" personId="{2F5F6CE8-9486-26C6-27E6-277EBB6962AB}" id="{002B00CA-00F6-4DE7-9E8B-004D00D400E1}" done="0">
    <text xml:space="preserve">23107/07 úz 13014
+ 1.784,32 1201
+10.111,13 1205
</text>
  </threadedComment>
  <threadedComment ref="D888" personId="{2F5F6CE8-9486-26C6-27E6-277EBB6962AB}" id="{000F00E1-0025-4233-9E59-0082005E006B}" done="0">
    <text xml:space="preserve">23016/02 +8.015
</text>
  </threadedComment>
  <threadedComment ref="D889" personId="{2F5F6CE8-9486-26C6-27E6-277EBB6962AB}" id="{0008006A-0009-48C0-9289-008F00D20068}" done="0">
    <text xml:space="preserve">23016/02 +33.210
</text>
  </threadedComment>
  <threadedComment ref="D890" personId="{2F5F6CE8-9486-26C6-27E6-277EBB6962AB}" id="{000B00AD-00F7-4F2A-8BB5-00FD00AB0096}" done="0">
    <text xml:space="preserve">23090/06 +1.449.005,28
</text>
  </threadedComment>
  <threadedComment ref="D90" personId="{2F5F6CE8-9486-26C6-27E6-277EBB6962AB}" id="{005C00DD-00C3-45F1-8171-00F900FB00CB}" done="0">
    <text xml:space="preserve">23043/03 -7.381.538
</text>
  </threadedComment>
  <threadedComment ref="D891" personId="{2F5F6CE8-9486-26C6-27E6-277EBB6962AB}" id="{00ED0064-00A2-4184-B7BE-00C1005F0022}" done="0">
    <text xml:space="preserve">23018/02 +221.800
</text>
  </threadedComment>
  <threadedComment ref="D892" personId="{2F5F6CE8-9486-26C6-27E6-277EBB6962AB}" id="{0093003D-00ED-42FC-A277-008300F30074}" done="0">
    <text xml:space="preserve">23050/04 +400.000
</text>
  </threadedComment>
  <threadedComment ref="D894" personId="{2F5F6CE8-9486-26C6-27E6-277EBB6962AB}" id="{00FC00CE-0072-4231-ADE7-00C5003A0098}" done="0">
    <text xml:space="preserve">23002/01 -508.200
23003/01 +45.455
23004/01 -2.500.000
23005/01 +2.499.800
23006/01 -1.812.000
23007/01 -76.493,01
23008/01 -33.698
23009/02 -3.663.880
23017/02 -120.860,71
23018/02 -221.800
23019/02 +50.161  poj
23021/02 +14.000.000
23022/02 +14.055,43
23026/02 -1.700.000
23029/02 -300.000
23030/02 -1.938.178,27
23035/03 -436.000
23037/03 -175.000
23038/03 +5.706.845,54
23041/03 +285.281
23043/03 -7.381.538
23044/03 +384
23046/03 +80.676,71
23047/03 +248.308,32
23049/03 -1.750.000
23061/04 +43.797
23062/04 -84.940
23063/04 +3.705,41
23065/05 -231.000
23069/05 -50.000
23071/05 +270
23072/05 +2.989,27
23073/05 +1.200.000 -96.800
23074/05 +921.600
23075/05 
-89.825 -296.450 -213.204
23077/05 -1.000.000
23080/06 -5.500.000
23083/06
+20.000 +76.497 +20200 +36.600 +156.589,68 +5.360 +147.136 +87.410 +265 673,13 +2.870.000
23085/06 -147.136
23089/06 -176
23090/06 -1.449.005,28
23098/07 +23.330.000
23103/07 +160.000
23104/07 -280.000
23105/07 -300.000
23108/07 -150.000
23112/07 -49.000
23114/08 -1.163.197,81
23116/08 -500.000
23118/08 -5.000.000
23119/08 -300.000
23126/08 +9.703.265,68
23605/08 -86.815,98
23127/09 -500.000
23129/09 +700.000
23130/09 +3.074,21
23131/09 +275.000
23136/09 -300.000
23137/09 čistící
+2.277.799,35 +412.445 +7.050.000 
23138/10
+300.000 +1.060.000 +1.000.000 +6.690.000 +7.500.000 +500.000 +1.800.000 +3.930.000 +800.000
23139/10 +1.000.000
23144/10 +98.187
23147/10 +500.000
23151/11 +4.330.000 +700.000
23152/11 +114.563,55
23153/11 -76.493,02
23154/11 +1.650.000
23155/11 +28.572
23156/11 -300.000
23165/11 +62,46
23166/11 +70.122
23168/11 +155.095,79
23169/11 +82.921,96
23170/11 +200.000
23171/11
+48.744 +15.613,03 +1,16 +100.000 +350.000 +280.000 +300.000 +600.000 +10.163 -300.000 +20.000 +20.000
23173/11
+370.000 +175.000 +10.637.000 +26.810 +686.470,59 +30.000 +115.000 +162.566 +32.630 +110.347,82 +594,97
23174/11 +500.000
23175/11 +484.000
23176/11 +700.000
23182/11 +500.000
23183/11 +1.550.000
23184/11 +2.200.000
23185/11 +4.011
23187/12 -52.695,50
23188/12 +300.000
23189/12 +2.180.699,34
23191/12 +217.373,47
23192/12 -100.000
23193/12 +3.337.434
23194.12 -117.496 -2.869.843,80 -287.980 -101.945,85 -5.103.000 -8.281.000 +323,86
23195/12 +1.600.000 +900.000
23196/12 -100.000
</text>
  </threadedComment>
  <threadedComment ref="D895" personId="{2F5F6CE8-9486-26C6-27E6-277EBB6962AB}" id="{00AD00BB-008B-4C8B-BA1D-00AE00C8006D}" done="0">
    <text xml:space="preserve">23069/05 +40.000 +10.000
23083/06 +80.000
</text>
  </threadedComment>
  <threadedComment ref="D896" personId="{2F5F6CE8-9486-26C6-27E6-277EBB6962AB}" id="{0092005C-0066-4F1E-B78A-0002007C00EB}" done="0">
    <text xml:space="preserve">23605/08 +86.815,98
</text>
  </threadedComment>
  <threadedComment ref="D96" personId="{2F5F6CE8-9486-26C6-27E6-277EBB6962AB}" id="{006500E9-0004-47CC-9690-00C700DF005A}" done="0">
    <text xml:space="preserve">23083/06 +36.600
</text>
  </threadedComment>
  <threadedComment ref="D97" personId="{2F5F6CE8-9486-26C6-27E6-277EBB6962AB}" id="{008E006B-00F6-4D21-BFD4-002800AE003E}" done="0">
    <text xml:space="preserve">23083/06 
+144.589,67 osm
+12.000 od
</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bin"/><Relationship Id="rId4" Type="http://schemas.microsoft.com/office/2017/10/relationships/threadedComment" Target="../threadedComments/threadedComment4.xml"/></Relationships>
</file>

<file path=xl/worksheets/_rels/sheet7.xml.rels><?xml version="1.0" encoding="UTF-8" standalone="yes"?>
<Relationships xmlns="http://schemas.openxmlformats.org/package/2006/relationships"><Relationship Id="rId3" Type="http://schemas.microsoft.com/office/2017/10/relationships/threadedComment" Target="../threadedComments/threadedComment5.xml"/><Relationship Id="rId2" Type="http://schemas.openxmlformats.org/officeDocument/2006/relationships/comments" Target="../comments5.xml"/><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pageSetUpPr fitToPage="1"/>
  </sheetPr>
  <dimension ref="A1:IV926"/>
  <sheetViews>
    <sheetView topLeftCell="B1" workbookViewId="0">
      <pane ySplit="2" topLeftCell="A3" activePane="bottomLeft" state="frozen"/>
      <selection activeCell="J7" sqref="J7"/>
      <selection pane="bottomLeft" activeCell="B1" sqref="B1"/>
    </sheetView>
  </sheetViews>
  <sheetFormatPr defaultColWidth="9.5703125" defaultRowHeight="12.75" x14ac:dyDescent="0.2"/>
  <cols>
    <col min="1" max="1" width="20.85546875" style="1" customWidth="1"/>
    <col min="2" max="2" width="97" style="1" customWidth="1"/>
    <col min="3" max="3" width="24.85546875" style="1" customWidth="1"/>
    <col min="4" max="4" width="28.42578125" style="1" customWidth="1"/>
    <col min="5" max="5" width="24.28515625" style="1" customWidth="1"/>
    <col min="6" max="6" width="0.140625" style="2" customWidth="1"/>
    <col min="7" max="7" width="24.28515625" style="1" customWidth="1"/>
    <col min="8" max="8" width="16.42578125" style="1" customWidth="1"/>
    <col min="9" max="16384" width="9.5703125" style="1"/>
  </cols>
  <sheetData>
    <row r="1" spans="1:8" ht="18.75" customHeight="1" x14ac:dyDescent="0.25">
      <c r="C1" s="3"/>
      <c r="D1" s="3"/>
      <c r="E1" s="4"/>
      <c r="F1" s="5"/>
      <c r="G1" s="6" t="s">
        <v>0</v>
      </c>
      <c r="H1" s="7"/>
    </row>
    <row r="2" spans="1:8" ht="60" customHeight="1" x14ac:dyDescent="0.2">
      <c r="A2" s="8" t="s">
        <v>1</v>
      </c>
      <c r="B2" s="9" t="s">
        <v>2</v>
      </c>
      <c r="C2" s="10" t="s">
        <v>3</v>
      </c>
      <c r="D2" s="11" t="s">
        <v>4</v>
      </c>
      <c r="E2" s="11" t="s">
        <v>5</v>
      </c>
      <c r="F2" s="11" t="s">
        <v>6</v>
      </c>
      <c r="G2" s="11" t="s">
        <v>7</v>
      </c>
      <c r="H2" s="7"/>
    </row>
    <row r="3" spans="1:8" s="12" customFormat="1" ht="18" customHeight="1" x14ac:dyDescent="0.25">
      <c r="A3" s="13"/>
      <c r="B3" s="14" t="s">
        <v>8</v>
      </c>
      <c r="C3" s="15"/>
      <c r="D3" s="15"/>
      <c r="E3" s="16"/>
      <c r="F3" s="17"/>
      <c r="G3" s="18"/>
      <c r="H3" s="7"/>
    </row>
    <row r="4" spans="1:8" s="19" customFormat="1" ht="15.75" customHeight="1" x14ac:dyDescent="0.2">
      <c r="A4" s="20"/>
      <c r="B4" s="21" t="s">
        <v>9</v>
      </c>
      <c r="C4" s="22">
        <f>C53</f>
        <v>444580702</v>
      </c>
      <c r="D4" s="22">
        <f>D53</f>
        <v>371511957.44</v>
      </c>
      <c r="E4" s="22">
        <v>370879661.44</v>
      </c>
      <c r="F4" s="22">
        <f>F53</f>
        <v>255798528.65000004</v>
      </c>
      <c r="G4" s="22">
        <v>388416000</v>
      </c>
      <c r="H4" s="23"/>
    </row>
    <row r="5" spans="1:8" s="19" customFormat="1" ht="15.75" customHeight="1" x14ac:dyDescent="0.2">
      <c r="A5" s="24"/>
      <c r="B5" s="21" t="s">
        <v>10</v>
      </c>
      <c r="C5" s="25">
        <f>C87</f>
        <v>127930181</v>
      </c>
      <c r="D5" s="25">
        <f>D87</f>
        <v>68787440.480000004</v>
      </c>
      <c r="E5" s="25">
        <v>123158006.55</v>
      </c>
      <c r="F5" s="25">
        <f>F87</f>
        <v>86272625.189999998</v>
      </c>
      <c r="G5" s="25">
        <v>127407541.26000001</v>
      </c>
      <c r="H5" s="23"/>
    </row>
    <row r="6" spans="1:8" s="19" customFormat="1" ht="15.75" customHeight="1" x14ac:dyDescent="0.2">
      <c r="A6" s="21"/>
      <c r="B6" s="21" t="s">
        <v>11</v>
      </c>
      <c r="C6" s="25">
        <f>C177</f>
        <v>52475517</v>
      </c>
      <c r="D6" s="25">
        <f>D177</f>
        <v>52226112.700000003</v>
      </c>
      <c r="E6" s="25">
        <v>16516319.699999999</v>
      </c>
      <c r="F6" s="25">
        <f>F177</f>
        <v>15702229.899999999</v>
      </c>
      <c r="G6" s="25">
        <f>G177</f>
        <v>109511899.31</v>
      </c>
      <c r="H6" s="23"/>
    </row>
    <row r="7" spans="1:8" s="19" customFormat="1" ht="15.75" customHeight="1" x14ac:dyDescent="0.2">
      <c r="A7" s="21"/>
      <c r="B7" s="21" t="s">
        <v>12</v>
      </c>
      <c r="C7" s="25">
        <f>C198</f>
        <v>59771600.0035</v>
      </c>
      <c r="D7" s="25">
        <f>D198</f>
        <v>138526988.82350001</v>
      </c>
      <c r="E7" s="25">
        <v>134539129.30000001</v>
      </c>
      <c r="F7" s="25">
        <f>F198</f>
        <v>120624289.91999999</v>
      </c>
      <c r="G7" s="25">
        <v>81229895.709999993</v>
      </c>
      <c r="H7" s="23"/>
    </row>
    <row r="8" spans="1:8" s="12" customFormat="1" ht="18" x14ac:dyDescent="0.25">
      <c r="A8" s="26"/>
      <c r="B8" s="27" t="s">
        <v>13</v>
      </c>
      <c r="C8" s="28">
        <v>684761000</v>
      </c>
      <c r="D8" s="28">
        <f>D252</f>
        <v>631052499.44350004</v>
      </c>
      <c r="E8" s="28">
        <v>645093116.99000001</v>
      </c>
      <c r="F8" s="28">
        <f>F252</f>
        <v>478397673.65999997</v>
      </c>
      <c r="G8" s="28">
        <v>706565336.27999997</v>
      </c>
      <c r="H8" s="29"/>
    </row>
    <row r="9" spans="1:8" s="19" customFormat="1" ht="15" x14ac:dyDescent="0.2">
      <c r="A9" s="30"/>
      <c r="B9" s="30" t="s">
        <v>14</v>
      </c>
      <c r="C9" s="31">
        <f>C254</f>
        <v>185331265.00000003</v>
      </c>
      <c r="D9" s="31">
        <f>D254</f>
        <v>169553420.91000003</v>
      </c>
      <c r="E9" s="31">
        <v>135875963.61000001</v>
      </c>
      <c r="F9" s="31">
        <f>F254</f>
        <v>-56083079.149999999</v>
      </c>
      <c r="G9" s="31">
        <v>195741180.47</v>
      </c>
      <c r="H9" s="32"/>
    </row>
    <row r="10" spans="1:8" s="33" customFormat="1" ht="23.25" x14ac:dyDescent="0.35">
      <c r="A10" s="34"/>
      <c r="B10" s="35" t="s">
        <v>15</v>
      </c>
      <c r="C10" s="36">
        <f>C263</f>
        <v>870089265.00349998</v>
      </c>
      <c r="D10" s="36">
        <f>D263</f>
        <v>800605920.35350013</v>
      </c>
      <c r="E10" s="36">
        <v>780969080.60000002</v>
      </c>
      <c r="F10" s="36">
        <f>F263</f>
        <v>422314594.50999999</v>
      </c>
      <c r="G10" s="36">
        <v>902306516.75</v>
      </c>
      <c r="H10" s="37"/>
    </row>
    <row r="11" spans="1:8" s="12" customFormat="1" ht="18" x14ac:dyDescent="0.25">
      <c r="A11" s="13"/>
      <c r="B11" s="14" t="s">
        <v>16</v>
      </c>
      <c r="C11" s="38"/>
      <c r="D11" s="38"/>
      <c r="E11" s="38"/>
      <c r="F11" s="39"/>
      <c r="G11" s="40"/>
      <c r="H11" s="29"/>
    </row>
    <row r="12" spans="1:8" s="12" customFormat="1" ht="18" x14ac:dyDescent="0.25">
      <c r="A12" s="13"/>
      <c r="B12" s="21" t="s">
        <v>17</v>
      </c>
      <c r="C12" s="22">
        <f>C50-C13</f>
        <v>603990895</v>
      </c>
      <c r="D12" s="22">
        <f>D50-D13</f>
        <v>661093281.42999995</v>
      </c>
      <c r="E12" s="22">
        <f>E50-E13</f>
        <v>619317145.48000002</v>
      </c>
      <c r="F12" s="22">
        <f>F50-F13</f>
        <v>426567811.58000004</v>
      </c>
      <c r="G12" s="22">
        <f>G50-G13</f>
        <v>640650917.12</v>
      </c>
      <c r="H12" s="32"/>
    </row>
    <row r="13" spans="1:8" s="12" customFormat="1" ht="18.75" customHeight="1" x14ac:dyDescent="0.25">
      <c r="A13" s="13"/>
      <c r="B13" s="21" t="s">
        <v>18</v>
      </c>
      <c r="C13" s="22">
        <v>266098370</v>
      </c>
      <c r="D13" s="22">
        <v>205239504.96000001</v>
      </c>
      <c r="E13" s="41">
        <v>161651935.12</v>
      </c>
      <c r="F13" s="41">
        <v>68757015.640000001</v>
      </c>
      <c r="G13" s="42">
        <v>261655599.63</v>
      </c>
      <c r="H13" s="32"/>
    </row>
    <row r="14" spans="1:8" s="12" customFormat="1" ht="15.75" customHeight="1" x14ac:dyDescent="0.25">
      <c r="A14" s="13"/>
      <c r="B14" s="43" t="s">
        <v>19</v>
      </c>
      <c r="C14" s="38"/>
      <c r="D14" s="38"/>
      <c r="E14" s="44"/>
      <c r="F14" s="45"/>
      <c r="G14" s="44"/>
    </row>
    <row r="15" spans="1:8" s="12" customFormat="1" ht="18.75" x14ac:dyDescent="0.25">
      <c r="A15" s="13"/>
      <c r="B15" s="46" t="s">
        <v>20</v>
      </c>
      <c r="C15" s="47">
        <f t="shared" ref="C15:G16" si="0">C266</f>
        <v>52448677</v>
      </c>
      <c r="D15" s="47">
        <f t="shared" si="0"/>
        <v>50917338</v>
      </c>
      <c r="E15" s="47">
        <f t="shared" si="0"/>
        <v>47778764.609999999</v>
      </c>
      <c r="F15" s="47">
        <f t="shared" si="0"/>
        <v>26310888.520000003</v>
      </c>
      <c r="G15" s="47">
        <f t="shared" si="0"/>
        <v>47057788.329999998</v>
      </c>
    </row>
    <row r="16" spans="1:8" s="19" customFormat="1" ht="15.75" customHeight="1" x14ac:dyDescent="0.25">
      <c r="A16" s="48"/>
      <c r="B16" s="21" t="s">
        <v>21</v>
      </c>
      <c r="C16" s="25">
        <f t="shared" si="0"/>
        <v>1895000</v>
      </c>
      <c r="D16" s="25">
        <f t="shared" si="0"/>
        <v>1895000</v>
      </c>
      <c r="E16" s="25">
        <f t="shared" si="0"/>
        <v>1895000</v>
      </c>
      <c r="F16" s="25">
        <f t="shared" si="0"/>
        <v>440288.54000000004</v>
      </c>
      <c r="G16" s="25">
        <f t="shared" si="0"/>
        <v>1985000</v>
      </c>
      <c r="H16" s="23"/>
    </row>
    <row r="17" spans="1:84" s="19" customFormat="1" ht="15.75" customHeight="1" x14ac:dyDescent="0.2">
      <c r="A17" s="21"/>
      <c r="B17" s="49" t="s">
        <v>22</v>
      </c>
      <c r="C17" s="25">
        <f>C280</f>
        <v>28251000</v>
      </c>
      <c r="D17" s="25">
        <f>D280</f>
        <v>26869575</v>
      </c>
      <c r="E17" s="25">
        <f>E280</f>
        <v>24033615</v>
      </c>
      <c r="F17" s="25">
        <f>F280</f>
        <v>14287648.27</v>
      </c>
      <c r="G17" s="25">
        <f>G280</f>
        <v>27050000</v>
      </c>
      <c r="H17" s="23"/>
    </row>
    <row r="18" spans="1:84" s="19" customFormat="1" ht="15.75" customHeight="1" x14ac:dyDescent="0.2">
      <c r="A18" s="49"/>
      <c r="B18" s="49" t="s">
        <v>23</v>
      </c>
      <c r="C18" s="22">
        <f>C301</f>
        <v>6934000</v>
      </c>
      <c r="D18" s="22">
        <f>D301</f>
        <v>6934000</v>
      </c>
      <c r="E18" s="22">
        <f>E301</f>
        <v>6639123.5999999996</v>
      </c>
      <c r="F18" s="22">
        <f>F301</f>
        <v>3111784.6</v>
      </c>
      <c r="G18" s="22">
        <f>G301</f>
        <v>2334000</v>
      </c>
      <c r="H18" s="23"/>
    </row>
    <row r="19" spans="1:84" s="19" customFormat="1" ht="15.75" customHeight="1" x14ac:dyDescent="0.2">
      <c r="A19" s="50"/>
      <c r="B19" s="50" t="s">
        <v>24</v>
      </c>
      <c r="C19" s="31">
        <f>C315</f>
        <v>15368677</v>
      </c>
      <c r="D19" s="31">
        <f>D315</f>
        <v>15218763</v>
      </c>
      <c r="E19" s="31">
        <f>E315</f>
        <v>15211026.01</v>
      </c>
      <c r="F19" s="31">
        <f>F315</f>
        <v>8471167.1100000013</v>
      </c>
      <c r="G19" s="31">
        <f>G315</f>
        <v>15688788.33</v>
      </c>
      <c r="H19" s="23"/>
    </row>
    <row r="20" spans="1:84" s="19" customFormat="1" ht="18.75" x14ac:dyDescent="0.25">
      <c r="A20" s="49"/>
      <c r="B20" s="51" t="s">
        <v>25</v>
      </c>
      <c r="C20" s="47">
        <f t="shared" ref="C20:F21" si="1">C354</f>
        <v>79701343</v>
      </c>
      <c r="D20" s="47">
        <f t="shared" si="1"/>
        <v>69000343</v>
      </c>
      <c r="E20" s="47">
        <f t="shared" si="1"/>
        <v>1689192.23</v>
      </c>
      <c r="F20" s="47">
        <f t="shared" si="1"/>
        <v>5818563.0100000007</v>
      </c>
      <c r="G20" s="47">
        <f>SUM(G21:G25)</f>
        <v>114484000</v>
      </c>
      <c r="H20" s="12"/>
    </row>
    <row r="21" spans="1:84" s="19" customFormat="1" ht="15.75" customHeight="1" x14ac:dyDescent="0.2">
      <c r="A21" s="21"/>
      <c r="B21" s="21" t="s">
        <v>26</v>
      </c>
      <c r="C21" s="25">
        <f t="shared" si="1"/>
        <v>1000000</v>
      </c>
      <c r="D21" s="25">
        <f t="shared" si="1"/>
        <v>1004840</v>
      </c>
      <c r="E21" s="25">
        <f t="shared" si="1"/>
        <v>374258.72</v>
      </c>
      <c r="F21" s="25">
        <f t="shared" si="1"/>
        <v>380258.72</v>
      </c>
      <c r="G21" s="25">
        <f>G355</f>
        <v>5530000</v>
      </c>
      <c r="H21" s="23"/>
    </row>
    <row r="22" spans="1:84" s="19" customFormat="1" ht="15.75" customHeight="1" x14ac:dyDescent="0.2">
      <c r="A22" s="21"/>
      <c r="B22" s="49" t="s">
        <v>27</v>
      </c>
      <c r="C22" s="25">
        <f>C370</f>
        <v>28360000</v>
      </c>
      <c r="D22" s="25">
        <f>D370</f>
        <v>26188160</v>
      </c>
      <c r="E22" s="25">
        <f>E370</f>
        <v>850886.86</v>
      </c>
      <c r="F22" s="25">
        <f>F370</f>
        <v>3217923.7600000002</v>
      </c>
      <c r="G22" s="25">
        <v>38460500</v>
      </c>
      <c r="H22" s="23"/>
    </row>
    <row r="23" spans="1:84" s="19" customFormat="1" ht="15.75" customHeight="1" x14ac:dyDescent="0.2">
      <c r="A23" s="21"/>
      <c r="B23" s="49" t="s">
        <v>28</v>
      </c>
      <c r="C23" s="25">
        <f>C432</f>
        <v>10270000</v>
      </c>
      <c r="D23" s="25">
        <f>D432</f>
        <v>4360000</v>
      </c>
      <c r="E23" s="25">
        <f>E432</f>
        <v>1000</v>
      </c>
      <c r="F23" s="25">
        <f>F432</f>
        <v>1152211.8800000001</v>
      </c>
      <c r="G23" s="25">
        <f>G432</f>
        <v>6295000</v>
      </c>
      <c r="H23" s="23"/>
    </row>
    <row r="24" spans="1:84" s="19" customFormat="1" ht="15.75" customHeight="1" x14ac:dyDescent="0.2">
      <c r="A24" s="21"/>
      <c r="B24" s="21" t="s">
        <v>29</v>
      </c>
      <c r="C24" s="25">
        <f>C445</f>
        <v>38897343</v>
      </c>
      <c r="D24" s="25">
        <f>D445</f>
        <v>36797343</v>
      </c>
      <c r="E24" s="25">
        <f>E445</f>
        <v>313046.65000000002</v>
      </c>
      <c r="F24" s="25">
        <f>F445</f>
        <v>963168.65</v>
      </c>
      <c r="G24" s="25">
        <v>63726000</v>
      </c>
      <c r="H24" s="23"/>
    </row>
    <row r="25" spans="1:84" s="19" customFormat="1" ht="15.75" customHeight="1" x14ac:dyDescent="0.2">
      <c r="A25" s="52"/>
      <c r="B25" s="53" t="s">
        <v>30</v>
      </c>
      <c r="C25" s="54">
        <f>C476</f>
        <v>1174000</v>
      </c>
      <c r="D25" s="54">
        <f>D476</f>
        <v>650000</v>
      </c>
      <c r="E25" s="54">
        <f>E476</f>
        <v>150000</v>
      </c>
      <c r="F25" s="54">
        <f>F476</f>
        <v>105000</v>
      </c>
      <c r="G25" s="54">
        <f>G476</f>
        <v>472500</v>
      </c>
      <c r="H25" s="23"/>
    </row>
    <row r="26" spans="1:84" s="19" customFormat="1" ht="18.75" x14ac:dyDescent="0.3">
      <c r="A26" s="55"/>
      <c r="B26" s="56" t="s">
        <v>31</v>
      </c>
      <c r="C26" s="57">
        <f>C481</f>
        <v>3086000</v>
      </c>
      <c r="D26" s="57">
        <f>D481</f>
        <v>4456000</v>
      </c>
      <c r="E26" s="57">
        <f>E481</f>
        <v>4273000</v>
      </c>
      <c r="F26" s="57">
        <f>F481</f>
        <v>3290243</v>
      </c>
      <c r="G26" s="57">
        <f>G481</f>
        <v>3640000</v>
      </c>
    </row>
    <row r="27" spans="1:84" s="58" customFormat="1" ht="18.75" x14ac:dyDescent="0.3">
      <c r="A27" s="50"/>
      <c r="B27" s="59" t="s">
        <v>32</v>
      </c>
      <c r="C27" s="60">
        <f>C486</f>
        <v>10612697</v>
      </c>
      <c r="D27" s="60">
        <v>9354593</v>
      </c>
      <c r="E27" s="60">
        <v>9354593</v>
      </c>
      <c r="F27" s="60">
        <v>5300735.47</v>
      </c>
      <c r="G27" s="60">
        <v>10752956</v>
      </c>
    </row>
    <row r="28" spans="1:84" s="19" customFormat="1" ht="18.75" x14ac:dyDescent="0.3">
      <c r="A28" s="55"/>
      <c r="B28" s="56" t="s">
        <v>33</v>
      </c>
      <c r="C28" s="57">
        <f>C492</f>
        <v>6426417</v>
      </c>
      <c r="D28" s="57">
        <f>D492</f>
        <v>6357417</v>
      </c>
      <c r="E28" s="57">
        <f>E492</f>
        <v>6413417</v>
      </c>
      <c r="F28" s="57">
        <f>F492</f>
        <v>4365980.75</v>
      </c>
      <c r="G28" s="57">
        <f>G492</f>
        <v>7038417</v>
      </c>
    </row>
    <row r="29" spans="1:84" s="19" customFormat="1" ht="18.75" x14ac:dyDescent="0.3">
      <c r="A29" s="52"/>
      <c r="B29" s="61" t="s">
        <v>34</v>
      </c>
      <c r="C29" s="62">
        <f>C503</f>
        <v>112000</v>
      </c>
      <c r="D29" s="62">
        <f>D503</f>
        <v>112000</v>
      </c>
      <c r="E29" s="62">
        <f>E503</f>
        <v>73000</v>
      </c>
      <c r="F29" s="62">
        <f>F503</f>
        <v>33098</v>
      </c>
      <c r="G29" s="62">
        <f>G503</f>
        <v>112000</v>
      </c>
      <c r="H29" s="23"/>
    </row>
    <row r="30" spans="1:84" s="63" customFormat="1" ht="18.75" x14ac:dyDescent="0.25">
      <c r="A30" s="64"/>
      <c r="B30" s="65" t="s">
        <v>35</v>
      </c>
      <c r="C30" s="66">
        <f>C507</f>
        <v>500000</v>
      </c>
      <c r="D30" s="66">
        <f>D507</f>
        <v>1201000</v>
      </c>
      <c r="E30" s="66">
        <f>E507</f>
        <v>701000</v>
      </c>
      <c r="F30" s="66">
        <f>F507</f>
        <v>1201000</v>
      </c>
      <c r="G30" s="66">
        <f>G507</f>
        <v>500000</v>
      </c>
      <c r="H30" s="23"/>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row>
    <row r="31" spans="1:84" s="19" customFormat="1" ht="18.75" x14ac:dyDescent="0.3">
      <c r="A31" s="43"/>
      <c r="B31" s="67" t="s">
        <v>36</v>
      </c>
      <c r="C31" s="68">
        <f t="shared" ref="C31:F32" si="2">C511</f>
        <v>117286140</v>
      </c>
      <c r="D31" s="69">
        <f t="shared" si="2"/>
        <v>125496783.28</v>
      </c>
      <c r="E31" s="69">
        <f t="shared" si="2"/>
        <v>125496783.28</v>
      </c>
      <c r="F31" s="69">
        <f t="shared" si="2"/>
        <v>82606294.439999998</v>
      </c>
      <c r="G31" s="69">
        <f>SUM(G32:G34)</f>
        <v>165843398.80000001</v>
      </c>
    </row>
    <row r="32" spans="1:84" s="19" customFormat="1" ht="15.75" customHeight="1" x14ac:dyDescent="0.25">
      <c r="A32" s="48"/>
      <c r="B32" s="21" t="s">
        <v>37</v>
      </c>
      <c r="C32" s="25">
        <f t="shared" si="2"/>
        <v>55530000</v>
      </c>
      <c r="D32" s="25">
        <f t="shared" si="2"/>
        <v>50086908.670000002</v>
      </c>
      <c r="E32" s="25">
        <f t="shared" si="2"/>
        <v>50086908.670000002</v>
      </c>
      <c r="F32" s="25">
        <f t="shared" si="2"/>
        <v>24467486.900000002</v>
      </c>
      <c r="G32" s="25">
        <v>84320582.799999997</v>
      </c>
      <c r="H32" s="23"/>
    </row>
    <row r="33" spans="1:8" s="19" customFormat="1" ht="15.75" customHeight="1" x14ac:dyDescent="0.2">
      <c r="A33" s="21"/>
      <c r="B33" s="21" t="s">
        <v>38</v>
      </c>
      <c r="C33" s="25">
        <v>39914000</v>
      </c>
      <c r="D33" s="25">
        <f>D564</f>
        <v>60000</v>
      </c>
      <c r="E33" s="25">
        <v>39435236.609999999</v>
      </c>
      <c r="F33" s="25">
        <f>F564</f>
        <v>23782.41</v>
      </c>
      <c r="G33" s="25">
        <v>63946000</v>
      </c>
      <c r="H33" s="23"/>
    </row>
    <row r="34" spans="1:8" s="19" customFormat="1" ht="15.75" customHeight="1" x14ac:dyDescent="0.2">
      <c r="A34" s="50"/>
      <c r="B34" s="53" t="s">
        <v>39</v>
      </c>
      <c r="C34" s="31">
        <v>21842.14</v>
      </c>
      <c r="D34" s="31">
        <f>D589</f>
        <v>150000</v>
      </c>
      <c r="E34" s="31">
        <v>35974638</v>
      </c>
      <c r="F34" s="31">
        <f>F589</f>
        <v>59769</v>
      </c>
      <c r="G34" s="31">
        <v>17576816</v>
      </c>
      <c r="H34" s="23"/>
    </row>
    <row r="35" spans="1:8" s="19" customFormat="1" ht="18.75" x14ac:dyDescent="0.3">
      <c r="A35" s="53"/>
      <c r="B35" s="70" t="s">
        <v>40</v>
      </c>
      <c r="C35" s="71">
        <f>C604</f>
        <v>24216100</v>
      </c>
      <c r="D35" s="71">
        <f>D604</f>
        <v>26216100</v>
      </c>
      <c r="E35" s="71">
        <f>E604</f>
        <v>26000000</v>
      </c>
      <c r="F35" s="71">
        <f>F604</f>
        <v>16002050.35</v>
      </c>
      <c r="G35" s="71">
        <f>G604</f>
        <v>24084500</v>
      </c>
    </row>
    <row r="36" spans="1:8" s="19" customFormat="1" ht="18.75" x14ac:dyDescent="0.3">
      <c r="A36" s="53"/>
      <c r="B36" s="70" t="s">
        <v>41</v>
      </c>
      <c r="C36" s="71">
        <f>C608</f>
        <v>36789421</v>
      </c>
      <c r="D36" s="71">
        <f>D608</f>
        <v>33301421</v>
      </c>
      <c r="E36" s="71">
        <f>E608</f>
        <v>30587183.09</v>
      </c>
      <c r="F36" s="71">
        <f>F608</f>
        <v>14768627.58</v>
      </c>
      <c r="G36" s="71">
        <f>G608</f>
        <v>34895800</v>
      </c>
    </row>
    <row r="37" spans="1:8" s="19" customFormat="1" ht="18.75" x14ac:dyDescent="0.2">
      <c r="A37" s="55"/>
      <c r="B37" s="72" t="s">
        <v>42</v>
      </c>
      <c r="C37" s="73">
        <f>C625</f>
        <v>153267660</v>
      </c>
      <c r="D37" s="74">
        <f>D625</f>
        <v>152405979</v>
      </c>
      <c r="E37" s="74">
        <f>E625</f>
        <v>152405979</v>
      </c>
      <c r="F37" s="74">
        <f>F625</f>
        <v>87122082</v>
      </c>
      <c r="G37" s="74">
        <f>G625</f>
        <v>149365960</v>
      </c>
    </row>
    <row r="38" spans="1:8" s="19" customFormat="1" ht="18.75" x14ac:dyDescent="0.3">
      <c r="A38" s="75"/>
      <c r="B38" s="67" t="s">
        <v>43</v>
      </c>
      <c r="C38" s="69">
        <f t="shared" ref="C38:G39" si="3">C633</f>
        <v>10199000</v>
      </c>
      <c r="D38" s="69">
        <f t="shared" si="3"/>
        <v>10026000</v>
      </c>
      <c r="E38" s="69">
        <f t="shared" si="3"/>
        <v>8890100</v>
      </c>
      <c r="F38" s="69">
        <f t="shared" si="3"/>
        <v>6802858.8700000001</v>
      </c>
      <c r="G38" s="69">
        <f t="shared" si="3"/>
        <v>10937288</v>
      </c>
      <c r="H38" s="23"/>
    </row>
    <row r="39" spans="1:8" s="19" customFormat="1" ht="16.5" customHeight="1" x14ac:dyDescent="0.2">
      <c r="A39" s="76"/>
      <c r="B39" s="76" t="s">
        <v>44</v>
      </c>
      <c r="C39" s="25">
        <f t="shared" si="3"/>
        <v>3459000</v>
      </c>
      <c r="D39" s="25">
        <f t="shared" si="3"/>
        <v>3286000</v>
      </c>
      <c r="E39" s="25">
        <f t="shared" si="3"/>
        <v>2734100</v>
      </c>
      <c r="F39" s="25">
        <f t="shared" si="3"/>
        <v>769858.87000000011</v>
      </c>
      <c r="G39" s="25">
        <f t="shared" si="3"/>
        <v>3067000</v>
      </c>
      <c r="H39" s="23"/>
    </row>
    <row r="40" spans="1:8" s="19" customFormat="1" ht="16.5" customHeight="1" x14ac:dyDescent="0.2">
      <c r="A40" s="50"/>
      <c r="B40" s="50" t="s">
        <v>45</v>
      </c>
      <c r="C40" s="31">
        <f>C662</f>
        <v>6740000</v>
      </c>
      <c r="D40" s="31">
        <f>D662</f>
        <v>6740000</v>
      </c>
      <c r="E40" s="31">
        <f>E662</f>
        <v>6156000</v>
      </c>
      <c r="F40" s="31">
        <f>F662</f>
        <v>6033000</v>
      </c>
      <c r="G40" s="31">
        <f>G662</f>
        <v>7870288</v>
      </c>
    </row>
    <row r="41" spans="1:8" s="19" customFormat="1" ht="18.75" x14ac:dyDescent="0.3">
      <c r="A41" s="75"/>
      <c r="B41" s="77" t="s">
        <v>46</v>
      </c>
      <c r="C41" s="78">
        <f>C673</f>
        <v>14255100</v>
      </c>
      <c r="D41" s="78">
        <f>D673</f>
        <v>20033588</v>
      </c>
      <c r="E41" s="78">
        <f>E673</f>
        <v>20033588</v>
      </c>
      <c r="F41" s="78">
        <f>F673</f>
        <v>7184316.8099999996</v>
      </c>
      <c r="G41" s="78">
        <f>G673</f>
        <v>13505100</v>
      </c>
    </row>
    <row r="42" spans="1:8" s="19" customFormat="1" ht="16.5" customHeight="1" x14ac:dyDescent="0.3">
      <c r="A42" s="21"/>
      <c r="B42" s="79" t="s">
        <v>47</v>
      </c>
      <c r="C42" s="80">
        <f t="shared" ref="C42:G44" si="4">C675</f>
        <v>6911500</v>
      </c>
      <c r="D42" s="80">
        <f t="shared" si="4"/>
        <v>10203820</v>
      </c>
      <c r="E42" s="80">
        <f t="shared" si="4"/>
        <v>10203820</v>
      </c>
      <c r="F42" s="80">
        <f t="shared" si="4"/>
        <v>3433058.91</v>
      </c>
      <c r="G42" s="80">
        <f t="shared" si="4"/>
        <v>6835500</v>
      </c>
    </row>
    <row r="43" spans="1:8" s="19" customFormat="1" ht="16.5" customHeight="1" x14ac:dyDescent="0.3">
      <c r="A43" s="49"/>
      <c r="B43" s="81" t="s">
        <v>48</v>
      </c>
      <c r="C43" s="69">
        <f t="shared" si="4"/>
        <v>1796800</v>
      </c>
      <c r="D43" s="69">
        <f t="shared" si="4"/>
        <v>2479432</v>
      </c>
      <c r="E43" s="69">
        <f t="shared" si="4"/>
        <v>2479432</v>
      </c>
      <c r="F43" s="69">
        <f t="shared" si="4"/>
        <v>763396.3</v>
      </c>
      <c r="G43" s="69">
        <f t="shared" si="4"/>
        <v>1739300</v>
      </c>
    </row>
    <row r="44" spans="1:8" s="19" customFormat="1" ht="16.5" customHeight="1" x14ac:dyDescent="0.3">
      <c r="A44" s="53"/>
      <c r="B44" s="82" t="s">
        <v>49</v>
      </c>
      <c r="C44" s="71">
        <f t="shared" si="4"/>
        <v>5546800</v>
      </c>
      <c r="D44" s="71">
        <f t="shared" si="4"/>
        <v>7350336</v>
      </c>
      <c r="E44" s="71">
        <f t="shared" si="4"/>
        <v>7350336</v>
      </c>
      <c r="F44" s="71">
        <f t="shared" si="4"/>
        <v>2987864.6</v>
      </c>
      <c r="G44" s="71">
        <f t="shared" si="4"/>
        <v>4930300</v>
      </c>
      <c r="H44" s="23"/>
    </row>
    <row r="45" spans="1:8" s="19" customFormat="1" ht="18.75" x14ac:dyDescent="0.3">
      <c r="A45" s="83"/>
      <c r="B45" s="56" t="s">
        <v>50</v>
      </c>
      <c r="C45" s="57">
        <f>C679</f>
        <v>48341000</v>
      </c>
      <c r="D45" s="57">
        <f>D679</f>
        <v>48246622</v>
      </c>
      <c r="E45" s="57">
        <f>E679</f>
        <v>48220555</v>
      </c>
      <c r="F45" s="57">
        <f>F679</f>
        <v>26931631</v>
      </c>
      <c r="G45" s="57">
        <f>G679</f>
        <v>58483000</v>
      </c>
    </row>
    <row r="46" spans="1:8" s="19" customFormat="1" ht="18.75" customHeight="1" x14ac:dyDescent="0.3">
      <c r="A46" s="83"/>
      <c r="B46" s="56" t="s">
        <v>51</v>
      </c>
      <c r="C46" s="84">
        <f>C702</f>
        <v>272420000</v>
      </c>
      <c r="D46" s="57">
        <f>D702</f>
        <v>198055883.74000001</v>
      </c>
      <c r="E46" s="57">
        <v>183951155.44</v>
      </c>
      <c r="F46" s="57">
        <f>F702</f>
        <v>96334031.909999996</v>
      </c>
      <c r="G46" s="57">
        <v>224822000</v>
      </c>
      <c r="H46" s="85"/>
    </row>
    <row r="47" spans="1:8" s="19" customFormat="1" ht="19.5" customHeight="1" x14ac:dyDescent="0.3">
      <c r="A47" s="75"/>
      <c r="B47" s="86" t="s">
        <v>52</v>
      </c>
      <c r="C47" s="78">
        <f>C885</f>
        <v>1211750</v>
      </c>
      <c r="D47" s="78">
        <f>D885</f>
        <v>637750</v>
      </c>
      <c r="E47" s="78">
        <f>E885</f>
        <v>379640</v>
      </c>
      <c r="F47" s="78">
        <f>F885</f>
        <v>120303.64</v>
      </c>
      <c r="G47" s="78">
        <f>G885</f>
        <v>600000</v>
      </c>
      <c r="H47" s="1"/>
    </row>
    <row r="48" spans="1:8" s="19" customFormat="1" ht="15.75" customHeight="1" x14ac:dyDescent="0.2">
      <c r="A48" s="53"/>
      <c r="B48" s="87" t="s">
        <v>53</v>
      </c>
      <c r="C48" s="54">
        <f>C896</f>
        <v>574000</v>
      </c>
      <c r="D48" s="54">
        <f>D896</f>
        <v>0</v>
      </c>
      <c r="E48" s="54">
        <f>E896</f>
        <v>0</v>
      </c>
      <c r="F48" s="54">
        <f>F896</f>
        <v>0</v>
      </c>
      <c r="G48" s="54">
        <f>G896</f>
        <v>0</v>
      </c>
      <c r="H48" s="88"/>
    </row>
    <row r="49" spans="1:8" s="19" customFormat="1" ht="18.75" x14ac:dyDescent="0.3">
      <c r="A49" s="52"/>
      <c r="B49" s="67" t="s">
        <v>54</v>
      </c>
      <c r="C49" s="69">
        <f>C899</f>
        <v>39215960</v>
      </c>
      <c r="D49" s="69">
        <f>D899</f>
        <v>110513968.37</v>
      </c>
      <c r="E49" s="69">
        <f>E899</f>
        <v>104362912.75</v>
      </c>
      <c r="F49" s="69">
        <f>F899</f>
        <v>111132121.87</v>
      </c>
      <c r="G49" s="69">
        <f>G899</f>
        <v>36184308.620000005</v>
      </c>
      <c r="H49" s="88"/>
    </row>
    <row r="50" spans="1:8" s="12" customFormat="1" ht="23.25" customHeight="1" x14ac:dyDescent="0.3">
      <c r="A50" s="89"/>
      <c r="B50" s="90" t="s">
        <v>55</v>
      </c>
      <c r="C50" s="36">
        <f>C922</f>
        <v>870089265</v>
      </c>
      <c r="D50" s="36">
        <f>D922</f>
        <v>866332786.38999999</v>
      </c>
      <c r="E50" s="36">
        <v>780969080.60000002</v>
      </c>
      <c r="F50" s="36">
        <f>F922</f>
        <v>495324827.22000003</v>
      </c>
      <c r="G50" s="36">
        <v>902306516.75</v>
      </c>
      <c r="H50" s="88"/>
    </row>
    <row r="51" spans="1:8" s="12" customFormat="1" ht="23.25" hidden="1" customHeight="1" x14ac:dyDescent="0.3">
      <c r="A51" s="89"/>
      <c r="B51" s="90"/>
      <c r="C51" s="91"/>
      <c r="D51" s="91"/>
      <c r="E51" s="91"/>
      <c r="F51" s="91"/>
      <c r="G51" s="91"/>
      <c r="H51" s="88"/>
    </row>
    <row r="52" spans="1:8" ht="22.5" hidden="1" customHeight="1" x14ac:dyDescent="0.3">
      <c r="A52" s="92"/>
      <c r="B52" s="93" t="s">
        <v>56</v>
      </c>
      <c r="C52" s="94"/>
      <c r="D52" s="94"/>
      <c r="E52" s="95"/>
      <c r="F52" s="96"/>
      <c r="G52" s="97"/>
      <c r="H52" s="88"/>
    </row>
    <row r="53" spans="1:8" s="98" customFormat="1" ht="18" hidden="1" x14ac:dyDescent="0.25">
      <c r="A53" s="99"/>
      <c r="B53" s="100" t="s">
        <v>57</v>
      </c>
      <c r="C53" s="101">
        <f>SUM(C54:C66,C70,C73:C76,C83:C85)</f>
        <v>444580702</v>
      </c>
      <c r="D53" s="101">
        <f>SUM(D54:D66,D70,D73:D76,D83:D85)</f>
        <v>371511957.44</v>
      </c>
      <c r="E53" s="101">
        <f>SUM(E54:E66,E70,E73:E76,E83:E85)</f>
        <v>371694661.44</v>
      </c>
      <c r="F53" s="101">
        <f>SUM(F54:F66,F70,F73:F76,F83:F85)</f>
        <v>255798528.65000004</v>
      </c>
      <c r="G53" s="101">
        <f>SUM(G54:G66,G70,G73:G76,G83:G85)</f>
        <v>387416000</v>
      </c>
      <c r="H53" s="88"/>
    </row>
    <row r="54" spans="1:8" s="98" customFormat="1" ht="12.75" hidden="1" customHeight="1" x14ac:dyDescent="0.2">
      <c r="A54" s="102">
        <v>1111</v>
      </c>
      <c r="B54" s="103" t="s">
        <v>58</v>
      </c>
      <c r="C54" s="104">
        <f>(55413000*0.164351/100)*1000-0.63</f>
        <v>91071819</v>
      </c>
      <c r="D54" s="104">
        <f>(55413000*0.164351/100)*1000-0.63-18000000</f>
        <v>73071819</v>
      </c>
      <c r="E54" s="104">
        <f>(55413000*0.164351/100)*1000-0.63-18000000</f>
        <v>73071819</v>
      </c>
      <c r="F54" s="104">
        <v>48301217.43</v>
      </c>
      <c r="G54" s="105">
        <f>(85460000-83860000)/2+83860000</f>
        <v>84660000</v>
      </c>
      <c r="H54" s="88"/>
    </row>
    <row r="55" spans="1:8" s="98" customFormat="1" ht="12.75" hidden="1" customHeight="1" x14ac:dyDescent="0.2">
      <c r="A55" s="106">
        <v>1111</v>
      </c>
      <c r="B55" s="107" t="s">
        <v>59</v>
      </c>
      <c r="C55" s="108">
        <f>(3525000*0.272848/100)*1000</f>
        <v>9617892</v>
      </c>
      <c r="D55" s="108">
        <v>7617892</v>
      </c>
      <c r="E55" s="108">
        <v>7617892</v>
      </c>
      <c r="F55" s="109">
        <v>5100983.9800000004</v>
      </c>
      <c r="G55" s="105">
        <f>(8650000-8490000)/2+8490000</f>
        <v>8570000</v>
      </c>
      <c r="H55" s="88"/>
    </row>
    <row r="56" spans="1:8" s="98" customFormat="1" ht="12.75" hidden="1" customHeight="1" x14ac:dyDescent="0.2">
      <c r="A56" s="106">
        <v>1112</v>
      </c>
      <c r="B56" s="107" t="s">
        <v>60</v>
      </c>
      <c r="C56" s="104">
        <f>(1100000*0.164351/100)*1000</f>
        <v>1807861</v>
      </c>
      <c r="D56" s="104">
        <v>970159</v>
      </c>
      <c r="E56" s="104">
        <v>970159</v>
      </c>
      <c r="F56" s="104">
        <v>574554.49</v>
      </c>
      <c r="G56" s="105">
        <f>(1280000-1140000)/2+1140000</f>
        <v>1210000</v>
      </c>
      <c r="H56" s="88"/>
    </row>
    <row r="57" spans="1:8" s="98" customFormat="1" ht="12.75" hidden="1" customHeight="1" x14ac:dyDescent="0.2">
      <c r="A57" s="106">
        <v>1113</v>
      </c>
      <c r="B57" s="107" t="s">
        <v>61</v>
      </c>
      <c r="C57" s="104">
        <f>(4900000*0.164351/100)*1000</f>
        <v>8053199.0000000009</v>
      </c>
      <c r="D57" s="104">
        <f>(4900000*0.164351/100)*1000-2000000</f>
        <v>6053199.0000000009</v>
      </c>
      <c r="E57" s="104">
        <f>(4900000*0.164351/100)*1000-2000000</f>
        <v>6053199.0000000009</v>
      </c>
      <c r="F57" s="109">
        <v>5051465.68</v>
      </c>
      <c r="G57" s="105">
        <v>8425000</v>
      </c>
      <c r="H57" s="88"/>
    </row>
    <row r="58" spans="1:8" s="98" customFormat="1" ht="12.75" hidden="1" customHeight="1" x14ac:dyDescent="0.2">
      <c r="A58" s="106">
        <v>1121</v>
      </c>
      <c r="B58" s="107" t="s">
        <v>62</v>
      </c>
      <c r="C58" s="104">
        <f>(45100000*0.164351/100)*1000</f>
        <v>74122300.999999985</v>
      </c>
      <c r="D58" s="104">
        <f>(45100000*0.164351/100)*1000-16000000</f>
        <v>58122300.999999985</v>
      </c>
      <c r="E58" s="104">
        <f>(45100000*0.164351/100)*1000-16000000</f>
        <v>58122300.999999985</v>
      </c>
      <c r="F58" s="109">
        <v>33335383.719999999</v>
      </c>
      <c r="G58" s="105">
        <f>(50430000-49560000)/2+49560000</f>
        <v>49995000</v>
      </c>
      <c r="H58" s="88"/>
    </row>
    <row r="59" spans="1:8" s="98" customFormat="1" ht="12.75" hidden="1" customHeight="1" x14ac:dyDescent="0.2">
      <c r="A59" s="106">
        <v>1122</v>
      </c>
      <c r="B59" s="107" t="s">
        <v>63</v>
      </c>
      <c r="C59" s="109">
        <v>25000000</v>
      </c>
      <c r="D59" s="109">
        <v>22015870</v>
      </c>
      <c r="E59" s="109">
        <v>22015870</v>
      </c>
      <c r="F59" s="109">
        <v>22015870</v>
      </c>
      <c r="G59" s="109">
        <v>23000000</v>
      </c>
      <c r="H59" s="88"/>
    </row>
    <row r="60" spans="1:8" s="98" customFormat="1" ht="12.75" hidden="1" customHeight="1" x14ac:dyDescent="0.2">
      <c r="A60" s="106">
        <v>1211</v>
      </c>
      <c r="B60" s="107" t="s">
        <v>64</v>
      </c>
      <c r="C60" s="104">
        <f>(113000000*0.164351/100)*1000</f>
        <v>185716630</v>
      </c>
      <c r="D60" s="104">
        <f>(113000000*0.164351/100)*1000-26000000</f>
        <v>159716630</v>
      </c>
      <c r="E60" s="104">
        <f>(113000000*0.164351/100)*1000-26000000</f>
        <v>159716630</v>
      </c>
      <c r="F60" s="109">
        <v>105223217.38</v>
      </c>
      <c r="G60" s="105">
        <f>(168370000-160100000)/2+160100000</f>
        <v>164235000</v>
      </c>
      <c r="H60" s="88"/>
    </row>
    <row r="61" spans="1:8" s="98" customFormat="1" ht="12.75" hidden="1" customHeight="1" x14ac:dyDescent="0.2">
      <c r="A61" s="106">
        <v>1334</v>
      </c>
      <c r="B61" s="107" t="s">
        <v>65</v>
      </c>
      <c r="C61" s="109">
        <v>50000</v>
      </c>
      <c r="D61" s="109">
        <v>53936.2</v>
      </c>
      <c r="E61" s="109">
        <v>53936.2</v>
      </c>
      <c r="F61" s="108">
        <v>104468.8</v>
      </c>
      <c r="G61" s="105">
        <v>50000</v>
      </c>
      <c r="H61" s="88"/>
    </row>
    <row r="62" spans="1:8" s="98" customFormat="1" ht="12.75" hidden="1" customHeight="1" x14ac:dyDescent="0.2">
      <c r="A62" s="106">
        <v>1335</v>
      </c>
      <c r="B62" s="107" t="s">
        <v>66</v>
      </c>
      <c r="C62" s="109">
        <v>5000</v>
      </c>
      <c r="D62" s="109">
        <v>19055.240000000002</v>
      </c>
      <c r="E62" s="109">
        <v>19055.240000000002</v>
      </c>
      <c r="F62" s="109">
        <v>23555.24</v>
      </c>
      <c r="G62" s="105">
        <v>5000</v>
      </c>
      <c r="H62" s="88"/>
    </row>
    <row r="63" spans="1:8" s="98" customFormat="1" ht="12.75" hidden="1" customHeight="1" x14ac:dyDescent="0.2">
      <c r="A63" s="106">
        <v>1336</v>
      </c>
      <c r="B63" s="107" t="s">
        <v>67</v>
      </c>
      <c r="C63" s="109">
        <v>0</v>
      </c>
      <c r="D63" s="109">
        <v>2800</v>
      </c>
      <c r="E63" s="109">
        <v>2800</v>
      </c>
      <c r="F63" s="109">
        <v>2800</v>
      </c>
      <c r="G63" s="105">
        <v>0</v>
      </c>
      <c r="H63" s="88"/>
    </row>
    <row r="64" spans="1:8" s="98" customFormat="1" ht="26.25" hidden="1" customHeight="1" x14ac:dyDescent="0.2">
      <c r="A64" s="106">
        <v>1340</v>
      </c>
      <c r="B64" s="110" t="s">
        <v>68</v>
      </c>
      <c r="C64" s="109">
        <v>13000000</v>
      </c>
      <c r="D64" s="109">
        <v>13000000</v>
      </c>
      <c r="E64" s="109">
        <v>13000000</v>
      </c>
      <c r="F64" s="109">
        <v>11581542.619999999</v>
      </c>
      <c r="G64" s="109">
        <v>13000000</v>
      </c>
      <c r="H64" s="88"/>
    </row>
    <row r="65" spans="1:34" s="98" customFormat="1" ht="12.75" hidden="1" customHeight="1" x14ac:dyDescent="0.2">
      <c r="A65" s="106">
        <v>1341</v>
      </c>
      <c r="B65" s="107" t="s">
        <v>69</v>
      </c>
      <c r="C65" s="109">
        <v>650000</v>
      </c>
      <c r="D65" s="109">
        <v>650000</v>
      </c>
      <c r="E65" s="109">
        <v>650000</v>
      </c>
      <c r="F65" s="109">
        <v>593763.6</v>
      </c>
      <c r="G65" s="105">
        <v>650000</v>
      </c>
      <c r="H65" s="88"/>
    </row>
    <row r="66" spans="1:34" s="98" customFormat="1" ht="12.75" hidden="1" customHeight="1" x14ac:dyDescent="0.2">
      <c r="A66" s="106">
        <v>1343</v>
      </c>
      <c r="B66" s="107" t="s">
        <v>70</v>
      </c>
      <c r="C66" s="108">
        <f>SUM(C67:C69)</f>
        <v>405000</v>
      </c>
      <c r="D66" s="108">
        <f>SUM(D67:D69)</f>
        <v>305000</v>
      </c>
      <c r="E66" s="108">
        <f>SUM(E67:E69)</f>
        <v>280000</v>
      </c>
      <c r="F66" s="108">
        <f>SUM(F67:F69)</f>
        <v>200753</v>
      </c>
      <c r="G66" s="108">
        <f>SUM(G67:G69)</f>
        <v>385000</v>
      </c>
      <c r="H66" s="32"/>
    </row>
    <row r="67" spans="1:34" ht="12.75" hidden="1" customHeight="1" x14ac:dyDescent="0.2">
      <c r="A67" s="111"/>
      <c r="B67" s="112" t="s">
        <v>71</v>
      </c>
      <c r="C67" s="113">
        <v>300000</v>
      </c>
      <c r="D67" s="113">
        <v>200000</v>
      </c>
      <c r="E67" s="113">
        <v>180000</v>
      </c>
      <c r="F67" s="113">
        <v>153032</v>
      </c>
      <c r="G67" s="114">
        <v>300000</v>
      </c>
      <c r="H67" s="88"/>
    </row>
    <row r="68" spans="1:34" ht="12.75" hidden="1" customHeight="1" x14ac:dyDescent="0.2">
      <c r="A68" s="111"/>
      <c r="B68" s="112" t="s">
        <v>72</v>
      </c>
      <c r="C68" s="113">
        <v>55000</v>
      </c>
      <c r="D68" s="113">
        <v>55000</v>
      </c>
      <c r="E68" s="113">
        <v>50000</v>
      </c>
      <c r="F68" s="113">
        <v>35271</v>
      </c>
      <c r="G68" s="114">
        <v>60000</v>
      </c>
      <c r="H68" s="88"/>
    </row>
    <row r="69" spans="1:34" ht="12.75" hidden="1" customHeight="1" x14ac:dyDescent="0.2">
      <c r="A69" s="111"/>
      <c r="B69" s="112" t="s">
        <v>73</v>
      </c>
      <c r="C69" s="113">
        <v>50000</v>
      </c>
      <c r="D69" s="113">
        <v>50000</v>
      </c>
      <c r="E69" s="113">
        <v>50000</v>
      </c>
      <c r="F69" s="113">
        <v>12450</v>
      </c>
      <c r="G69" s="114">
        <v>25000</v>
      </c>
      <c r="H69" s="88"/>
    </row>
    <row r="70" spans="1:34" s="98" customFormat="1" ht="34.5" hidden="1" customHeight="1" x14ac:dyDescent="0.2">
      <c r="A70" s="106">
        <v>1346</v>
      </c>
      <c r="B70" s="110" t="s">
        <v>74</v>
      </c>
      <c r="C70" s="108">
        <f>SUM(C71:C72)</f>
        <v>90000</v>
      </c>
      <c r="D70" s="108">
        <f>SUM(D71:D72)</f>
        <v>122296</v>
      </c>
      <c r="E70" s="108">
        <f>SUM(E71:E72)</f>
        <v>156000</v>
      </c>
      <c r="F70" s="108">
        <f>SUM(F71:F72)</f>
        <v>132518</v>
      </c>
      <c r="G70" s="105">
        <f>SUM(G71:G72)</f>
        <v>95000</v>
      </c>
      <c r="H70" s="32"/>
    </row>
    <row r="71" spans="1:34" s="2" customFormat="1" hidden="1" x14ac:dyDescent="0.2">
      <c r="A71" s="115"/>
      <c r="B71" s="116" t="s">
        <v>75</v>
      </c>
      <c r="C71" s="113">
        <v>0</v>
      </c>
      <c r="D71" s="113">
        <v>7580</v>
      </c>
      <c r="E71" s="117">
        <v>16000</v>
      </c>
      <c r="F71" s="117">
        <v>12120</v>
      </c>
      <c r="G71" s="114">
        <v>5000</v>
      </c>
      <c r="H71" s="32"/>
    </row>
    <row r="72" spans="1:34" s="118" customFormat="1" hidden="1" x14ac:dyDescent="0.2">
      <c r="A72" s="119"/>
      <c r="B72" s="120" t="s">
        <v>76</v>
      </c>
      <c r="C72" s="121">
        <v>90000</v>
      </c>
      <c r="D72" s="121">
        <v>114716</v>
      </c>
      <c r="E72" s="122">
        <v>140000</v>
      </c>
      <c r="F72" s="122">
        <v>120398</v>
      </c>
      <c r="G72" s="123">
        <v>90000</v>
      </c>
      <c r="H72" s="124"/>
    </row>
    <row r="73" spans="1:34" s="98" customFormat="1" ht="12.75" hidden="1" customHeight="1" x14ac:dyDescent="0.2">
      <c r="A73" s="106">
        <v>1353</v>
      </c>
      <c r="B73" s="107" t="s">
        <v>77</v>
      </c>
      <c r="C73" s="109">
        <v>575000</v>
      </c>
      <c r="D73" s="109">
        <v>575000</v>
      </c>
      <c r="E73" s="109">
        <v>500000</v>
      </c>
      <c r="F73" s="109">
        <v>297300</v>
      </c>
      <c r="G73" s="105">
        <v>600000</v>
      </c>
      <c r="H73" s="88"/>
    </row>
    <row r="74" spans="1:34" s="98" customFormat="1" ht="12.75" hidden="1" customHeight="1" x14ac:dyDescent="0.2">
      <c r="A74" s="106">
        <v>1356</v>
      </c>
      <c r="B74" s="107" t="s">
        <v>78</v>
      </c>
      <c r="C74" s="109">
        <v>250000</v>
      </c>
      <c r="D74" s="109">
        <v>250000</v>
      </c>
      <c r="E74" s="109">
        <v>250000</v>
      </c>
      <c r="F74" s="109">
        <v>242547.84</v>
      </c>
      <c r="G74" s="109">
        <v>250000</v>
      </c>
      <c r="H74" s="32"/>
    </row>
    <row r="75" spans="1:34" s="98" customFormat="1" ht="12.75" hidden="1" customHeight="1" x14ac:dyDescent="0.2">
      <c r="A75" s="106">
        <v>1359</v>
      </c>
      <c r="B75" s="107" t="s">
        <v>79</v>
      </c>
      <c r="C75" s="109">
        <v>0</v>
      </c>
      <c r="D75" s="109">
        <v>0</v>
      </c>
      <c r="E75" s="109">
        <v>0</v>
      </c>
      <c r="F75" s="109">
        <v>45000</v>
      </c>
      <c r="G75" s="105">
        <v>0</v>
      </c>
      <c r="H75" s="32"/>
    </row>
    <row r="76" spans="1:34" s="98" customFormat="1" ht="12.75" hidden="1" customHeight="1" x14ac:dyDescent="0.2">
      <c r="A76" s="106">
        <v>1361</v>
      </c>
      <c r="B76" s="107" t="s">
        <v>80</v>
      </c>
      <c r="C76" s="108">
        <f>SUM(C77:C82)</f>
        <v>8666000</v>
      </c>
      <c r="D76" s="108">
        <f>SUM(D77:D82)</f>
        <v>7466000</v>
      </c>
      <c r="E76" s="108">
        <f>SUM(E77:E82)</f>
        <v>7515000</v>
      </c>
      <c r="F76" s="108">
        <f>SUM(F77:F82)</f>
        <v>6006885</v>
      </c>
      <c r="G76" s="108">
        <f>SUM(G77:G82)</f>
        <v>8086000</v>
      </c>
      <c r="H76" s="88"/>
    </row>
    <row r="77" spans="1:34" ht="12.75" hidden="1" customHeight="1" x14ac:dyDescent="0.2">
      <c r="A77" s="111"/>
      <c r="B77" s="112" t="s">
        <v>81</v>
      </c>
      <c r="C77" s="113">
        <v>5000000</v>
      </c>
      <c r="D77" s="113">
        <v>5000000</v>
      </c>
      <c r="E77" s="113">
        <v>5000000</v>
      </c>
      <c r="F77" s="113">
        <v>4004540</v>
      </c>
      <c r="G77" s="114">
        <v>5500000</v>
      </c>
      <c r="H77" s="88"/>
    </row>
    <row r="78" spans="1:34" ht="39" hidden="1" customHeight="1" x14ac:dyDescent="0.2">
      <c r="A78" s="111"/>
      <c r="B78" s="125" t="s">
        <v>82</v>
      </c>
      <c r="C78" s="113">
        <f>(378+2+30+10)*1000</f>
        <v>420000</v>
      </c>
      <c r="D78" s="113">
        <v>300000</v>
      </c>
      <c r="E78" s="113">
        <v>391000</v>
      </c>
      <c r="F78" s="113">
        <v>276560</v>
      </c>
      <c r="G78" s="114">
        <v>400000</v>
      </c>
      <c r="H78" s="32"/>
    </row>
    <row r="79" spans="1:34" ht="12.75" hidden="1" customHeight="1" x14ac:dyDescent="0.2">
      <c r="A79" s="111"/>
      <c r="B79" s="112" t="s">
        <v>83</v>
      </c>
      <c r="C79" s="113">
        <v>1300000</v>
      </c>
      <c r="D79" s="113">
        <v>1000000</v>
      </c>
      <c r="E79" s="113">
        <v>1000000</v>
      </c>
      <c r="F79" s="113">
        <v>752450</v>
      </c>
      <c r="G79" s="114">
        <v>1000000</v>
      </c>
      <c r="H79" s="88"/>
    </row>
    <row r="80" spans="1:34" s="126" customFormat="1" ht="12.75" hidden="1" customHeight="1" x14ac:dyDescent="0.2">
      <c r="A80" s="127"/>
      <c r="B80" s="128" t="s">
        <v>84</v>
      </c>
      <c r="C80" s="121">
        <v>1780000</v>
      </c>
      <c r="D80" s="121">
        <v>1000000</v>
      </c>
      <c r="E80" s="121">
        <v>950000</v>
      </c>
      <c r="F80" s="121">
        <v>803265</v>
      </c>
      <c r="G80" s="123">
        <v>1000000</v>
      </c>
      <c r="H80" s="129"/>
      <c r="I80" s="130"/>
      <c r="J80" s="130"/>
      <c r="K80" s="130"/>
      <c r="L80" s="130"/>
      <c r="M80" s="130"/>
      <c r="N80" s="130"/>
      <c r="O80" s="130"/>
      <c r="P80" s="130"/>
      <c r="Q80" s="130"/>
      <c r="R80" s="130"/>
      <c r="S80" s="130"/>
      <c r="T80" s="130"/>
      <c r="U80" s="130"/>
      <c r="V80" s="130"/>
      <c r="W80" s="130"/>
      <c r="X80" s="130"/>
      <c r="Y80" s="130"/>
      <c r="Z80" s="130"/>
      <c r="AA80" s="130"/>
      <c r="AB80" s="130"/>
      <c r="AC80" s="130"/>
      <c r="AD80" s="130"/>
      <c r="AE80" s="130"/>
      <c r="AF80" s="130"/>
      <c r="AG80" s="130"/>
      <c r="AH80" s="130"/>
    </row>
    <row r="81" spans="1:8" ht="12.75" hidden="1" customHeight="1" x14ac:dyDescent="0.2">
      <c r="A81" s="111"/>
      <c r="B81" s="112" t="s">
        <v>85</v>
      </c>
      <c r="C81" s="113">
        <v>162000</v>
      </c>
      <c r="D81" s="113">
        <v>162000</v>
      </c>
      <c r="E81" s="113">
        <v>170000</v>
      </c>
      <c r="F81" s="113">
        <v>167170</v>
      </c>
      <c r="G81" s="113">
        <v>182000</v>
      </c>
      <c r="H81" s="88"/>
    </row>
    <row r="82" spans="1:8" ht="12.75" hidden="1" customHeight="1" x14ac:dyDescent="0.2">
      <c r="A82" s="111"/>
      <c r="B82" s="112" t="s">
        <v>86</v>
      </c>
      <c r="C82" s="113">
        <v>4000</v>
      </c>
      <c r="D82" s="113">
        <f>1200+2800</f>
        <v>4000</v>
      </c>
      <c r="E82" s="113">
        <v>4000</v>
      </c>
      <c r="F82" s="113">
        <f>100+2800</f>
        <v>2900</v>
      </c>
      <c r="G82" s="114">
        <v>4000</v>
      </c>
      <c r="H82" s="88"/>
    </row>
    <row r="83" spans="1:8" ht="12.75" hidden="1" customHeight="1" x14ac:dyDescent="0.2">
      <c r="A83" s="106">
        <v>1381</v>
      </c>
      <c r="B83" s="107" t="s">
        <v>87</v>
      </c>
      <c r="C83" s="109">
        <v>1500000</v>
      </c>
      <c r="D83" s="109">
        <v>1500000</v>
      </c>
      <c r="E83" s="109">
        <v>1700000</v>
      </c>
      <c r="F83" s="109">
        <v>1597761.76</v>
      </c>
      <c r="G83" s="105">
        <v>1700000</v>
      </c>
      <c r="H83" s="88"/>
    </row>
    <row r="84" spans="1:8" ht="12.75" hidden="1" customHeight="1" x14ac:dyDescent="0.2">
      <c r="A84" s="106">
        <v>1385</v>
      </c>
      <c r="B84" s="107" t="s">
        <v>88</v>
      </c>
      <c r="C84" s="109">
        <v>12000000</v>
      </c>
      <c r="D84" s="109">
        <v>8000000</v>
      </c>
      <c r="E84" s="109">
        <v>8000000</v>
      </c>
      <c r="F84" s="109">
        <v>6888358.1799999997</v>
      </c>
      <c r="G84" s="105">
        <v>10000000</v>
      </c>
      <c r="H84" s="88"/>
    </row>
    <row r="85" spans="1:8" s="98" customFormat="1" ht="12.75" hidden="1" customHeight="1" x14ac:dyDescent="0.2">
      <c r="A85" s="106">
        <v>1511</v>
      </c>
      <c r="B85" s="107" t="s">
        <v>89</v>
      </c>
      <c r="C85" s="109">
        <f>11000000+1000000</f>
        <v>12000000</v>
      </c>
      <c r="D85" s="109">
        <f>11000000+1000000</f>
        <v>12000000</v>
      </c>
      <c r="E85" s="109">
        <f>11000000+1000000</f>
        <v>12000000</v>
      </c>
      <c r="F85" s="109">
        <v>8478581.9299999997</v>
      </c>
      <c r="G85" s="109">
        <v>12500000</v>
      </c>
      <c r="H85" s="88"/>
    </row>
    <row r="86" spans="1:8" s="98" customFormat="1" ht="12.75" hidden="1" customHeight="1" x14ac:dyDescent="0.2">
      <c r="A86" s="131"/>
      <c r="B86" s="132"/>
      <c r="C86" s="133"/>
      <c r="D86" s="133"/>
      <c r="E86" s="133"/>
      <c r="F86" s="134"/>
      <c r="G86" s="135"/>
      <c r="H86" s="88"/>
    </row>
    <row r="87" spans="1:8" s="98" customFormat="1" ht="18.75" hidden="1" customHeight="1" x14ac:dyDescent="0.25">
      <c r="A87" s="136"/>
      <c r="B87" s="64" t="s">
        <v>10</v>
      </c>
      <c r="C87" s="137">
        <f>SUM(C88,C101:C104,C116:C117,C128:C129,C142:C145,C162:C163,C175)</f>
        <v>127930181</v>
      </c>
      <c r="D87" s="137">
        <f>SUM(D88,D101:D104,D116:D117,D128:D129,D142:D145,D162:D163,D175)</f>
        <v>68787440.480000004</v>
      </c>
      <c r="E87" s="137">
        <f>SUM(E88,E101:E104,E116:E117,E128:E129,E142:E145,E162:E163,E175)</f>
        <v>121409960.75000001</v>
      </c>
      <c r="F87" s="137">
        <f>SUM(F88,F101:F104,F116:F117,F128:F129,F142:F145,F162:F163,F175)</f>
        <v>86272625.189999998</v>
      </c>
      <c r="G87" s="137">
        <f>SUM(G88,G101:G104,G116:G117,G128:G129,G142:G145,G162:G163,G175)</f>
        <v>127897541.26000001</v>
      </c>
      <c r="H87" s="88"/>
    </row>
    <row r="88" spans="1:8" s="98" customFormat="1" ht="12.75" hidden="1" customHeight="1" x14ac:dyDescent="0.2">
      <c r="A88" s="138">
        <v>2111</v>
      </c>
      <c r="B88" s="139" t="s">
        <v>90</v>
      </c>
      <c r="C88" s="140">
        <f>SUM(C89:C100)</f>
        <v>13114500</v>
      </c>
      <c r="D88" s="140">
        <f>SUM(D89:D100)</f>
        <v>13361889.02</v>
      </c>
      <c r="E88" s="140">
        <f>SUM(E89:E100)</f>
        <v>12789499.02</v>
      </c>
      <c r="F88" s="140">
        <f>SUM(F89:F100)</f>
        <v>9157928.2999999989</v>
      </c>
      <c r="G88" s="140">
        <f>SUM(G89:G100)</f>
        <v>13681500</v>
      </c>
      <c r="H88" s="88"/>
    </row>
    <row r="89" spans="1:8" ht="12.75" hidden="1" customHeight="1" x14ac:dyDescent="0.2">
      <c r="A89" s="141"/>
      <c r="B89" s="128" t="s">
        <v>91</v>
      </c>
      <c r="C89" s="121">
        <v>0</v>
      </c>
      <c r="D89" s="121">
        <v>0</v>
      </c>
      <c r="E89" s="113">
        <v>510</v>
      </c>
      <c r="F89" s="113">
        <v>510</v>
      </c>
      <c r="G89" s="114">
        <v>0</v>
      </c>
      <c r="H89" s="88"/>
    </row>
    <row r="90" spans="1:8" ht="12.75" hidden="1" customHeight="1" x14ac:dyDescent="0.2">
      <c r="A90" s="141"/>
      <c r="B90" s="128" t="s">
        <v>92</v>
      </c>
      <c r="C90" s="121">
        <v>1000000</v>
      </c>
      <c r="D90" s="113">
        <v>1000000</v>
      </c>
      <c r="E90" s="113">
        <v>1000000</v>
      </c>
      <c r="F90" s="113">
        <v>241188</v>
      </c>
      <c r="G90" s="114">
        <v>1000000</v>
      </c>
      <c r="H90" s="88"/>
    </row>
    <row r="91" spans="1:8" s="130" customFormat="1" ht="12.75" hidden="1" customHeight="1" x14ac:dyDescent="0.2">
      <c r="A91" s="127"/>
      <c r="B91" s="128" t="s">
        <v>93</v>
      </c>
      <c r="C91" s="121">
        <v>720000</v>
      </c>
      <c r="D91" s="121">
        <v>440588</v>
      </c>
      <c r="E91" s="121">
        <v>440588</v>
      </c>
      <c r="F91" s="121">
        <v>367675.18</v>
      </c>
      <c r="G91" s="123">
        <v>720000</v>
      </c>
      <c r="H91" s="129"/>
    </row>
    <row r="92" spans="1:8" ht="12.75" hidden="1" customHeight="1" x14ac:dyDescent="0.2">
      <c r="A92" s="127"/>
      <c r="B92" s="128" t="s">
        <v>94</v>
      </c>
      <c r="C92" s="121">
        <v>10000</v>
      </c>
      <c r="D92" s="121">
        <v>8000</v>
      </c>
      <c r="E92" s="113">
        <v>7000</v>
      </c>
      <c r="F92" s="113">
        <v>6360</v>
      </c>
      <c r="G92" s="114">
        <v>0</v>
      </c>
      <c r="H92" s="88"/>
    </row>
    <row r="93" spans="1:8" ht="12.75" hidden="1" customHeight="1" x14ac:dyDescent="0.2">
      <c r="A93" s="127"/>
      <c r="B93" s="128" t="s">
        <v>95</v>
      </c>
      <c r="C93" s="121">
        <v>5000000</v>
      </c>
      <c r="D93" s="121">
        <v>3950000</v>
      </c>
      <c r="E93" s="121">
        <v>3950000</v>
      </c>
      <c r="F93" s="121">
        <v>2939196.16</v>
      </c>
      <c r="G93" s="114">
        <v>5200000</v>
      </c>
      <c r="H93" s="88"/>
    </row>
    <row r="94" spans="1:8" ht="12.75" hidden="1" customHeight="1" x14ac:dyDescent="0.2">
      <c r="A94" s="127"/>
      <c r="B94" s="128" t="s">
        <v>96</v>
      </c>
      <c r="C94" s="121">
        <v>1248000</v>
      </c>
      <c r="D94" s="121">
        <v>1248000</v>
      </c>
      <c r="E94" s="113">
        <v>800000</v>
      </c>
      <c r="F94" s="113">
        <v>670841.93999999994</v>
      </c>
      <c r="G94" s="114">
        <v>1600000</v>
      </c>
      <c r="H94" s="88"/>
    </row>
    <row r="95" spans="1:8" ht="12.75" hidden="1" customHeight="1" x14ac:dyDescent="0.2">
      <c r="A95" s="127"/>
      <c r="B95" s="128" t="s">
        <v>97</v>
      </c>
      <c r="C95" s="121">
        <v>2685000</v>
      </c>
      <c r="D95" s="121">
        <v>2685000</v>
      </c>
      <c r="E95" s="121">
        <v>2685000</v>
      </c>
      <c r="F95" s="113">
        <v>1781568</v>
      </c>
      <c r="G95" s="114">
        <v>2610000</v>
      </c>
      <c r="H95" s="88"/>
    </row>
    <row r="96" spans="1:8" ht="12.75" hidden="1" customHeight="1" x14ac:dyDescent="0.2">
      <c r="A96" s="127"/>
      <c r="B96" s="128" t="s">
        <v>98</v>
      </c>
      <c r="C96" s="121">
        <v>0</v>
      </c>
      <c r="D96" s="121">
        <v>1578801.02</v>
      </c>
      <c r="E96" s="121">
        <v>1578801.02</v>
      </c>
      <c r="F96" s="121">
        <v>1578801.02</v>
      </c>
      <c r="G96" s="142">
        <v>0</v>
      </c>
      <c r="H96" s="88"/>
    </row>
    <row r="97" spans="1:8" ht="12.75" hidden="1" customHeight="1" x14ac:dyDescent="0.2">
      <c r="A97" s="127"/>
      <c r="B97" s="128" t="s">
        <v>99</v>
      </c>
      <c r="C97" s="121">
        <v>0</v>
      </c>
      <c r="D97" s="121">
        <v>0</v>
      </c>
      <c r="E97" s="113">
        <v>2100</v>
      </c>
      <c r="F97" s="113">
        <v>2100</v>
      </c>
      <c r="G97" s="114">
        <v>0</v>
      </c>
      <c r="H97" s="88"/>
    </row>
    <row r="98" spans="1:8" ht="12.75" hidden="1" customHeight="1" x14ac:dyDescent="0.2">
      <c r="A98" s="127"/>
      <c r="B98" s="128" t="s">
        <v>100</v>
      </c>
      <c r="C98" s="121">
        <v>2400000</v>
      </c>
      <c r="D98" s="121">
        <v>2400000</v>
      </c>
      <c r="E98" s="113">
        <v>2300000</v>
      </c>
      <c r="F98" s="113">
        <v>1569489</v>
      </c>
      <c r="G98" s="114">
        <v>2500000</v>
      </c>
      <c r="H98" s="88"/>
    </row>
    <row r="99" spans="1:8" ht="12.75" hidden="1" customHeight="1" x14ac:dyDescent="0.2">
      <c r="A99" s="127"/>
      <c r="B99" s="128" t="s">
        <v>101</v>
      </c>
      <c r="C99" s="121">
        <v>51000</v>
      </c>
      <c r="D99" s="121">
        <v>51000</v>
      </c>
      <c r="E99" s="143">
        <v>25000</v>
      </c>
      <c r="F99" s="143">
        <v>0</v>
      </c>
      <c r="G99" s="114">
        <v>51000</v>
      </c>
      <c r="H99" s="88"/>
    </row>
    <row r="100" spans="1:8" ht="12.75" hidden="1" customHeight="1" x14ac:dyDescent="0.2">
      <c r="A100" s="127"/>
      <c r="B100" s="128" t="s">
        <v>102</v>
      </c>
      <c r="C100" s="121">
        <v>500</v>
      </c>
      <c r="D100" s="121">
        <v>500</v>
      </c>
      <c r="E100" s="113">
        <v>500</v>
      </c>
      <c r="F100" s="113">
        <v>199</v>
      </c>
      <c r="G100" s="114">
        <v>500</v>
      </c>
      <c r="H100" s="88"/>
    </row>
    <row r="101" spans="1:8" s="98" customFormat="1" ht="12.75" hidden="1" customHeight="1" x14ac:dyDescent="0.2">
      <c r="A101" s="141">
        <v>2119</v>
      </c>
      <c r="B101" s="144" t="s">
        <v>103</v>
      </c>
      <c r="C101" s="145">
        <v>1000000</v>
      </c>
      <c r="D101" s="145">
        <v>1000000</v>
      </c>
      <c r="E101" s="109">
        <v>500000</v>
      </c>
      <c r="F101" s="109">
        <v>318632.28000000003</v>
      </c>
      <c r="G101" s="105">
        <v>1700000</v>
      </c>
      <c r="H101" s="88"/>
    </row>
    <row r="102" spans="1:8" s="98" customFormat="1" ht="12.75" hidden="1" customHeight="1" x14ac:dyDescent="0.2">
      <c r="A102" s="141">
        <v>2122</v>
      </c>
      <c r="B102" s="144" t="s">
        <v>104</v>
      </c>
      <c r="C102" s="145">
        <v>2697894</v>
      </c>
      <c r="D102" s="145">
        <v>2697894</v>
      </c>
      <c r="E102" s="145">
        <v>2697894</v>
      </c>
      <c r="F102" s="109">
        <v>668259.12</v>
      </c>
      <c r="G102" s="105">
        <v>2798840.36</v>
      </c>
      <c r="H102" s="88"/>
    </row>
    <row r="103" spans="1:8" s="98" customFormat="1" ht="27" hidden="1" customHeight="1" x14ac:dyDescent="0.2">
      <c r="A103" s="141">
        <v>2131</v>
      </c>
      <c r="B103" s="146" t="s">
        <v>105</v>
      </c>
      <c r="C103" s="145">
        <v>2000000</v>
      </c>
      <c r="D103" s="145">
        <v>2000000</v>
      </c>
      <c r="E103" s="109">
        <v>1200000</v>
      </c>
      <c r="F103" s="113">
        <v>798850.94</v>
      </c>
      <c r="G103" s="105">
        <v>1650000</v>
      </c>
      <c r="H103" s="88"/>
    </row>
    <row r="104" spans="1:8" s="98" customFormat="1" ht="12.75" hidden="1" customHeight="1" x14ac:dyDescent="0.2">
      <c r="A104" s="141">
        <v>2132</v>
      </c>
      <c r="B104" s="144" t="s">
        <v>106</v>
      </c>
      <c r="C104" s="145">
        <f>SUM(C105:C115)</f>
        <v>88887787</v>
      </c>
      <c r="D104" s="145">
        <f>SUM(D105:D115)</f>
        <v>33418124</v>
      </c>
      <c r="E104" s="145">
        <f>SUM(E105:E115)</f>
        <v>88081881</v>
      </c>
      <c r="F104" s="145">
        <f>SUM(F105:F115)</f>
        <v>64267915.219999999</v>
      </c>
      <c r="G104" s="145">
        <f>SUM(G105:G115)</f>
        <v>92969200.900000006</v>
      </c>
      <c r="H104" s="88"/>
    </row>
    <row r="105" spans="1:8" ht="12.75" hidden="1" customHeight="1" x14ac:dyDescent="0.2">
      <c r="A105" s="127"/>
      <c r="B105" s="128" t="s">
        <v>107</v>
      </c>
      <c r="C105" s="121">
        <v>689530</v>
      </c>
      <c r="D105" s="121">
        <v>713477</v>
      </c>
      <c r="E105" s="113">
        <v>750000</v>
      </c>
      <c r="F105" s="113">
        <v>738822.71</v>
      </c>
      <c r="G105" s="114">
        <v>750000</v>
      </c>
      <c r="H105" s="88"/>
    </row>
    <row r="106" spans="1:8" ht="12.75" hidden="1" customHeight="1" x14ac:dyDescent="0.2">
      <c r="A106" s="127"/>
      <c r="B106" s="128" t="s">
        <v>108</v>
      </c>
      <c r="C106" s="121">
        <v>200</v>
      </c>
      <c r="D106" s="121">
        <v>200</v>
      </c>
      <c r="E106" s="113">
        <v>301</v>
      </c>
      <c r="F106" s="113">
        <v>301</v>
      </c>
      <c r="G106" s="114">
        <v>0</v>
      </c>
      <c r="H106" s="88"/>
    </row>
    <row r="107" spans="1:8" ht="12.75" hidden="1" customHeight="1" x14ac:dyDescent="0.2">
      <c r="A107" s="127"/>
      <c r="B107" s="128" t="s">
        <v>109</v>
      </c>
      <c r="C107" s="121">
        <v>600000</v>
      </c>
      <c r="D107" s="121">
        <v>600000</v>
      </c>
      <c r="E107" s="113">
        <v>800000</v>
      </c>
      <c r="F107" s="113">
        <v>624638.59</v>
      </c>
      <c r="G107" s="114">
        <v>600000</v>
      </c>
      <c r="H107" s="88"/>
    </row>
    <row r="108" spans="1:8" ht="12.75" hidden="1" customHeight="1" x14ac:dyDescent="0.2">
      <c r="A108" s="127"/>
      <c r="B108" s="128" t="s">
        <v>110</v>
      </c>
      <c r="C108" s="121">
        <v>270000</v>
      </c>
      <c r="D108" s="121">
        <v>275040</v>
      </c>
      <c r="E108" s="113">
        <v>275040</v>
      </c>
      <c r="F108" s="113">
        <v>254790</v>
      </c>
      <c r="G108" s="114">
        <v>276000</v>
      </c>
      <c r="H108" s="88"/>
    </row>
    <row r="109" spans="1:8" ht="25.5" hidden="1" customHeight="1" x14ac:dyDescent="0.2">
      <c r="A109" s="127"/>
      <c r="B109" s="147" t="s">
        <v>111</v>
      </c>
      <c r="C109" s="121">
        <v>50941650</v>
      </c>
      <c r="D109" s="113"/>
      <c r="E109" s="113">
        <v>50000000</v>
      </c>
      <c r="F109" s="113">
        <v>33165192.109999999</v>
      </c>
      <c r="G109" s="114">
        <v>52865000</v>
      </c>
      <c r="H109" s="88"/>
    </row>
    <row r="110" spans="1:8" ht="12.75" hidden="1" customHeight="1" x14ac:dyDescent="0.2">
      <c r="A110" s="127"/>
      <c r="B110" s="128" t="s">
        <v>112</v>
      </c>
      <c r="C110" s="121">
        <v>7405</v>
      </c>
      <c r="D110" s="121">
        <v>7405</v>
      </c>
      <c r="E110" s="113">
        <v>14000</v>
      </c>
      <c r="F110" s="113">
        <v>10430</v>
      </c>
      <c r="G110" s="114">
        <f>83405+3+1194792.9</f>
        <v>1278200.8999999999</v>
      </c>
      <c r="H110" s="88"/>
    </row>
    <row r="111" spans="1:8" ht="12.75" hidden="1" customHeight="1" x14ac:dyDescent="0.2">
      <c r="A111" s="127"/>
      <c r="B111" s="128" t="s">
        <v>113</v>
      </c>
      <c r="C111" s="121">
        <v>325002</v>
      </c>
      <c r="D111" s="121">
        <v>325002</v>
      </c>
      <c r="E111" s="113">
        <v>325002</v>
      </c>
      <c r="F111" s="113">
        <v>238617.99</v>
      </c>
      <c r="G111" s="114">
        <v>420000</v>
      </c>
      <c r="H111" s="88"/>
    </row>
    <row r="112" spans="1:8" ht="36.75" hidden="1" customHeight="1" x14ac:dyDescent="0.2">
      <c r="A112" s="127"/>
      <c r="B112" s="120" t="s">
        <v>114</v>
      </c>
      <c r="C112" s="121">
        <f>13000000+3000000+240000+12000+726000+150000</f>
        <v>17128000</v>
      </c>
      <c r="D112" s="121">
        <f>(13000000-1400000)+726000+12000+240000</f>
        <v>12578000</v>
      </c>
      <c r="E112" s="121">
        <v>17000000</v>
      </c>
      <c r="F112" s="113">
        <v>10326987.32</v>
      </c>
      <c r="G112" s="114">
        <f>13500000+3000000+240000+20000+746000+216000+134000</f>
        <v>17856000</v>
      </c>
      <c r="H112" s="88"/>
    </row>
    <row r="113" spans="1:47" ht="12.75" hidden="1" customHeight="1" x14ac:dyDescent="0.2">
      <c r="A113" s="127"/>
      <c r="B113" s="128" t="s">
        <v>115</v>
      </c>
      <c r="C113" s="121">
        <v>18881000</v>
      </c>
      <c r="D113" s="121">
        <v>18881000</v>
      </c>
      <c r="E113" s="113">
        <v>18881538</v>
      </c>
      <c r="F113" s="113">
        <v>18881538</v>
      </c>
      <c r="G113" s="114">
        <v>18881000</v>
      </c>
      <c r="H113" s="88"/>
    </row>
    <row r="114" spans="1:47" ht="12.75" hidden="1" customHeight="1" x14ac:dyDescent="0.2">
      <c r="A114" s="127"/>
      <c r="B114" s="128" t="s">
        <v>116</v>
      </c>
      <c r="C114" s="121">
        <v>18000</v>
      </c>
      <c r="D114" s="121">
        <v>18000</v>
      </c>
      <c r="E114" s="121">
        <v>18000</v>
      </c>
      <c r="F114" s="113">
        <f>9300+3056.5</f>
        <v>12356.5</v>
      </c>
      <c r="G114" s="114">
        <v>18000</v>
      </c>
      <c r="H114" s="148"/>
    </row>
    <row r="115" spans="1:47" ht="12.75" hidden="1" customHeight="1" x14ac:dyDescent="0.2">
      <c r="A115" s="127"/>
      <c r="B115" s="128" t="s">
        <v>117</v>
      </c>
      <c r="C115" s="121">
        <v>27000</v>
      </c>
      <c r="D115" s="121">
        <v>20000</v>
      </c>
      <c r="E115" s="113">
        <v>18000</v>
      </c>
      <c r="F115" s="113">
        <v>14241</v>
      </c>
      <c r="G115" s="114">
        <v>25000</v>
      </c>
      <c r="H115" s="88"/>
    </row>
    <row r="116" spans="1:47" s="98" customFormat="1" ht="12.75" hidden="1" customHeight="1" x14ac:dyDescent="0.2">
      <c r="A116" s="141">
        <v>2141</v>
      </c>
      <c r="B116" s="144" t="s">
        <v>118</v>
      </c>
      <c r="C116" s="145">
        <v>750000</v>
      </c>
      <c r="D116" s="145">
        <v>1000000</v>
      </c>
      <c r="E116" s="109">
        <v>1050000</v>
      </c>
      <c r="F116" s="109">
        <v>983498.08</v>
      </c>
      <c r="G116" s="105">
        <v>300000</v>
      </c>
      <c r="H116" s="88"/>
    </row>
    <row r="117" spans="1:47" s="98" customFormat="1" ht="12.75" hidden="1" customHeight="1" x14ac:dyDescent="0.2">
      <c r="A117" s="141">
        <v>2212</v>
      </c>
      <c r="B117" s="144" t="s">
        <v>119</v>
      </c>
      <c r="C117" s="145">
        <f>SUM(C118:C127)</f>
        <v>15260000</v>
      </c>
      <c r="D117" s="145">
        <f>SUM(D118:D127)</f>
        <v>10130000</v>
      </c>
      <c r="E117" s="145">
        <f>SUM(E118:E127)</f>
        <v>10025670.600000001</v>
      </c>
      <c r="F117" s="145">
        <f>SUM(F118:F127)</f>
        <v>5942047.5999999996</v>
      </c>
      <c r="G117" s="145">
        <f>SUM(G118:G127)</f>
        <v>11127000</v>
      </c>
      <c r="H117" s="88"/>
    </row>
    <row r="118" spans="1:47" ht="12.75" hidden="1" customHeight="1" x14ac:dyDescent="0.2">
      <c r="A118" s="127"/>
      <c r="B118" s="128" t="s">
        <v>120</v>
      </c>
      <c r="C118" s="121">
        <v>10000</v>
      </c>
      <c r="D118" s="121">
        <v>10000</v>
      </c>
      <c r="E118" s="113">
        <v>13000</v>
      </c>
      <c r="F118" s="113">
        <v>11100</v>
      </c>
      <c r="G118" s="114">
        <v>12000</v>
      </c>
      <c r="H118" s="88"/>
    </row>
    <row r="119" spans="1:47" ht="12.75" hidden="1" customHeight="1" x14ac:dyDescent="0.2">
      <c r="A119" s="127"/>
      <c r="B119" s="128" t="s">
        <v>121</v>
      </c>
      <c r="C119" s="121">
        <v>50000</v>
      </c>
      <c r="D119" s="121">
        <v>50000</v>
      </c>
      <c r="E119" s="113">
        <v>50000</v>
      </c>
      <c r="F119" s="113">
        <v>75300</v>
      </c>
      <c r="G119" s="114">
        <v>50000</v>
      </c>
      <c r="H119" s="88"/>
    </row>
    <row r="120" spans="1:47" ht="12.75" hidden="1" customHeight="1" x14ac:dyDescent="0.2">
      <c r="A120" s="127"/>
      <c r="B120" s="128" t="s">
        <v>122</v>
      </c>
      <c r="C120" s="121">
        <v>2600000</v>
      </c>
      <c r="D120" s="121">
        <v>2600000</v>
      </c>
      <c r="E120" s="113">
        <v>1800000</v>
      </c>
      <c r="F120" s="113">
        <v>1189645</v>
      </c>
      <c r="G120" s="114">
        <v>2000000</v>
      </c>
      <c r="H120" s="88"/>
    </row>
    <row r="121" spans="1:47" ht="12.75" hidden="1" customHeight="1" x14ac:dyDescent="0.2">
      <c r="A121" s="127"/>
      <c r="B121" s="128" t="s">
        <v>123</v>
      </c>
      <c r="C121" s="121">
        <v>11500000</v>
      </c>
      <c r="D121" s="121">
        <v>6500000</v>
      </c>
      <c r="E121" s="113">
        <v>7000000</v>
      </c>
      <c r="F121" s="113">
        <v>3920133</v>
      </c>
      <c r="G121" s="114">
        <v>8000000</v>
      </c>
      <c r="H121" s="88"/>
    </row>
    <row r="122" spans="1:47" ht="12.75" hidden="1" customHeight="1" x14ac:dyDescent="0.2">
      <c r="A122" s="127"/>
      <c r="B122" s="128" t="s">
        <v>124</v>
      </c>
      <c r="C122" s="121">
        <v>0</v>
      </c>
      <c r="D122" s="121">
        <v>0</v>
      </c>
      <c r="E122" s="113">
        <v>183943.8</v>
      </c>
      <c r="F122" s="113">
        <v>183943.8</v>
      </c>
      <c r="G122" s="114">
        <v>0</v>
      </c>
      <c r="H122" s="88"/>
    </row>
    <row r="123" spans="1:47" ht="12.75" hidden="1" customHeight="1" x14ac:dyDescent="0.2">
      <c r="A123" s="127"/>
      <c r="B123" s="128" t="s">
        <v>125</v>
      </c>
      <c r="C123" s="121">
        <v>0</v>
      </c>
      <c r="D123" s="121">
        <v>0</v>
      </c>
      <c r="E123" s="113">
        <v>3726.8</v>
      </c>
      <c r="F123" s="113">
        <v>3726.8</v>
      </c>
      <c r="G123" s="114">
        <v>0</v>
      </c>
      <c r="H123" s="88"/>
    </row>
    <row r="124" spans="1:47" ht="12.75" hidden="1" customHeight="1" x14ac:dyDescent="0.2">
      <c r="A124" s="127"/>
      <c r="B124" s="128" t="s">
        <v>126</v>
      </c>
      <c r="C124" s="121">
        <v>0</v>
      </c>
      <c r="D124" s="113">
        <v>0</v>
      </c>
      <c r="E124" s="113">
        <v>10000</v>
      </c>
      <c r="F124" s="113">
        <v>0</v>
      </c>
      <c r="G124" s="114">
        <v>0</v>
      </c>
      <c r="H124" s="88"/>
    </row>
    <row r="125" spans="1:47" ht="12.75" hidden="1" customHeight="1" x14ac:dyDescent="0.2">
      <c r="A125" s="127"/>
      <c r="B125" s="128" t="s">
        <v>127</v>
      </c>
      <c r="C125" s="121">
        <v>650000</v>
      </c>
      <c r="D125" s="121">
        <v>550000</v>
      </c>
      <c r="E125" s="113">
        <v>550000</v>
      </c>
      <c r="F125" s="113">
        <v>274358</v>
      </c>
      <c r="G125" s="114">
        <v>650000</v>
      </c>
      <c r="H125" s="88"/>
    </row>
    <row r="126" spans="1:47" ht="12.75" hidden="1" customHeight="1" x14ac:dyDescent="0.2">
      <c r="A126" s="127"/>
      <c r="B126" s="128" t="s">
        <v>128</v>
      </c>
      <c r="C126" s="121">
        <v>350000</v>
      </c>
      <c r="D126" s="121">
        <v>350000</v>
      </c>
      <c r="E126" s="113">
        <v>350000</v>
      </c>
      <c r="F126" s="113">
        <v>231991</v>
      </c>
      <c r="G126" s="114">
        <v>350000</v>
      </c>
      <c r="H126" s="88"/>
    </row>
    <row r="127" spans="1:47" s="126" customFormat="1" ht="12.75" hidden="1" customHeight="1" x14ac:dyDescent="0.2">
      <c r="A127" s="111"/>
      <c r="B127" s="112" t="s">
        <v>129</v>
      </c>
      <c r="C127" s="149">
        <v>100000</v>
      </c>
      <c r="D127" s="149">
        <v>70000</v>
      </c>
      <c r="E127" s="113">
        <v>65000</v>
      </c>
      <c r="F127" s="113">
        <v>51850</v>
      </c>
      <c r="G127" s="114">
        <v>65000</v>
      </c>
      <c r="H127" s="88"/>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row>
    <row r="128" spans="1:47" s="98" customFormat="1" ht="12.75" hidden="1" customHeight="1" x14ac:dyDescent="0.2">
      <c r="A128" s="141">
        <v>2222</v>
      </c>
      <c r="B128" s="144" t="s">
        <v>130</v>
      </c>
      <c r="C128" s="145">
        <v>0</v>
      </c>
      <c r="D128" s="145">
        <v>18066.169999999998</v>
      </c>
      <c r="E128" s="145">
        <v>18066.169999999998</v>
      </c>
      <c r="F128" s="145">
        <v>18066.169999999998</v>
      </c>
      <c r="G128" s="105">
        <v>0</v>
      </c>
      <c r="H128" s="88"/>
    </row>
    <row r="129" spans="1:14" ht="12.75" hidden="1" customHeight="1" x14ac:dyDescent="0.2">
      <c r="A129" s="106">
        <v>2229</v>
      </c>
      <c r="B129" s="107" t="s">
        <v>131</v>
      </c>
      <c r="C129" s="109">
        <f>SUM(C130:C141)</f>
        <v>0</v>
      </c>
      <c r="D129" s="109">
        <f>SUM(D130:D141)</f>
        <v>664078.59000000008</v>
      </c>
      <c r="E129" s="109">
        <f>SUM(E130:E141)</f>
        <v>755988.00000000012</v>
      </c>
      <c r="F129" s="109">
        <f>SUM(F130:F141)</f>
        <v>755988.00000000012</v>
      </c>
      <c r="G129" s="109">
        <f>SUM(G130:G141)</f>
        <v>0</v>
      </c>
      <c r="H129" s="88"/>
      <c r="N129" s="150"/>
    </row>
    <row r="130" spans="1:14" ht="12.75" hidden="1" customHeight="1" x14ac:dyDescent="0.2">
      <c r="A130" s="112"/>
      <c r="B130" s="112" t="s">
        <v>132</v>
      </c>
      <c r="C130" s="151">
        <v>0</v>
      </c>
      <c r="D130" s="151">
        <v>452562.59</v>
      </c>
      <c r="E130" s="151">
        <v>452562.59</v>
      </c>
      <c r="F130" s="151">
        <v>452562.59</v>
      </c>
      <c r="G130" s="114">
        <v>0</v>
      </c>
      <c r="H130" s="88"/>
      <c r="N130" s="150"/>
    </row>
    <row r="131" spans="1:14" ht="12.75" hidden="1" customHeight="1" x14ac:dyDescent="0.2">
      <c r="A131" s="112"/>
      <c r="B131" s="112" t="s">
        <v>133</v>
      </c>
      <c r="C131" s="151">
        <v>0</v>
      </c>
      <c r="D131" s="151">
        <v>7004</v>
      </c>
      <c r="E131" s="151">
        <v>7004</v>
      </c>
      <c r="F131" s="152">
        <v>7004</v>
      </c>
      <c r="G131" s="114">
        <v>0</v>
      </c>
      <c r="H131" s="88"/>
      <c r="N131" s="150"/>
    </row>
    <row r="132" spans="1:14" ht="12.75" hidden="1" customHeight="1" x14ac:dyDescent="0.2">
      <c r="A132" s="112"/>
      <c r="B132" s="112" t="s">
        <v>134</v>
      </c>
      <c r="C132" s="151">
        <v>0</v>
      </c>
      <c r="D132" s="151">
        <v>204512</v>
      </c>
      <c r="E132" s="152">
        <v>296297</v>
      </c>
      <c r="F132" s="152">
        <v>296297</v>
      </c>
      <c r="G132" s="114">
        <v>0</v>
      </c>
      <c r="H132" s="88"/>
      <c r="N132" s="150"/>
    </row>
    <row r="133" spans="1:14" ht="12.75" hidden="1" customHeight="1" x14ac:dyDescent="0.2">
      <c r="A133" s="112"/>
      <c r="B133" s="112" t="s">
        <v>135</v>
      </c>
      <c r="C133" s="151">
        <v>0</v>
      </c>
      <c r="D133" s="151"/>
      <c r="E133" s="151"/>
      <c r="F133" s="152"/>
      <c r="G133" s="114">
        <v>0</v>
      </c>
      <c r="H133" s="88"/>
      <c r="N133" s="150"/>
    </row>
    <row r="134" spans="1:14" ht="12.75" hidden="1" customHeight="1" x14ac:dyDescent="0.2">
      <c r="A134" s="112"/>
      <c r="B134" s="112" t="s">
        <v>136</v>
      </c>
      <c r="C134" s="151">
        <v>0</v>
      </c>
      <c r="D134" s="151"/>
      <c r="E134" s="151"/>
      <c r="F134" s="152"/>
      <c r="G134" s="114">
        <v>0</v>
      </c>
      <c r="H134" s="88"/>
      <c r="N134" s="150"/>
    </row>
    <row r="135" spans="1:14" ht="12.75" hidden="1" customHeight="1" x14ac:dyDescent="0.2">
      <c r="A135" s="112"/>
      <c r="B135" s="112" t="s">
        <v>137</v>
      </c>
      <c r="C135" s="151">
        <v>0</v>
      </c>
      <c r="D135" s="151"/>
      <c r="E135" s="151"/>
      <c r="F135" s="152"/>
      <c r="G135" s="114">
        <v>0</v>
      </c>
      <c r="H135" s="88"/>
      <c r="N135" s="150"/>
    </row>
    <row r="136" spans="1:14" ht="12.75" hidden="1" customHeight="1" x14ac:dyDescent="0.2">
      <c r="A136" s="112"/>
      <c r="B136" s="112" t="s">
        <v>138</v>
      </c>
      <c r="C136" s="151">
        <v>0</v>
      </c>
      <c r="D136" s="151"/>
      <c r="E136" s="151"/>
      <c r="F136" s="152"/>
      <c r="G136" s="114">
        <v>0</v>
      </c>
      <c r="H136" s="88"/>
      <c r="N136" s="150"/>
    </row>
    <row r="137" spans="1:14" ht="12.75" hidden="1" customHeight="1" x14ac:dyDescent="0.2">
      <c r="A137" s="112"/>
      <c r="B137" s="112" t="s">
        <v>139</v>
      </c>
      <c r="C137" s="151">
        <v>0</v>
      </c>
      <c r="D137" s="151"/>
      <c r="E137" s="151"/>
      <c r="F137" s="152"/>
      <c r="G137" s="114">
        <v>0</v>
      </c>
      <c r="H137" s="88"/>
      <c r="N137" s="150"/>
    </row>
    <row r="138" spans="1:14" ht="12.75" hidden="1" customHeight="1" x14ac:dyDescent="0.2">
      <c r="A138" s="112"/>
      <c r="B138" s="112" t="s">
        <v>140</v>
      </c>
      <c r="C138" s="151">
        <v>0</v>
      </c>
      <c r="D138" s="151"/>
      <c r="E138" s="151"/>
      <c r="F138" s="152"/>
      <c r="G138" s="114">
        <v>0</v>
      </c>
      <c r="H138" s="88"/>
      <c r="N138" s="150"/>
    </row>
    <row r="139" spans="1:14" ht="12.75" hidden="1" customHeight="1" x14ac:dyDescent="0.2">
      <c r="A139" s="112"/>
      <c r="B139" s="112" t="s">
        <v>141</v>
      </c>
      <c r="C139" s="151">
        <v>0</v>
      </c>
      <c r="D139" s="151"/>
      <c r="E139" s="151"/>
      <c r="F139" s="152"/>
      <c r="G139" s="114">
        <v>0</v>
      </c>
      <c r="H139" s="88"/>
      <c r="N139" s="150"/>
    </row>
    <row r="140" spans="1:14" ht="12.75" hidden="1" customHeight="1" x14ac:dyDescent="0.2">
      <c r="A140" s="112"/>
      <c r="B140" s="112" t="s">
        <v>142</v>
      </c>
      <c r="C140" s="151">
        <v>0</v>
      </c>
      <c r="D140" s="151"/>
      <c r="E140" s="151"/>
      <c r="F140" s="152"/>
      <c r="G140" s="114">
        <v>0</v>
      </c>
      <c r="H140" s="88"/>
      <c r="N140" s="150"/>
    </row>
    <row r="141" spans="1:14" ht="12.75" hidden="1" customHeight="1" x14ac:dyDescent="0.2">
      <c r="A141" s="112"/>
      <c r="B141" s="112" t="s">
        <v>143</v>
      </c>
      <c r="C141" s="151">
        <v>0</v>
      </c>
      <c r="D141" s="151">
        <v>0</v>
      </c>
      <c r="E141" s="152">
        <v>124.41</v>
      </c>
      <c r="F141" s="152">
        <v>124.41</v>
      </c>
      <c r="G141" s="114">
        <v>0</v>
      </c>
      <c r="H141" s="88"/>
      <c r="N141" s="150"/>
    </row>
    <row r="142" spans="1:14" ht="12.75" hidden="1" customHeight="1" x14ac:dyDescent="0.2">
      <c r="A142" s="141">
        <v>2310</v>
      </c>
      <c r="B142" s="144" t="s">
        <v>144</v>
      </c>
      <c r="C142" s="145">
        <v>0</v>
      </c>
      <c r="D142" s="145">
        <v>0</v>
      </c>
      <c r="E142" s="109">
        <v>1746</v>
      </c>
      <c r="F142" s="153">
        <v>1746</v>
      </c>
      <c r="G142" s="105">
        <v>0</v>
      </c>
      <c r="H142" s="88"/>
    </row>
    <row r="143" spans="1:14" ht="12.75" hidden="1" customHeight="1" x14ac:dyDescent="0.2">
      <c r="A143" s="141">
        <v>2321</v>
      </c>
      <c r="B143" s="144" t="s">
        <v>145</v>
      </c>
      <c r="C143" s="145">
        <v>100000</v>
      </c>
      <c r="D143" s="154">
        <v>107200</v>
      </c>
      <c r="E143" s="109">
        <v>107200</v>
      </c>
      <c r="F143" s="153">
        <v>57200</v>
      </c>
      <c r="G143" s="105">
        <v>100000</v>
      </c>
      <c r="H143" s="88"/>
    </row>
    <row r="144" spans="1:14" ht="12.75" hidden="1" customHeight="1" x14ac:dyDescent="0.2">
      <c r="A144" s="141">
        <v>2322</v>
      </c>
      <c r="B144" s="144" t="s">
        <v>146</v>
      </c>
      <c r="C144" s="145">
        <v>250000</v>
      </c>
      <c r="D144" s="145">
        <v>250000</v>
      </c>
      <c r="E144" s="109">
        <f>67694.39+78579</f>
        <v>146273.39000000001</v>
      </c>
      <c r="F144" s="109">
        <f>67694.39+78579</f>
        <v>146273.39000000001</v>
      </c>
      <c r="G144" s="105">
        <v>0</v>
      </c>
      <c r="H144" s="88"/>
    </row>
    <row r="145" spans="1:8" s="98" customFormat="1" ht="12.75" hidden="1" customHeight="1" x14ac:dyDescent="0.2">
      <c r="A145" s="141">
        <v>2324</v>
      </c>
      <c r="B145" s="144" t="s">
        <v>147</v>
      </c>
      <c r="C145" s="145">
        <f>SUM(C146:C161)</f>
        <v>3510000</v>
      </c>
      <c r="D145" s="145">
        <f>SUM(D146:D161)</f>
        <v>3158112</v>
      </c>
      <c r="E145" s="145">
        <f>SUM(E146:E161)</f>
        <v>2960288.7800000003</v>
      </c>
      <c r="F145" s="145">
        <f>SUM(F146:F161)</f>
        <v>2184399.1100000003</v>
      </c>
      <c r="G145" s="145">
        <f>SUM(G146:G161)</f>
        <v>3211000</v>
      </c>
      <c r="H145" s="88"/>
    </row>
    <row r="146" spans="1:8" s="98" customFormat="1" ht="12.75" hidden="1" customHeight="1" x14ac:dyDescent="0.2">
      <c r="A146" s="141"/>
      <c r="B146" s="155" t="s">
        <v>148</v>
      </c>
      <c r="C146" s="121">
        <v>5000</v>
      </c>
      <c r="D146" s="121">
        <v>5000</v>
      </c>
      <c r="E146" s="113">
        <v>8000</v>
      </c>
      <c r="F146" s="113">
        <v>6393</v>
      </c>
      <c r="G146" s="114">
        <v>8000</v>
      </c>
      <c r="H146" s="88"/>
    </row>
    <row r="147" spans="1:8" s="98" customFormat="1" ht="12.75" hidden="1" customHeight="1" x14ac:dyDescent="0.2">
      <c r="A147" s="141"/>
      <c r="B147" s="155" t="s">
        <v>121</v>
      </c>
      <c r="C147" s="121">
        <v>30000</v>
      </c>
      <c r="D147" s="121">
        <v>30000</v>
      </c>
      <c r="E147" s="113">
        <v>30000</v>
      </c>
      <c r="F147" s="113">
        <v>28300</v>
      </c>
      <c r="G147" s="114">
        <v>30000</v>
      </c>
      <c r="H147" s="88"/>
    </row>
    <row r="148" spans="1:8" s="98" customFormat="1" ht="12.75" hidden="1" customHeight="1" x14ac:dyDescent="0.2">
      <c r="A148" s="141"/>
      <c r="B148" s="155" t="s">
        <v>149</v>
      </c>
      <c r="C148" s="121">
        <v>300000</v>
      </c>
      <c r="D148" s="121">
        <v>300000</v>
      </c>
      <c r="E148" s="149">
        <v>225000</v>
      </c>
      <c r="F148" s="149">
        <v>145163</v>
      </c>
      <c r="G148" s="114">
        <v>250000</v>
      </c>
      <c r="H148" s="88"/>
    </row>
    <row r="149" spans="1:8" s="98" customFormat="1" ht="12.75" hidden="1" customHeight="1" x14ac:dyDescent="0.2">
      <c r="A149" s="141"/>
      <c r="B149" s="155" t="s">
        <v>150</v>
      </c>
      <c r="C149" s="121">
        <v>400000</v>
      </c>
      <c r="D149" s="121">
        <v>400000</v>
      </c>
      <c r="E149" s="113">
        <v>253688.78</v>
      </c>
      <c r="F149" s="113">
        <v>253688.78</v>
      </c>
      <c r="G149" s="114">
        <v>200000</v>
      </c>
      <c r="H149" s="88"/>
    </row>
    <row r="150" spans="1:8" s="98" customFormat="1" ht="12.75" hidden="1" customHeight="1" x14ac:dyDescent="0.2">
      <c r="A150" s="141"/>
      <c r="B150" s="155" t="s">
        <v>151</v>
      </c>
      <c r="C150" s="121">
        <v>20000</v>
      </c>
      <c r="D150" s="121">
        <v>0</v>
      </c>
      <c r="E150" s="151">
        <v>6000</v>
      </c>
      <c r="F150" s="152">
        <f>3847.98+6384.85</f>
        <v>10232.83</v>
      </c>
      <c r="G150" s="114">
        <v>10000</v>
      </c>
      <c r="H150" s="88"/>
    </row>
    <row r="151" spans="1:8" ht="12.75" hidden="1" customHeight="1" x14ac:dyDescent="0.2">
      <c r="A151" s="156"/>
      <c r="B151" s="157" t="s">
        <v>152</v>
      </c>
      <c r="C151" s="121">
        <v>0</v>
      </c>
      <c r="D151" s="121">
        <v>17512</v>
      </c>
      <c r="E151" s="151">
        <v>0</v>
      </c>
      <c r="F151" s="152">
        <v>18269</v>
      </c>
      <c r="G151" s="114">
        <v>0</v>
      </c>
      <c r="H151" s="88"/>
    </row>
    <row r="152" spans="1:8" ht="12.75" hidden="1" customHeight="1" x14ac:dyDescent="0.2">
      <c r="A152" s="156"/>
      <c r="B152" s="157" t="s">
        <v>153</v>
      </c>
      <c r="C152" s="121">
        <v>0</v>
      </c>
      <c r="D152" s="121">
        <v>300000</v>
      </c>
      <c r="E152" s="121">
        <v>300000</v>
      </c>
      <c r="F152" s="121">
        <v>300000</v>
      </c>
      <c r="G152" s="114">
        <v>0</v>
      </c>
      <c r="H152" s="88"/>
    </row>
    <row r="153" spans="1:8" ht="12.75" hidden="1" customHeight="1" x14ac:dyDescent="0.2">
      <c r="A153" s="156"/>
      <c r="B153" s="157" t="s">
        <v>154</v>
      </c>
      <c r="C153" s="121">
        <v>0</v>
      </c>
      <c r="D153" s="121">
        <v>50600</v>
      </c>
      <c r="E153" s="121">
        <v>50600</v>
      </c>
      <c r="F153" s="121">
        <v>50600</v>
      </c>
      <c r="G153" s="114">
        <v>50000</v>
      </c>
      <c r="H153" s="88"/>
    </row>
    <row r="154" spans="1:8" s="158" customFormat="1" ht="12.75" hidden="1" customHeight="1" x14ac:dyDescent="0.2">
      <c r="A154" s="127"/>
      <c r="B154" s="128" t="s">
        <v>155</v>
      </c>
      <c r="C154" s="113">
        <v>2000000</v>
      </c>
      <c r="D154" s="113">
        <v>2000000</v>
      </c>
      <c r="E154" s="151">
        <v>2000000</v>
      </c>
      <c r="F154" s="152">
        <v>1303484.5</v>
      </c>
      <c r="G154" s="114">
        <v>2000000</v>
      </c>
      <c r="H154" s="88"/>
    </row>
    <row r="155" spans="1:8" s="158" customFormat="1" ht="12.75" hidden="1" customHeight="1" x14ac:dyDescent="0.2">
      <c r="A155" s="127"/>
      <c r="B155" s="128" t="s">
        <v>156</v>
      </c>
      <c r="C155" s="113">
        <v>0</v>
      </c>
      <c r="D155" s="113"/>
      <c r="E155" s="151"/>
      <c r="F155" s="152"/>
      <c r="G155" s="114">
        <v>0</v>
      </c>
      <c r="H155" s="88"/>
    </row>
    <row r="156" spans="1:8" s="158" customFormat="1" ht="12.75" hidden="1" customHeight="1" x14ac:dyDescent="0.2">
      <c r="A156" s="127"/>
      <c r="B156" s="128" t="s">
        <v>157</v>
      </c>
      <c r="C156" s="121">
        <v>0</v>
      </c>
      <c r="D156" s="121"/>
      <c r="E156" s="151"/>
      <c r="F156" s="152"/>
      <c r="G156" s="114">
        <v>0</v>
      </c>
      <c r="H156" s="88"/>
    </row>
    <row r="157" spans="1:8" s="158" customFormat="1" ht="12.75" hidden="1" customHeight="1" x14ac:dyDescent="0.2">
      <c r="A157" s="127"/>
      <c r="B157" s="128" t="s">
        <v>158</v>
      </c>
      <c r="C157" s="121">
        <v>5000</v>
      </c>
      <c r="D157" s="121">
        <v>5000</v>
      </c>
      <c r="E157" s="151">
        <v>2000</v>
      </c>
      <c r="F157" s="152">
        <v>783</v>
      </c>
      <c r="G157" s="114">
        <v>3000</v>
      </c>
      <c r="H157" s="88"/>
    </row>
    <row r="158" spans="1:8" s="158" customFormat="1" ht="12.75" hidden="1" customHeight="1" x14ac:dyDescent="0.2">
      <c r="A158" s="127"/>
      <c r="B158" s="128" t="s">
        <v>159</v>
      </c>
      <c r="C158" s="121">
        <v>50000</v>
      </c>
      <c r="D158" s="121">
        <v>50000</v>
      </c>
      <c r="E158" s="151">
        <v>85000</v>
      </c>
      <c r="F158" s="152">
        <v>67485</v>
      </c>
      <c r="G158" s="114">
        <v>70000</v>
      </c>
      <c r="H158" s="88"/>
    </row>
    <row r="159" spans="1:8" s="158" customFormat="1" ht="12.75" hidden="1" customHeight="1" x14ac:dyDescent="0.2">
      <c r="A159" s="127"/>
      <c r="B159" s="128" t="s">
        <v>160</v>
      </c>
      <c r="C159" s="121">
        <v>0</v>
      </c>
      <c r="D159" s="121"/>
      <c r="E159" s="151"/>
      <c r="F159" s="152"/>
      <c r="G159" s="114">
        <v>0</v>
      </c>
      <c r="H159" s="88"/>
    </row>
    <row r="160" spans="1:8" s="158" customFormat="1" ht="12.75" hidden="1" customHeight="1" x14ac:dyDescent="0.2">
      <c r="A160" s="127"/>
      <c r="B160" s="128" t="s">
        <v>161</v>
      </c>
      <c r="C160" s="121">
        <v>50000</v>
      </c>
      <c r="D160" s="121"/>
      <c r="E160" s="151"/>
      <c r="F160" s="152"/>
      <c r="G160" s="114">
        <v>0</v>
      </c>
      <c r="H160" s="88"/>
    </row>
    <row r="161" spans="1:14" s="158" customFormat="1" ht="12.75" hidden="1" customHeight="1" x14ac:dyDescent="0.2">
      <c r="A161" s="127"/>
      <c r="B161" s="128" t="s">
        <v>162</v>
      </c>
      <c r="C161" s="113">
        <v>650000</v>
      </c>
      <c r="D161" s="113">
        <v>0</v>
      </c>
      <c r="E161" s="151">
        <v>0</v>
      </c>
      <c r="F161" s="152">
        <v>0</v>
      </c>
      <c r="G161" s="114">
        <v>590000</v>
      </c>
      <c r="H161" s="88"/>
    </row>
    <row r="162" spans="1:14" ht="12.75" hidden="1" customHeight="1" x14ac:dyDescent="0.2">
      <c r="A162" s="141">
        <v>2328</v>
      </c>
      <c r="B162" s="144" t="s">
        <v>163</v>
      </c>
      <c r="C162" s="145">
        <v>0</v>
      </c>
      <c r="D162" s="145"/>
      <c r="E162" s="109"/>
      <c r="F162" s="109"/>
      <c r="G162" s="105">
        <v>0</v>
      </c>
      <c r="H162" s="88"/>
    </row>
    <row r="163" spans="1:14" s="98" customFormat="1" ht="12.75" hidden="1" customHeight="1" x14ac:dyDescent="0.2">
      <c r="A163" s="141">
        <v>2329</v>
      </c>
      <c r="B163" s="144" t="s">
        <v>164</v>
      </c>
      <c r="C163" s="145">
        <f>SUM(C164:C174)</f>
        <v>360000</v>
      </c>
      <c r="D163" s="145">
        <f>SUM(D164:D174)</f>
        <v>682076.7</v>
      </c>
      <c r="E163" s="145">
        <f>SUM(E164:E174)</f>
        <v>775453.79</v>
      </c>
      <c r="F163" s="145">
        <f>SUM(F164:F174)</f>
        <v>671820.98</v>
      </c>
      <c r="G163" s="145">
        <f>SUM(G164:G174)</f>
        <v>360000</v>
      </c>
      <c r="H163" s="88"/>
    </row>
    <row r="164" spans="1:14" s="98" customFormat="1" ht="12.75" hidden="1" customHeight="1" x14ac:dyDescent="0.2">
      <c r="A164" s="106"/>
      <c r="B164" s="159" t="s">
        <v>165</v>
      </c>
      <c r="C164" s="113">
        <v>0</v>
      </c>
      <c r="D164" s="113">
        <v>181121</v>
      </c>
      <c r="E164" s="113">
        <v>181121</v>
      </c>
      <c r="F164" s="113">
        <v>181121</v>
      </c>
      <c r="G164" s="114">
        <v>0</v>
      </c>
      <c r="H164" s="88"/>
      <c r="N164" s="150"/>
    </row>
    <row r="165" spans="1:14" ht="12.75" hidden="1" customHeight="1" x14ac:dyDescent="0.2">
      <c r="A165" s="127"/>
      <c r="B165" s="128" t="s">
        <v>166</v>
      </c>
      <c r="C165" s="121">
        <v>5000</v>
      </c>
      <c r="D165" s="121"/>
      <c r="E165" s="151"/>
      <c r="F165" s="152"/>
      <c r="G165" s="114">
        <v>0</v>
      </c>
      <c r="H165" s="88"/>
    </row>
    <row r="166" spans="1:14" ht="12.75" hidden="1" customHeight="1" x14ac:dyDescent="0.2">
      <c r="A166" s="127"/>
      <c r="B166" s="128" t="s">
        <v>167</v>
      </c>
      <c r="C166" s="121">
        <v>0</v>
      </c>
      <c r="D166" s="121">
        <v>145955.70000000001</v>
      </c>
      <c r="E166" s="151">
        <v>148964.69</v>
      </c>
      <c r="F166" s="151">
        <v>148964.69</v>
      </c>
      <c r="G166" s="114">
        <v>0</v>
      </c>
      <c r="H166" s="88"/>
    </row>
    <row r="167" spans="1:14" ht="12.75" hidden="1" customHeight="1" x14ac:dyDescent="0.2">
      <c r="A167" s="127"/>
      <c r="B167" s="128" t="s">
        <v>168</v>
      </c>
      <c r="C167" s="121">
        <v>0</v>
      </c>
      <c r="D167" s="121">
        <v>0</v>
      </c>
      <c r="E167" s="151">
        <v>57446.6</v>
      </c>
      <c r="F167" s="151">
        <v>57446.6</v>
      </c>
      <c r="G167" s="114">
        <v>0</v>
      </c>
      <c r="H167" s="88"/>
    </row>
    <row r="168" spans="1:14" ht="12.75" hidden="1" customHeight="1" x14ac:dyDescent="0.2">
      <c r="A168" s="127"/>
      <c r="B168" s="128" t="s">
        <v>169</v>
      </c>
      <c r="C168" s="121">
        <v>270000</v>
      </c>
      <c r="D168" s="121">
        <v>270000</v>
      </c>
      <c r="E168" s="151">
        <v>270000</v>
      </c>
      <c r="F168" s="152">
        <v>190060</v>
      </c>
      <c r="G168" s="114">
        <v>270000</v>
      </c>
      <c r="H168" s="88"/>
    </row>
    <row r="169" spans="1:14" ht="12.75" hidden="1" customHeight="1" x14ac:dyDescent="0.2">
      <c r="A169" s="127"/>
      <c r="B169" s="128" t="s">
        <v>170</v>
      </c>
      <c r="C169" s="121">
        <v>45000</v>
      </c>
      <c r="D169" s="121">
        <v>45000</v>
      </c>
      <c r="E169" s="151">
        <v>74865</v>
      </c>
      <c r="F169" s="152">
        <v>62807.19</v>
      </c>
      <c r="G169" s="114">
        <v>50000</v>
      </c>
      <c r="H169" s="88"/>
    </row>
    <row r="170" spans="1:14" ht="12.75" hidden="1" customHeight="1" x14ac:dyDescent="0.2">
      <c r="A170" s="127"/>
      <c r="B170" s="128" t="s">
        <v>171</v>
      </c>
      <c r="C170" s="121">
        <v>40000</v>
      </c>
      <c r="D170" s="121">
        <v>40000</v>
      </c>
      <c r="E170" s="151">
        <v>40000</v>
      </c>
      <c r="F170" s="160">
        <v>28365</v>
      </c>
      <c r="G170" s="114">
        <v>40000</v>
      </c>
      <c r="H170" s="88"/>
    </row>
    <row r="171" spans="1:14" ht="12.75" hidden="1" customHeight="1" x14ac:dyDescent="0.2">
      <c r="A171" s="127"/>
      <c r="B171" s="128" t="s">
        <v>172</v>
      </c>
      <c r="C171" s="121">
        <v>0</v>
      </c>
      <c r="D171" s="121">
        <v>0</v>
      </c>
      <c r="E171" s="151">
        <v>3056.5</v>
      </c>
      <c r="F171" s="151">
        <v>3056.5</v>
      </c>
      <c r="G171" s="114">
        <v>0</v>
      </c>
      <c r="H171" s="88"/>
    </row>
    <row r="172" spans="1:14" ht="12.75" hidden="1" customHeight="1" x14ac:dyDescent="0.2">
      <c r="A172" s="127"/>
      <c r="B172" s="128" t="s">
        <v>173</v>
      </c>
      <c r="C172" s="121">
        <v>0</v>
      </c>
      <c r="D172" s="121"/>
      <c r="E172" s="151"/>
      <c r="F172" s="160"/>
      <c r="G172" s="114">
        <v>0</v>
      </c>
      <c r="H172" s="88"/>
    </row>
    <row r="173" spans="1:14" ht="12.75" hidden="1" customHeight="1" x14ac:dyDescent="0.2">
      <c r="A173" s="127"/>
      <c r="B173" s="128" t="s">
        <v>174</v>
      </c>
      <c r="C173" s="121">
        <v>0</v>
      </c>
      <c r="D173" s="121"/>
      <c r="E173" s="151"/>
      <c r="F173" s="160"/>
      <c r="G173" s="114">
        <v>0</v>
      </c>
      <c r="H173" s="88"/>
    </row>
    <row r="174" spans="1:14" ht="12.75" hidden="1" customHeight="1" x14ac:dyDescent="0.2">
      <c r="A174" s="127"/>
      <c r="B174" s="128" t="s">
        <v>175</v>
      </c>
      <c r="C174" s="121">
        <v>0</v>
      </c>
      <c r="D174" s="121"/>
      <c r="E174" s="151"/>
      <c r="F174" s="160"/>
      <c r="G174" s="114">
        <v>0</v>
      </c>
      <c r="H174" s="88"/>
    </row>
    <row r="175" spans="1:14" ht="24.75" hidden="1" customHeight="1" x14ac:dyDescent="0.2">
      <c r="A175" s="141">
        <v>2411</v>
      </c>
      <c r="B175" s="146" t="s">
        <v>176</v>
      </c>
      <c r="C175" s="145">
        <v>0</v>
      </c>
      <c r="D175" s="145">
        <v>300000</v>
      </c>
      <c r="E175" s="109">
        <v>300000</v>
      </c>
      <c r="F175" s="109">
        <v>300000</v>
      </c>
      <c r="G175" s="105">
        <v>0</v>
      </c>
      <c r="H175" s="32"/>
    </row>
    <row r="176" spans="1:14" ht="12.75" hidden="1" customHeight="1" x14ac:dyDescent="0.2">
      <c r="A176" s="161"/>
      <c r="B176" s="162"/>
      <c r="C176" s="163"/>
      <c r="D176" s="163"/>
      <c r="E176" s="164"/>
      <c r="F176" s="165"/>
      <c r="G176" s="166"/>
      <c r="H176" s="88"/>
    </row>
    <row r="177" spans="1:8" s="98" customFormat="1" ht="18.75" hidden="1" customHeight="1" x14ac:dyDescent="0.25">
      <c r="A177" s="167"/>
      <c r="B177" s="168" t="s">
        <v>11</v>
      </c>
      <c r="C177" s="169">
        <f>SUM(C178,C179,C188:C192)</f>
        <v>52475517</v>
      </c>
      <c r="D177" s="169">
        <f>SUM(D178,D179,D188:D192)</f>
        <v>52226112.700000003</v>
      </c>
      <c r="E177" s="169">
        <f>SUM(E178,E179,E188:E192)</f>
        <v>23220062.699999999</v>
      </c>
      <c r="F177" s="169">
        <f>SUM(F178,F179,F188:F192)</f>
        <v>15702229.899999999</v>
      </c>
      <c r="G177" s="169">
        <f>SUM(G178,G179,G188:G192)</f>
        <v>109511899.31</v>
      </c>
      <c r="H177" s="88"/>
    </row>
    <row r="178" spans="1:8" s="98" customFormat="1" ht="25.5" hidden="1" x14ac:dyDescent="0.2">
      <c r="A178" s="138">
        <v>3111</v>
      </c>
      <c r="B178" s="170" t="s">
        <v>177</v>
      </c>
      <c r="C178" s="140">
        <v>37500000</v>
      </c>
      <c r="D178" s="140">
        <v>37500000</v>
      </c>
      <c r="E178" s="171">
        <v>7950000</v>
      </c>
      <c r="F178" s="172">
        <v>582367.19999999995</v>
      </c>
      <c r="G178" s="173">
        <f>(5.95+3.9+44.064+14.478+0.8+1.8+0.4+2.5)*1000000</f>
        <v>73892000</v>
      </c>
      <c r="H178" s="88"/>
    </row>
    <row r="179" spans="1:8" s="98" customFormat="1" ht="12.75" hidden="1" customHeight="1" x14ac:dyDescent="0.2">
      <c r="A179" s="141">
        <v>3112</v>
      </c>
      <c r="B179" s="141" t="s">
        <v>178</v>
      </c>
      <c r="C179" s="145">
        <f>SUM(C180:C187)</f>
        <v>10708739</v>
      </c>
      <c r="D179" s="145">
        <f>SUM(D180:D187)</f>
        <v>1875000</v>
      </c>
      <c r="E179" s="174">
        <f>SUM(E180:E187)</f>
        <v>2418950</v>
      </c>
      <c r="F179" s="175">
        <f>SUM(F180:F187)</f>
        <v>2268750</v>
      </c>
      <c r="G179" s="145">
        <f>SUM(G180:G187)</f>
        <v>19516800</v>
      </c>
      <c r="H179" s="88"/>
    </row>
    <row r="180" spans="1:8" s="98" customFormat="1" ht="12.75" hidden="1" customHeight="1" x14ac:dyDescent="0.2">
      <c r="A180" s="141"/>
      <c r="B180" s="176" t="s">
        <v>179</v>
      </c>
      <c r="C180" s="121">
        <v>2342000</v>
      </c>
      <c r="D180" s="121"/>
      <c r="E180" s="177">
        <v>0</v>
      </c>
      <c r="F180" s="178"/>
      <c r="G180" s="114">
        <v>1427000</v>
      </c>
      <c r="H180" s="88"/>
    </row>
    <row r="181" spans="1:8" s="98" customFormat="1" ht="12.75" hidden="1" customHeight="1" x14ac:dyDescent="0.2">
      <c r="A181" s="141"/>
      <c r="B181" s="176" t="s">
        <v>180</v>
      </c>
      <c r="C181" s="121">
        <v>1910000</v>
      </c>
      <c r="D181" s="121"/>
      <c r="E181" s="177">
        <v>0</v>
      </c>
      <c r="F181" s="178"/>
      <c r="G181" s="114">
        <v>0</v>
      </c>
      <c r="H181" s="88"/>
    </row>
    <row r="182" spans="1:8" s="98" customFormat="1" ht="12.75" hidden="1" customHeight="1" x14ac:dyDescent="0.2">
      <c r="A182" s="141"/>
      <c r="B182" s="176" t="s">
        <v>181</v>
      </c>
      <c r="C182" s="160">
        <v>2794000</v>
      </c>
      <c r="D182" s="179"/>
      <c r="E182" s="177">
        <v>150200</v>
      </c>
      <c r="F182" s="178"/>
      <c r="G182" s="113">
        <f>4209000-150200</f>
        <v>4058800</v>
      </c>
      <c r="H182" s="88"/>
    </row>
    <row r="183" spans="1:8" s="98" customFormat="1" ht="12.75" hidden="1" customHeight="1" x14ac:dyDescent="0.2">
      <c r="A183" s="141"/>
      <c r="B183" s="176" t="s">
        <v>182</v>
      </c>
      <c r="C183" s="179">
        <v>2364000</v>
      </c>
      <c r="D183" s="179"/>
      <c r="E183" s="177">
        <v>0</v>
      </c>
      <c r="F183" s="178"/>
      <c r="G183" s="113">
        <v>2581000</v>
      </c>
      <c r="H183" s="88"/>
    </row>
    <row r="184" spans="1:8" s="98" customFormat="1" ht="12.75" hidden="1" customHeight="1" x14ac:dyDescent="0.2">
      <c r="A184" s="141"/>
      <c r="B184" s="176" t="s">
        <v>183</v>
      </c>
      <c r="C184" s="179">
        <v>1298739</v>
      </c>
      <c r="D184" s="179"/>
      <c r="E184" s="177">
        <v>0</v>
      </c>
      <c r="F184" s="178"/>
      <c r="G184" s="114">
        <v>3000000</v>
      </c>
      <c r="H184" s="88"/>
    </row>
    <row r="185" spans="1:8" s="98" customFormat="1" ht="12.75" hidden="1" customHeight="1" x14ac:dyDescent="0.2">
      <c r="A185" s="141"/>
      <c r="B185" s="176" t="s">
        <v>184</v>
      </c>
      <c r="C185" s="179">
        <v>0</v>
      </c>
      <c r="D185" s="179">
        <v>0</v>
      </c>
      <c r="E185" s="177">
        <v>0</v>
      </c>
      <c r="F185" s="178">
        <v>0</v>
      </c>
      <c r="G185" s="114">
        <v>3000000</v>
      </c>
      <c r="H185" s="88"/>
    </row>
    <row r="186" spans="1:8" s="98" customFormat="1" ht="12.75" hidden="1" customHeight="1" x14ac:dyDescent="0.2">
      <c r="A186" s="141"/>
      <c r="B186" s="176" t="s">
        <v>185</v>
      </c>
      <c r="C186" s="179">
        <v>0</v>
      </c>
      <c r="D186" s="179"/>
      <c r="E186" s="177"/>
      <c r="F186" s="178"/>
      <c r="G186" s="114">
        <v>5450000</v>
      </c>
      <c r="H186" s="88"/>
    </row>
    <row r="187" spans="1:8" s="98" customFormat="1" ht="12.75" hidden="1" customHeight="1" x14ac:dyDescent="0.2">
      <c r="A187" s="141"/>
      <c r="B187" s="176" t="s">
        <v>186</v>
      </c>
      <c r="C187" s="179">
        <v>0</v>
      </c>
      <c r="D187" s="179">
        <v>1875000</v>
      </c>
      <c r="E187" s="177">
        <v>2268750</v>
      </c>
      <c r="F187" s="178">
        <v>2268750</v>
      </c>
      <c r="G187" s="114">
        <v>0</v>
      </c>
      <c r="H187" s="88"/>
    </row>
    <row r="188" spans="1:8" s="98" customFormat="1" ht="12.75" hidden="1" customHeight="1" x14ac:dyDescent="0.2">
      <c r="A188" s="141">
        <v>3113</v>
      </c>
      <c r="B188" s="141" t="s">
        <v>187</v>
      </c>
      <c r="C188" s="145">
        <v>0</v>
      </c>
      <c r="D188" s="145"/>
      <c r="E188" s="180"/>
      <c r="F188" s="181"/>
      <c r="G188" s="105">
        <v>0</v>
      </c>
      <c r="H188" s="88"/>
    </row>
    <row r="189" spans="1:8" s="98" customFormat="1" ht="12.75" hidden="1" customHeight="1" x14ac:dyDescent="0.2">
      <c r="A189" s="141">
        <v>3119</v>
      </c>
      <c r="B189" s="141" t="s">
        <v>188</v>
      </c>
      <c r="C189" s="145">
        <v>0</v>
      </c>
      <c r="D189" s="145">
        <v>12770000</v>
      </c>
      <c r="E189" s="174">
        <v>12770000</v>
      </c>
      <c r="F189" s="175">
        <v>12770000</v>
      </c>
      <c r="G189" s="105">
        <v>0</v>
      </c>
      <c r="H189" s="88"/>
    </row>
    <row r="190" spans="1:8" s="98" customFormat="1" ht="12.75" hidden="1" customHeight="1" x14ac:dyDescent="0.2">
      <c r="A190" s="141">
        <v>3121</v>
      </c>
      <c r="B190" s="141" t="s">
        <v>189</v>
      </c>
      <c r="C190" s="145">
        <v>0</v>
      </c>
      <c r="D190" s="145">
        <v>81112.7</v>
      </c>
      <c r="E190" s="180">
        <v>81112.7</v>
      </c>
      <c r="F190" s="181">
        <v>81112.7</v>
      </c>
      <c r="G190" s="105">
        <v>400000</v>
      </c>
      <c r="H190" s="88"/>
    </row>
    <row r="191" spans="1:8" s="98" customFormat="1" hidden="1" x14ac:dyDescent="0.2">
      <c r="A191" s="141">
        <v>3122</v>
      </c>
      <c r="B191" s="182" t="s">
        <v>190</v>
      </c>
      <c r="C191" s="145">
        <v>0</v>
      </c>
      <c r="D191" s="145"/>
      <c r="E191" s="180"/>
      <c r="F191" s="181"/>
      <c r="G191" s="105">
        <v>0</v>
      </c>
      <c r="H191" s="88"/>
    </row>
    <row r="192" spans="1:8" s="98" customFormat="1" ht="12.75" hidden="1" customHeight="1" x14ac:dyDescent="0.2">
      <c r="A192" s="141">
        <v>3129</v>
      </c>
      <c r="B192" s="141" t="s">
        <v>191</v>
      </c>
      <c r="C192" s="145">
        <f>SUM(C193:C195)</f>
        <v>4266778</v>
      </c>
      <c r="D192" s="145">
        <f>SUM(D193:D195)</f>
        <v>0</v>
      </c>
      <c r="E192" s="174">
        <f>SUM(E193:E195)</f>
        <v>0</v>
      </c>
      <c r="F192" s="175">
        <f>SUM(F193:F195)</f>
        <v>0</v>
      </c>
      <c r="G192" s="145">
        <f>SUM(G193:G196)</f>
        <v>15703099.310000001</v>
      </c>
      <c r="H192" s="88"/>
    </row>
    <row r="193" spans="1:8" s="98" customFormat="1" ht="12.75" hidden="1" customHeight="1" x14ac:dyDescent="0.2">
      <c r="A193" s="183"/>
      <c r="B193" s="176" t="s">
        <v>192</v>
      </c>
      <c r="C193" s="121">
        <v>500000</v>
      </c>
      <c r="D193" s="121"/>
      <c r="E193" s="177">
        <v>0</v>
      </c>
      <c r="F193" s="178"/>
      <c r="G193" s="114"/>
      <c r="H193" s="32"/>
    </row>
    <row r="194" spans="1:8" s="98" customFormat="1" ht="12.75" hidden="1" customHeight="1" x14ac:dyDescent="0.2">
      <c r="A194" s="183"/>
      <c r="B194" s="176" t="s">
        <v>193</v>
      </c>
      <c r="C194" s="121">
        <v>1200000</v>
      </c>
      <c r="D194" s="121"/>
      <c r="E194" s="177">
        <v>0</v>
      </c>
      <c r="F194" s="178"/>
      <c r="G194" s="114">
        <v>1053570</v>
      </c>
      <c r="H194" s="32"/>
    </row>
    <row r="195" spans="1:8" s="98" customFormat="1" ht="12" hidden="1" customHeight="1" x14ac:dyDescent="0.2">
      <c r="A195" s="141"/>
      <c r="B195" s="127" t="s">
        <v>194</v>
      </c>
      <c r="C195" s="121">
        <v>2566778</v>
      </c>
      <c r="D195" s="121"/>
      <c r="E195" s="177"/>
      <c r="F195" s="178"/>
      <c r="G195" s="113">
        <v>0</v>
      </c>
      <c r="H195" s="32"/>
    </row>
    <row r="196" spans="1:8" s="98" customFormat="1" ht="12" hidden="1" customHeight="1" x14ac:dyDescent="0.2">
      <c r="A196" s="183"/>
      <c r="B196" s="176" t="s">
        <v>195</v>
      </c>
      <c r="C196" s="121">
        <v>0</v>
      </c>
      <c r="D196" s="121">
        <v>0</v>
      </c>
      <c r="E196" s="184">
        <v>0</v>
      </c>
      <c r="F196" s="185">
        <v>0</v>
      </c>
      <c r="G196" s="114">
        <v>14649529.310000001</v>
      </c>
      <c r="H196" s="32"/>
    </row>
    <row r="197" spans="1:8" s="98" customFormat="1" hidden="1" x14ac:dyDescent="0.2">
      <c r="A197" s="183"/>
      <c r="B197" s="186"/>
      <c r="C197" s="187"/>
      <c r="D197" s="187"/>
      <c r="E197" s="184"/>
      <c r="F197" s="185"/>
      <c r="G197" s="166"/>
      <c r="H197" s="88"/>
    </row>
    <row r="198" spans="1:8" s="98" customFormat="1" ht="18.75" hidden="1" customHeight="1" x14ac:dyDescent="0.25">
      <c r="A198" s="188"/>
      <c r="B198" s="168" t="s">
        <v>196</v>
      </c>
      <c r="C198" s="169">
        <f>SUM(C199:C203,C215,C223,C229:C230,C235,C246)</f>
        <v>59771600.0035</v>
      </c>
      <c r="D198" s="169">
        <f>SUM(D199,D202:D203,D215,D223,D229:D230,D235,D246)</f>
        <v>138526988.82350001</v>
      </c>
      <c r="E198" s="169">
        <f>SUM(E199,E202:E203,E215,E223,E229:E230,E235,E246)</f>
        <v>129994865.9535</v>
      </c>
      <c r="F198" s="189">
        <f>SUM(F199,F202:F203,F215,F223,F229:F230,F235,F246)</f>
        <v>120624289.91999999</v>
      </c>
      <c r="G198" s="169">
        <f>SUM(G199,G202:G203,G215,G223,G229:G230,G235,G246)</f>
        <v>80631238.653500006</v>
      </c>
      <c r="H198" s="88"/>
    </row>
    <row r="199" spans="1:8" s="98" customFormat="1" ht="12.75" hidden="1" customHeight="1" x14ac:dyDescent="0.2">
      <c r="A199" s="190">
        <v>4111</v>
      </c>
      <c r="B199" s="190" t="s">
        <v>197</v>
      </c>
      <c r="C199" s="191">
        <f>SUM(C200:C201)</f>
        <v>0</v>
      </c>
      <c r="D199" s="191">
        <f>SUM(D200:D201)</f>
        <v>29776000</v>
      </c>
      <c r="E199" s="191">
        <f>SUM(E200:E201)</f>
        <v>29776000</v>
      </c>
      <c r="F199" s="192">
        <f>SUM(F200:F201)</f>
        <v>29776000</v>
      </c>
      <c r="G199" s="191">
        <f>SUM(G200:G201)</f>
        <v>0</v>
      </c>
      <c r="H199" s="88"/>
    </row>
    <row r="200" spans="1:8" s="98" customFormat="1" ht="12.75" hidden="1" customHeight="1" x14ac:dyDescent="0.2">
      <c r="A200" s="190"/>
      <c r="B200" s="193" t="s">
        <v>198</v>
      </c>
      <c r="C200" s="194">
        <v>0</v>
      </c>
      <c r="D200" s="194">
        <v>29075000</v>
      </c>
      <c r="E200" s="194">
        <v>29075000</v>
      </c>
      <c r="F200" s="195">
        <v>29075000</v>
      </c>
      <c r="G200" s="194">
        <v>0</v>
      </c>
      <c r="H200" s="88"/>
    </row>
    <row r="201" spans="1:8" s="98" customFormat="1" ht="12.75" hidden="1" customHeight="1" x14ac:dyDescent="0.2">
      <c r="A201" s="190"/>
      <c r="B201" s="193" t="s">
        <v>199</v>
      </c>
      <c r="C201" s="194">
        <v>0</v>
      </c>
      <c r="D201" s="194">
        <v>701000</v>
      </c>
      <c r="E201" s="194">
        <v>701000</v>
      </c>
      <c r="F201" s="195">
        <v>701000</v>
      </c>
      <c r="G201" s="194">
        <v>0</v>
      </c>
      <c r="H201" s="88"/>
    </row>
    <row r="202" spans="1:8" ht="89.25" hidden="1" x14ac:dyDescent="0.2">
      <c r="A202" s="139">
        <v>4112</v>
      </c>
      <c r="B202" s="196" t="s">
        <v>200</v>
      </c>
      <c r="C202" s="197">
        <f>958935.0949+709659.9826+520950+433320+542800+39919+4236063.649+7723640.937+23616817.65+627210+1363000+1530786+236555+42.69</f>
        <v>42539700.0035</v>
      </c>
      <c r="D202" s="197">
        <f>958935.0949+709659.9826+520950+433320+542800+39919+4236063.649+7723640.937+23616817.65+627210+1363000+1530786+236555+42.69</f>
        <v>42539700.0035</v>
      </c>
      <c r="E202" s="197">
        <f>958935.0949+709659.9826+520950+433320+542800+39919+4236063.649+7723640.937+23616817.65+627210+1363000+1530786+236555+42.69</f>
        <v>42539700.0035</v>
      </c>
      <c r="F202" s="172">
        <v>28247765</v>
      </c>
      <c r="G202" s="105">
        <f>(958935.0949+709659.9826+520950+433320+542800+39919+4236063.649+7723640.937+23616817.65+627210+1363000+1530786+236555+42.69)+918800</f>
        <v>43458500.0035</v>
      </c>
      <c r="H202" s="32"/>
    </row>
    <row r="203" spans="1:8" s="98" customFormat="1" ht="12.75" hidden="1" customHeight="1" x14ac:dyDescent="0.2">
      <c r="A203" s="144">
        <v>4116</v>
      </c>
      <c r="B203" s="144" t="s">
        <v>201</v>
      </c>
      <c r="C203" s="145">
        <f>SUM(C204:C214)</f>
        <v>7642000</v>
      </c>
      <c r="D203" s="145">
        <f>SUM(D204:D214)</f>
        <v>14769583.75</v>
      </c>
      <c r="E203" s="145">
        <f>SUM(E204:E214)</f>
        <v>10988960.879999999</v>
      </c>
      <c r="F203" s="175">
        <f>SUM(F204:F214)</f>
        <v>18582960.879999999</v>
      </c>
      <c r="G203" s="145">
        <f>SUM(G204:G214)</f>
        <v>8333206</v>
      </c>
      <c r="H203" s="88"/>
    </row>
    <row r="204" spans="1:8" ht="12.75" hidden="1" customHeight="1" x14ac:dyDescent="0.2">
      <c r="A204" s="128"/>
      <c r="B204" s="112" t="s">
        <v>202</v>
      </c>
      <c r="C204" s="113">
        <v>50000</v>
      </c>
      <c r="D204" s="113">
        <v>7594000</v>
      </c>
      <c r="E204" s="113">
        <v>0</v>
      </c>
      <c r="F204" s="178">
        <v>7594000</v>
      </c>
      <c r="G204" s="114">
        <v>50000</v>
      </c>
      <c r="H204" s="88"/>
    </row>
    <row r="205" spans="1:8" ht="12.75" hidden="1" customHeight="1" x14ac:dyDescent="0.2">
      <c r="A205" s="128"/>
      <c r="B205" s="128" t="s">
        <v>203</v>
      </c>
      <c r="C205" s="121">
        <v>192000</v>
      </c>
      <c r="D205" s="121">
        <v>120000</v>
      </c>
      <c r="E205" s="113">
        <v>120000</v>
      </c>
      <c r="F205" s="178">
        <v>120000</v>
      </c>
      <c r="G205" s="114">
        <v>0</v>
      </c>
      <c r="H205" s="88"/>
    </row>
    <row r="206" spans="1:8" ht="12.75" hidden="1" customHeight="1" x14ac:dyDescent="0.2">
      <c r="A206" s="144"/>
      <c r="B206" s="155" t="s">
        <v>204</v>
      </c>
      <c r="C206" s="121">
        <v>7400000</v>
      </c>
      <c r="D206" s="121">
        <v>3376250</v>
      </c>
      <c r="E206" s="121">
        <v>7189627.1299999999</v>
      </c>
      <c r="F206" s="198">
        <v>7189627.1299999999</v>
      </c>
      <c r="G206" s="114">
        <v>7145900</v>
      </c>
      <c r="H206" s="88"/>
    </row>
    <row r="207" spans="1:8" ht="12.75" hidden="1" customHeight="1" x14ac:dyDescent="0.2">
      <c r="A207" s="112"/>
      <c r="B207" s="112" t="s">
        <v>205</v>
      </c>
      <c r="C207" s="121">
        <v>0</v>
      </c>
      <c r="D207" s="121">
        <v>1137306</v>
      </c>
      <c r="E207" s="121">
        <v>1137306</v>
      </c>
      <c r="F207" s="198">
        <v>1137306</v>
      </c>
      <c r="G207" s="114">
        <v>1137306</v>
      </c>
      <c r="H207" s="88"/>
    </row>
    <row r="208" spans="1:8" ht="12.75" hidden="1" customHeight="1" x14ac:dyDescent="0.2">
      <c r="A208" s="199"/>
      <c r="B208" s="112" t="s">
        <v>206</v>
      </c>
      <c r="C208" s="200">
        <v>0</v>
      </c>
      <c r="D208" s="200">
        <v>554488</v>
      </c>
      <c r="E208" s="200">
        <v>554488</v>
      </c>
      <c r="F208" s="201">
        <v>554488</v>
      </c>
      <c r="G208" s="114"/>
      <c r="H208" s="88"/>
    </row>
    <row r="209" spans="1:14" s="98" customFormat="1" ht="12.75" hidden="1" customHeight="1" x14ac:dyDescent="0.2">
      <c r="A209" s="202"/>
      <c r="B209" s="112" t="s">
        <v>207</v>
      </c>
      <c r="C209" s="203">
        <v>0</v>
      </c>
      <c r="D209" s="203">
        <v>1249.8499999999999</v>
      </c>
      <c r="E209" s="203">
        <v>1249.8499999999999</v>
      </c>
      <c r="F209" s="204">
        <v>1249.8499999999999</v>
      </c>
      <c r="G209" s="114"/>
      <c r="H209" s="88"/>
      <c r="N209" s="150"/>
    </row>
    <row r="210" spans="1:14" s="98" customFormat="1" ht="12.75" hidden="1" customHeight="1" x14ac:dyDescent="0.2">
      <c r="A210" s="202"/>
      <c r="B210" s="112" t="s">
        <v>208</v>
      </c>
      <c r="C210" s="160">
        <v>0</v>
      </c>
      <c r="D210" s="160">
        <v>24996.9</v>
      </c>
      <c r="E210" s="160">
        <v>24996.9</v>
      </c>
      <c r="F210" s="205">
        <v>24996.9</v>
      </c>
      <c r="G210" s="114"/>
      <c r="H210" s="88"/>
      <c r="N210" s="150"/>
    </row>
    <row r="211" spans="1:14" s="98" customFormat="1" ht="12.75" hidden="1" customHeight="1" x14ac:dyDescent="0.2">
      <c r="A211" s="202"/>
      <c r="B211" s="112" t="s">
        <v>209</v>
      </c>
      <c r="C211" s="160">
        <v>0</v>
      </c>
      <c r="D211" s="160">
        <v>270497</v>
      </c>
      <c r="E211" s="160">
        <v>270497</v>
      </c>
      <c r="F211" s="205">
        <v>270497</v>
      </c>
      <c r="G211" s="114"/>
      <c r="H211" s="88"/>
      <c r="N211" s="150"/>
    </row>
    <row r="212" spans="1:14" s="98" customFormat="1" ht="12.75" hidden="1" customHeight="1" x14ac:dyDescent="0.2">
      <c r="A212" s="202"/>
      <c r="B212" s="112" t="s">
        <v>210</v>
      </c>
      <c r="C212" s="160">
        <v>0</v>
      </c>
      <c r="D212" s="160">
        <v>1009796</v>
      </c>
      <c r="E212" s="160">
        <v>1009796</v>
      </c>
      <c r="F212" s="205">
        <v>1009796</v>
      </c>
      <c r="G212" s="114"/>
      <c r="H212" s="88"/>
      <c r="N212" s="150"/>
    </row>
    <row r="213" spans="1:14" s="98" customFormat="1" ht="12.75" hidden="1" customHeight="1" x14ac:dyDescent="0.2">
      <c r="A213" s="202"/>
      <c r="B213" s="112" t="s">
        <v>211</v>
      </c>
      <c r="C213" s="160">
        <v>0</v>
      </c>
      <c r="D213" s="160">
        <v>89000</v>
      </c>
      <c r="E213" s="203">
        <v>89000</v>
      </c>
      <c r="F213" s="185">
        <v>89000</v>
      </c>
      <c r="G213" s="114"/>
      <c r="H213" s="88"/>
      <c r="N213" s="150"/>
    </row>
    <row r="214" spans="1:14" s="98" customFormat="1" ht="12.75" hidden="1" customHeight="1" x14ac:dyDescent="0.2">
      <c r="A214" s="202"/>
      <c r="B214" s="112" t="s">
        <v>212</v>
      </c>
      <c r="C214" s="160">
        <v>0</v>
      </c>
      <c r="D214" s="160">
        <v>592000</v>
      </c>
      <c r="E214" s="160">
        <v>592000</v>
      </c>
      <c r="F214" s="205">
        <v>592000</v>
      </c>
      <c r="G214" s="114"/>
      <c r="H214" s="88"/>
      <c r="N214" s="150"/>
    </row>
    <row r="215" spans="1:14" ht="12.75" hidden="1" customHeight="1" x14ac:dyDescent="0.2">
      <c r="A215" s="144">
        <v>4121</v>
      </c>
      <c r="B215" s="144" t="s">
        <v>213</v>
      </c>
      <c r="C215" s="145">
        <f>SUM(C216:C222)</f>
        <v>305500</v>
      </c>
      <c r="D215" s="145">
        <f>SUM(D216:D222)</f>
        <v>350000</v>
      </c>
      <c r="E215" s="145">
        <f>SUM(E216:E222)</f>
        <v>375000</v>
      </c>
      <c r="F215" s="175">
        <f>SUM(F216:F222)</f>
        <v>373564</v>
      </c>
      <c r="G215" s="145">
        <f>SUM(G216:G222)</f>
        <v>1631120</v>
      </c>
      <c r="H215" s="88"/>
    </row>
    <row r="216" spans="1:14" ht="12.75" hidden="1" customHeight="1" x14ac:dyDescent="0.2">
      <c r="A216" s="144"/>
      <c r="B216" s="128" t="s">
        <v>214</v>
      </c>
      <c r="C216" s="121">
        <v>300000</v>
      </c>
      <c r="D216" s="121">
        <v>300000</v>
      </c>
      <c r="E216" s="113">
        <v>328000</v>
      </c>
      <c r="F216" s="178">
        <v>328000</v>
      </c>
      <c r="G216" s="114">
        <v>260000</v>
      </c>
      <c r="H216" s="88"/>
    </row>
    <row r="217" spans="1:14" hidden="1" x14ac:dyDescent="0.2">
      <c r="A217" s="144"/>
      <c r="B217" s="128" t="s">
        <v>215</v>
      </c>
      <c r="C217" s="121">
        <v>5000</v>
      </c>
      <c r="D217" s="121">
        <v>5000</v>
      </c>
      <c r="E217" s="113">
        <v>2000</v>
      </c>
      <c r="F217" s="178">
        <v>564</v>
      </c>
      <c r="G217" s="114">
        <v>3000</v>
      </c>
      <c r="H217" s="88"/>
    </row>
    <row r="218" spans="1:14" ht="12.75" hidden="1" customHeight="1" x14ac:dyDescent="0.2">
      <c r="A218" s="107"/>
      <c r="B218" s="112" t="s">
        <v>216</v>
      </c>
      <c r="C218" s="113">
        <v>0</v>
      </c>
      <c r="D218" s="113"/>
      <c r="E218" s="113"/>
      <c r="F218" s="178"/>
      <c r="G218" s="114"/>
      <c r="H218" s="88"/>
      <c r="N218" s="150"/>
    </row>
    <row r="219" spans="1:14" ht="12.75" hidden="1" customHeight="1" x14ac:dyDescent="0.2">
      <c r="A219" s="107"/>
      <c r="B219" s="112" t="s">
        <v>217</v>
      </c>
      <c r="C219" s="113">
        <v>0</v>
      </c>
      <c r="D219" s="113">
        <v>45000</v>
      </c>
      <c r="E219" s="113">
        <v>45000</v>
      </c>
      <c r="F219" s="178">
        <v>45000</v>
      </c>
      <c r="G219" s="114">
        <v>735147</v>
      </c>
      <c r="H219" s="88"/>
      <c r="N219" s="150"/>
    </row>
    <row r="220" spans="1:14" ht="12.75" hidden="1" customHeight="1" x14ac:dyDescent="0.2">
      <c r="A220" s="107"/>
      <c r="B220" s="112" t="s">
        <v>218</v>
      </c>
      <c r="C220" s="113">
        <v>0</v>
      </c>
      <c r="D220" s="113">
        <v>0</v>
      </c>
      <c r="E220" s="113">
        <v>0</v>
      </c>
      <c r="F220" s="178">
        <v>0</v>
      </c>
      <c r="G220" s="114">
        <v>632973</v>
      </c>
      <c r="H220" s="88"/>
      <c r="N220" s="150"/>
    </row>
    <row r="221" spans="1:14" ht="12.75" hidden="1" customHeight="1" x14ac:dyDescent="0.2">
      <c r="A221" s="107"/>
      <c r="B221" s="112" t="s">
        <v>219</v>
      </c>
      <c r="C221" s="113">
        <v>0</v>
      </c>
      <c r="D221" s="113"/>
      <c r="E221" s="113"/>
      <c r="F221" s="178"/>
      <c r="G221" s="114"/>
      <c r="H221" s="88"/>
    </row>
    <row r="222" spans="1:14" hidden="1" x14ac:dyDescent="0.2">
      <c r="A222" s="144"/>
      <c r="B222" s="128" t="s">
        <v>220</v>
      </c>
      <c r="C222" s="121">
        <v>500</v>
      </c>
      <c r="D222" s="121"/>
      <c r="E222" s="113"/>
      <c r="F222" s="178"/>
      <c r="G222" s="114"/>
      <c r="H222" s="88"/>
    </row>
    <row r="223" spans="1:14" ht="12.75" hidden="1" customHeight="1" x14ac:dyDescent="0.2">
      <c r="A223" s="107">
        <v>4122</v>
      </c>
      <c r="B223" s="110" t="s">
        <v>221</v>
      </c>
      <c r="C223" s="109">
        <f>SUM(C224:C228)</f>
        <v>0</v>
      </c>
      <c r="D223" s="109">
        <f>SUM(D224:D228)</f>
        <v>8314467</v>
      </c>
      <c r="E223" s="109">
        <f>SUM(E224:E228)</f>
        <v>6737967</v>
      </c>
      <c r="F223" s="181">
        <f>SUM(F224:F228)</f>
        <v>6723467</v>
      </c>
      <c r="G223" s="109">
        <f>SUM(G224:G228)</f>
        <v>0</v>
      </c>
      <c r="H223" s="88"/>
      <c r="N223" s="150"/>
    </row>
    <row r="224" spans="1:14" s="98" customFormat="1" ht="12.75" hidden="1" customHeight="1" x14ac:dyDescent="0.2">
      <c r="A224" s="202"/>
      <c r="B224" s="199" t="s">
        <v>222</v>
      </c>
      <c r="C224" s="203">
        <v>0</v>
      </c>
      <c r="D224" s="203">
        <v>10000</v>
      </c>
      <c r="E224" s="203">
        <v>10000</v>
      </c>
      <c r="F224" s="204">
        <v>10000</v>
      </c>
      <c r="G224" s="114">
        <v>0</v>
      </c>
      <c r="H224" s="88"/>
      <c r="N224" s="150"/>
    </row>
    <row r="225" spans="1:14" s="98" customFormat="1" ht="12.75" hidden="1" customHeight="1" x14ac:dyDescent="0.2">
      <c r="A225" s="202"/>
      <c r="B225" s="199" t="s">
        <v>223</v>
      </c>
      <c r="C225" s="203">
        <v>0</v>
      </c>
      <c r="D225" s="203">
        <v>24467</v>
      </c>
      <c r="E225" s="203">
        <v>24467</v>
      </c>
      <c r="F225" s="204">
        <v>24467</v>
      </c>
      <c r="G225" s="114"/>
      <c r="H225" s="88"/>
      <c r="N225" s="150"/>
    </row>
    <row r="226" spans="1:14" s="98" customFormat="1" ht="12.75" hidden="1" customHeight="1" x14ac:dyDescent="0.2">
      <c r="A226" s="202"/>
      <c r="B226" s="199" t="s">
        <v>224</v>
      </c>
      <c r="C226" s="203">
        <v>0</v>
      </c>
      <c r="D226" s="203">
        <v>29000</v>
      </c>
      <c r="E226" s="160">
        <v>29000</v>
      </c>
      <c r="F226" s="178">
        <v>14500</v>
      </c>
      <c r="G226" s="114"/>
      <c r="H226" s="88"/>
      <c r="N226" s="150"/>
    </row>
    <row r="227" spans="1:14" s="98" customFormat="1" ht="12.75" hidden="1" customHeight="1" x14ac:dyDescent="0.2">
      <c r="A227" s="202"/>
      <c r="B227" s="199" t="s">
        <v>225</v>
      </c>
      <c r="C227" s="203">
        <v>0</v>
      </c>
      <c r="D227" s="203">
        <v>3153000</v>
      </c>
      <c r="E227" s="160">
        <f>3153000/2</f>
        <v>1576500</v>
      </c>
      <c r="F227" s="205">
        <f>3153000/2</f>
        <v>1576500</v>
      </c>
      <c r="G227" s="114">
        <v>0</v>
      </c>
      <c r="H227" s="88"/>
      <c r="N227" s="150"/>
    </row>
    <row r="228" spans="1:14" ht="12.75" hidden="1" customHeight="1" x14ac:dyDescent="0.2">
      <c r="A228" s="107"/>
      <c r="B228" s="112" t="s">
        <v>226</v>
      </c>
      <c r="C228" s="121">
        <v>0</v>
      </c>
      <c r="D228" s="121">
        <v>5098000</v>
      </c>
      <c r="E228" s="121">
        <v>5098000</v>
      </c>
      <c r="F228" s="198">
        <v>5098000</v>
      </c>
      <c r="G228" s="114">
        <v>0</v>
      </c>
      <c r="H228" s="88"/>
      <c r="N228" s="150"/>
    </row>
    <row r="229" spans="1:14" s="98" customFormat="1" ht="12.75" hidden="1" customHeight="1" x14ac:dyDescent="0.2">
      <c r="A229" s="206" t="s">
        <v>227</v>
      </c>
      <c r="B229" s="144" t="s">
        <v>228</v>
      </c>
      <c r="C229" s="145">
        <v>6084400</v>
      </c>
      <c r="D229" s="145">
        <v>6084400</v>
      </c>
      <c r="E229" s="145">
        <v>6084400</v>
      </c>
      <c r="F229" s="207">
        <v>4563402.03</v>
      </c>
      <c r="G229" s="105">
        <v>5900000</v>
      </c>
      <c r="H229" s="88"/>
    </row>
    <row r="230" spans="1:14" s="98" customFormat="1" ht="12.75" hidden="1" customHeight="1" x14ac:dyDescent="0.2">
      <c r="A230" s="144">
        <v>4213</v>
      </c>
      <c r="B230" s="144" t="s">
        <v>229</v>
      </c>
      <c r="C230" s="145">
        <f>SUM(C231:C234)</f>
        <v>0</v>
      </c>
      <c r="D230" s="145">
        <f>SUM(D231:D234)</f>
        <v>1018657.06</v>
      </c>
      <c r="E230" s="145">
        <f>SUM(E231:E234)</f>
        <v>1018657.06</v>
      </c>
      <c r="F230" s="175">
        <f>SUM(F231:F234)</f>
        <v>0</v>
      </c>
      <c r="G230" s="145">
        <f>SUM(G231:G234)</f>
        <v>450000</v>
      </c>
      <c r="H230" s="88"/>
    </row>
    <row r="231" spans="1:14" s="2" customFormat="1" ht="12.75" hidden="1" customHeight="1" x14ac:dyDescent="0.2">
      <c r="A231" s="155"/>
      <c r="B231" s="119" t="s">
        <v>230</v>
      </c>
      <c r="C231" s="121">
        <v>0</v>
      </c>
      <c r="D231" s="121">
        <v>420000</v>
      </c>
      <c r="E231" s="121">
        <v>420000</v>
      </c>
      <c r="F231" s="208">
        <v>0</v>
      </c>
      <c r="G231" s="114">
        <v>250000</v>
      </c>
      <c r="H231" s="88"/>
    </row>
    <row r="232" spans="1:14" s="2" customFormat="1" ht="12.75" hidden="1" customHeight="1" x14ac:dyDescent="0.2">
      <c r="A232" s="155"/>
      <c r="B232" s="119" t="s">
        <v>231</v>
      </c>
      <c r="C232" s="121">
        <v>0</v>
      </c>
      <c r="D232" s="121">
        <v>0</v>
      </c>
      <c r="E232" s="121">
        <v>0</v>
      </c>
      <c r="F232" s="208">
        <v>0</v>
      </c>
      <c r="G232" s="114">
        <v>200000</v>
      </c>
      <c r="H232" s="88"/>
    </row>
    <row r="233" spans="1:14" s="2" customFormat="1" ht="12.75" hidden="1" customHeight="1" x14ac:dyDescent="0.2">
      <c r="A233" s="155"/>
      <c r="B233" s="119" t="s">
        <v>232</v>
      </c>
      <c r="C233" s="121">
        <v>0</v>
      </c>
      <c r="D233" s="121">
        <v>215516.54</v>
      </c>
      <c r="E233" s="121">
        <v>215516.54</v>
      </c>
      <c r="F233" s="208">
        <v>0</v>
      </c>
      <c r="G233" s="114"/>
      <c r="H233" s="88"/>
    </row>
    <row r="234" spans="1:14" s="2" customFormat="1" ht="12.75" hidden="1" customHeight="1" x14ac:dyDescent="0.2">
      <c r="A234" s="155"/>
      <c r="B234" s="119" t="s">
        <v>233</v>
      </c>
      <c r="C234" s="121">
        <v>0</v>
      </c>
      <c r="D234" s="121">
        <v>383140.52</v>
      </c>
      <c r="E234" s="121">
        <v>383140.52</v>
      </c>
      <c r="F234" s="208">
        <v>0</v>
      </c>
      <c r="G234" s="114"/>
      <c r="H234" s="88"/>
    </row>
    <row r="235" spans="1:14" s="98" customFormat="1" ht="12.75" hidden="1" customHeight="1" x14ac:dyDescent="0.2">
      <c r="A235" s="107">
        <v>4216</v>
      </c>
      <c r="B235" s="209" t="s">
        <v>234</v>
      </c>
      <c r="C235" s="210">
        <f>SUM(C238:C244)</f>
        <v>0</v>
      </c>
      <c r="D235" s="210">
        <f>SUM(D238:D245)</f>
        <v>32060081.009999998</v>
      </c>
      <c r="E235" s="210">
        <f>SUM(E238:E245)</f>
        <v>32060081.009999998</v>
      </c>
      <c r="F235" s="211">
        <f>SUM(F238:F245)</f>
        <v>32060081.009999998</v>
      </c>
      <c r="G235" s="210">
        <f>SUM(G236:G245)</f>
        <v>11598412.65</v>
      </c>
      <c r="H235" s="88"/>
      <c r="N235" s="150"/>
    </row>
    <row r="236" spans="1:14" s="98" customFormat="1" ht="12.75" hidden="1" customHeight="1" x14ac:dyDescent="0.2">
      <c r="A236" s="202"/>
      <c r="B236" s="199" t="s">
        <v>235</v>
      </c>
      <c r="C236" s="212">
        <v>0</v>
      </c>
      <c r="D236" s="212">
        <v>0</v>
      </c>
      <c r="E236" s="113">
        <v>0</v>
      </c>
      <c r="F236" s="178">
        <v>0</v>
      </c>
      <c r="G236" s="114">
        <v>5992790.4299999997</v>
      </c>
      <c r="H236" s="88"/>
      <c r="N236" s="150"/>
    </row>
    <row r="237" spans="1:14" s="98" customFormat="1" ht="12.75" hidden="1" customHeight="1" x14ac:dyDescent="0.2">
      <c r="A237" s="202"/>
      <c r="B237" s="199" t="s">
        <v>236</v>
      </c>
      <c r="C237" s="212">
        <v>0</v>
      </c>
      <c r="D237" s="212">
        <v>0</v>
      </c>
      <c r="E237" s="113">
        <v>0</v>
      </c>
      <c r="F237" s="178">
        <v>0</v>
      </c>
      <c r="G237" s="114">
        <v>3605622.22</v>
      </c>
      <c r="H237" s="88"/>
      <c r="N237" s="150"/>
    </row>
    <row r="238" spans="1:14" s="98" customFormat="1" ht="12.75" hidden="1" customHeight="1" x14ac:dyDescent="0.2">
      <c r="A238" s="202"/>
      <c r="B238" s="199" t="s">
        <v>237</v>
      </c>
      <c r="C238" s="203">
        <v>0</v>
      </c>
      <c r="D238" s="203"/>
      <c r="E238" s="160"/>
      <c r="F238" s="178"/>
      <c r="G238" s="114"/>
      <c r="H238" s="88"/>
      <c r="N238" s="150"/>
    </row>
    <row r="239" spans="1:14" s="98" customFormat="1" ht="12.75" hidden="1" customHeight="1" x14ac:dyDescent="0.2">
      <c r="A239" s="202"/>
      <c r="B239" s="112" t="s">
        <v>238</v>
      </c>
      <c r="C239" s="203">
        <v>0</v>
      </c>
      <c r="D239" s="203">
        <v>192679.67</v>
      </c>
      <c r="E239" s="203">
        <v>192679.67</v>
      </c>
      <c r="F239" s="204">
        <v>192679.67</v>
      </c>
      <c r="G239" s="114"/>
      <c r="H239" s="88"/>
      <c r="N239" s="150"/>
    </row>
    <row r="240" spans="1:14" s="98" customFormat="1" ht="12.75" hidden="1" customHeight="1" x14ac:dyDescent="0.2">
      <c r="A240" s="202"/>
      <c r="B240" s="112" t="s">
        <v>239</v>
      </c>
      <c r="C240" s="203">
        <v>0</v>
      </c>
      <c r="D240" s="203">
        <v>6386647.3399999999</v>
      </c>
      <c r="E240" s="203">
        <v>6386647.3399999999</v>
      </c>
      <c r="F240" s="204">
        <v>6386647.3399999999</v>
      </c>
      <c r="G240" s="114"/>
      <c r="H240" s="88"/>
      <c r="N240" s="150"/>
    </row>
    <row r="241" spans="1:14" ht="12.75" hidden="1" customHeight="1" x14ac:dyDescent="0.2">
      <c r="A241" s="112"/>
      <c r="B241" s="112" t="s">
        <v>240</v>
      </c>
      <c r="C241" s="160">
        <v>0</v>
      </c>
      <c r="D241" s="160">
        <v>5887.5</v>
      </c>
      <c r="E241" s="160">
        <v>5887.5</v>
      </c>
      <c r="F241" s="178">
        <v>5887.5</v>
      </c>
      <c r="G241" s="114"/>
      <c r="H241" s="88"/>
      <c r="N241" s="150"/>
    </row>
    <row r="242" spans="1:14" ht="12.75" hidden="1" customHeight="1" x14ac:dyDescent="0.2">
      <c r="A242" s="112"/>
      <c r="B242" s="112" t="s">
        <v>241</v>
      </c>
      <c r="C242" s="160">
        <v>0</v>
      </c>
      <c r="D242" s="160">
        <v>100087.5</v>
      </c>
      <c r="E242" s="160">
        <v>100087.5</v>
      </c>
      <c r="F242" s="178">
        <v>100087.5</v>
      </c>
      <c r="G242" s="114"/>
      <c r="H242" s="88"/>
      <c r="N242" s="150"/>
    </row>
    <row r="243" spans="1:14" s="98" customFormat="1" ht="12.75" hidden="1" customHeight="1" x14ac:dyDescent="0.2">
      <c r="A243" s="183"/>
      <c r="B243" s="213" t="s">
        <v>242</v>
      </c>
      <c r="C243" s="214">
        <v>0</v>
      </c>
      <c r="D243" s="214">
        <v>0</v>
      </c>
      <c r="E243" s="214">
        <v>0</v>
      </c>
      <c r="F243" s="215">
        <v>0</v>
      </c>
      <c r="G243" s="179">
        <v>2000000</v>
      </c>
    </row>
    <row r="244" spans="1:14" ht="12.75" hidden="1" customHeight="1" x14ac:dyDescent="0.2">
      <c r="A244" s="112"/>
      <c r="B244" s="111" t="s">
        <v>243</v>
      </c>
      <c r="C244" s="160">
        <v>0</v>
      </c>
      <c r="D244" s="160">
        <v>25326779</v>
      </c>
      <c r="E244" s="160">
        <v>25326779</v>
      </c>
      <c r="F244" s="205">
        <v>25326779</v>
      </c>
      <c r="G244" s="114"/>
      <c r="H244" s="88"/>
      <c r="N244" s="150"/>
    </row>
    <row r="245" spans="1:14" ht="12.75" hidden="1" customHeight="1" x14ac:dyDescent="0.2">
      <c r="A245" s="112"/>
      <c r="B245" s="111" t="s">
        <v>244</v>
      </c>
      <c r="C245" s="160">
        <v>0</v>
      </c>
      <c r="D245" s="160">
        <v>48000</v>
      </c>
      <c r="E245" s="160">
        <v>48000</v>
      </c>
      <c r="F245" s="205">
        <v>48000</v>
      </c>
      <c r="G245" s="114"/>
      <c r="H245" s="88"/>
      <c r="N245" s="150"/>
    </row>
    <row r="246" spans="1:14" s="98" customFormat="1" ht="12.75" hidden="1" customHeight="1" x14ac:dyDescent="0.2">
      <c r="A246" s="144">
        <v>4222</v>
      </c>
      <c r="B246" s="182" t="s">
        <v>245</v>
      </c>
      <c r="C246" s="216">
        <f>SUM(C247:C250)</f>
        <v>3200000</v>
      </c>
      <c r="D246" s="216">
        <f>SUM(D247:D250)</f>
        <v>3614100</v>
      </c>
      <c r="E246" s="216">
        <f>SUM(E247:E250)</f>
        <v>414100</v>
      </c>
      <c r="F246" s="217">
        <f>SUM(F247:F250)</f>
        <v>297050</v>
      </c>
      <c r="G246" s="216">
        <f>SUM(G247:G250)</f>
        <v>9260000</v>
      </c>
      <c r="H246" s="32"/>
    </row>
    <row r="247" spans="1:14" s="2" customFormat="1" ht="12.75" hidden="1" customHeight="1" x14ac:dyDescent="0.2">
      <c r="A247" s="218"/>
      <c r="B247" s="219" t="s">
        <v>246</v>
      </c>
      <c r="C247" s="220">
        <v>3200000</v>
      </c>
      <c r="D247" s="220">
        <v>3200000</v>
      </c>
      <c r="E247" s="113"/>
      <c r="F247" s="178">
        <v>0</v>
      </c>
      <c r="G247" s="114">
        <v>3700000</v>
      </c>
      <c r="H247" s="32"/>
    </row>
    <row r="248" spans="1:14" s="98" customFormat="1" ht="12.75" hidden="1" customHeight="1" x14ac:dyDescent="0.2">
      <c r="A248" s="202"/>
      <c r="B248" s="199" t="s">
        <v>247</v>
      </c>
      <c r="C248" s="203">
        <v>0</v>
      </c>
      <c r="D248" s="203">
        <v>114100</v>
      </c>
      <c r="E248" s="160">
        <v>114100</v>
      </c>
      <c r="F248" s="178">
        <v>57050</v>
      </c>
      <c r="G248" s="114">
        <v>0</v>
      </c>
      <c r="H248" s="88"/>
      <c r="N248" s="150"/>
    </row>
    <row r="249" spans="1:14" s="98" customFormat="1" ht="12.75" hidden="1" customHeight="1" x14ac:dyDescent="0.2">
      <c r="A249" s="202"/>
      <c r="B249" s="199" t="s">
        <v>248</v>
      </c>
      <c r="C249" s="203">
        <v>0</v>
      </c>
      <c r="D249" s="203">
        <v>0</v>
      </c>
      <c r="E249" s="160">
        <v>0</v>
      </c>
      <c r="F249" s="178">
        <v>0</v>
      </c>
      <c r="G249" s="114">
        <v>5500000</v>
      </c>
      <c r="H249" s="88"/>
      <c r="N249" s="150"/>
    </row>
    <row r="250" spans="1:14" s="2" customFormat="1" ht="12.75" hidden="1" customHeight="1" x14ac:dyDescent="0.2">
      <c r="A250" s="218"/>
      <c r="B250" s="219" t="s">
        <v>249</v>
      </c>
      <c r="C250" s="220">
        <v>0</v>
      </c>
      <c r="D250" s="220">
        <v>300000</v>
      </c>
      <c r="E250" s="113">
        <v>300000</v>
      </c>
      <c r="F250" s="178">
        <v>240000</v>
      </c>
      <c r="G250" s="114">
        <v>60000</v>
      </c>
      <c r="H250" s="32"/>
    </row>
    <row r="251" spans="1:14" s="98" customFormat="1" ht="12.75" hidden="1" customHeight="1" x14ac:dyDescent="0.2">
      <c r="A251" s="221"/>
      <c r="B251" s="222"/>
      <c r="C251" s="163"/>
      <c r="D251" s="163"/>
      <c r="E251" s="223"/>
      <c r="F251" s="224"/>
      <c r="G251" s="223"/>
      <c r="H251" s="32"/>
    </row>
    <row r="252" spans="1:14" s="98" customFormat="1" ht="20.25" hidden="1" x14ac:dyDescent="0.3">
      <c r="A252" s="225"/>
      <c r="B252" s="90" t="s">
        <v>13</v>
      </c>
      <c r="C252" s="226">
        <f>SUM(C53+C87+C177+C198)</f>
        <v>684758000.00349998</v>
      </c>
      <c r="D252" s="226">
        <f>SUM(D53+D87+D177+D198)</f>
        <v>631052499.44350004</v>
      </c>
      <c r="E252" s="226">
        <f>SUM(E53+E87+E177+E198)</f>
        <v>646319550.84350002</v>
      </c>
      <c r="F252" s="226">
        <f>SUM(F53+F87+F177+F198)</f>
        <v>478397673.65999997</v>
      </c>
      <c r="G252" s="226">
        <f>SUM(G53+G87+G177+G198)</f>
        <v>705456679.22349989</v>
      </c>
      <c r="H252" s="32"/>
    </row>
    <row r="253" spans="1:14" s="98" customFormat="1" ht="12.75" hidden="1" customHeight="1" x14ac:dyDescent="0.25">
      <c r="A253" s="227"/>
      <c r="B253" s="228"/>
      <c r="C253" s="188"/>
      <c r="D253" s="188"/>
      <c r="E253" s="229"/>
      <c r="F253" s="230"/>
      <c r="G253" s="231"/>
      <c r="H253" s="32"/>
    </row>
    <row r="254" spans="1:14" s="98" customFormat="1" ht="15.75" hidden="1" x14ac:dyDescent="0.25">
      <c r="A254" s="167"/>
      <c r="B254" s="168" t="s">
        <v>14</v>
      </c>
      <c r="C254" s="232">
        <f>SUM(C255:C259)</f>
        <v>185331265.00000003</v>
      </c>
      <c r="D254" s="232">
        <f>SUM(D255:D259)</f>
        <v>169553420.91000003</v>
      </c>
      <c r="E254" s="232">
        <f>SUM(E255:E259)</f>
        <v>126483312.56</v>
      </c>
      <c r="F254" s="232">
        <f>SUM(F255:F259)</f>
        <v>-56083079.149999999</v>
      </c>
      <c r="G254" s="232">
        <f>SUM(G255:G259)</f>
        <v>180864066.03</v>
      </c>
      <c r="H254" s="32"/>
    </row>
    <row r="255" spans="1:14" ht="24.75" hidden="1" x14ac:dyDescent="0.2">
      <c r="A255" s="138">
        <v>8115</v>
      </c>
      <c r="B255" s="233" t="s">
        <v>250</v>
      </c>
      <c r="C255" s="140">
        <f>65936477.92+70000000</f>
        <v>135936477.92000002</v>
      </c>
      <c r="D255" s="140">
        <f>(65936477.92+70000000)-15777844.09</f>
        <v>120158633.83000001</v>
      </c>
      <c r="E255" s="105">
        <v>79088525.480000004</v>
      </c>
      <c r="F255" s="105">
        <v>-104450283.08</v>
      </c>
      <c r="G255" s="105">
        <f>34176081.95-197003+150200-1160000</f>
        <v>32969278.950000003</v>
      </c>
      <c r="H255" s="32"/>
    </row>
    <row r="256" spans="1:14" hidden="1" x14ac:dyDescent="0.2">
      <c r="A256" s="102">
        <v>8117</v>
      </c>
      <c r="B256" s="234" t="s">
        <v>251</v>
      </c>
      <c r="C256" s="197">
        <v>50000000</v>
      </c>
      <c r="D256" s="197">
        <v>50000000</v>
      </c>
      <c r="E256" s="197">
        <v>0</v>
      </c>
      <c r="F256" s="197">
        <v>50000000</v>
      </c>
      <c r="G256" s="105">
        <v>0</v>
      </c>
      <c r="H256" s="32"/>
    </row>
    <row r="257" spans="1:8" ht="24.75" hidden="1" x14ac:dyDescent="0.2">
      <c r="A257" s="102">
        <v>8123</v>
      </c>
      <c r="B257" s="234" t="s">
        <v>252</v>
      </c>
      <c r="C257" s="197">
        <v>0</v>
      </c>
      <c r="D257" s="197">
        <v>0</v>
      </c>
      <c r="E257" s="197">
        <v>0</v>
      </c>
      <c r="F257" s="197">
        <v>0</v>
      </c>
      <c r="G257" s="105">
        <v>100000000</v>
      </c>
      <c r="H257" s="32"/>
    </row>
    <row r="258" spans="1:8" ht="12.75" hidden="1" customHeight="1" x14ac:dyDescent="0.2">
      <c r="A258" s="102">
        <v>8125</v>
      </c>
      <c r="B258" s="234" t="s">
        <v>253</v>
      </c>
      <c r="C258" s="197">
        <v>0</v>
      </c>
      <c r="D258" s="197">
        <v>0</v>
      </c>
      <c r="E258" s="197">
        <v>50000000</v>
      </c>
      <c r="F258" s="197">
        <v>0</v>
      </c>
      <c r="G258" s="105">
        <v>50000000</v>
      </c>
      <c r="H258" s="32"/>
    </row>
    <row r="259" spans="1:8" s="235" customFormat="1" ht="12.75" hidden="1" customHeight="1" x14ac:dyDescent="0.4">
      <c r="A259" s="141">
        <v>8901</v>
      </c>
      <c r="B259" s="182" t="s">
        <v>254</v>
      </c>
      <c r="C259" s="145">
        <f>SUM(C260:C261)</f>
        <v>-605212.92000000004</v>
      </c>
      <c r="D259" s="145">
        <f>SUM(D260:D261)</f>
        <v>-605212.92000000004</v>
      </c>
      <c r="E259" s="145">
        <f>SUM(E260:E261)</f>
        <v>-2605212.92</v>
      </c>
      <c r="F259" s="145">
        <f>SUM(F260:F261)</f>
        <v>-1632796.07</v>
      </c>
      <c r="G259" s="145">
        <f>SUM(G260:G261)</f>
        <v>-2105212.92</v>
      </c>
      <c r="H259" s="32"/>
    </row>
    <row r="260" spans="1:8" s="236" customFormat="1" ht="12.75" hidden="1" customHeight="1" x14ac:dyDescent="0.35">
      <c r="A260" s="119"/>
      <c r="B260" s="237" t="s">
        <v>255</v>
      </c>
      <c r="C260" s="121">
        <v>-605212.92000000004</v>
      </c>
      <c r="D260" s="121">
        <v>-605212.92000000004</v>
      </c>
      <c r="E260" s="121">
        <v>-605212.92000000004</v>
      </c>
      <c r="F260" s="113">
        <v>-302606.46000000002</v>
      </c>
      <c r="G260" s="121">
        <v>-605212.92000000004</v>
      </c>
      <c r="H260" s="32"/>
    </row>
    <row r="261" spans="1:8" ht="12.75" hidden="1" customHeight="1" x14ac:dyDescent="0.2">
      <c r="A261" s="127"/>
      <c r="B261" s="127" t="s">
        <v>256</v>
      </c>
      <c r="C261" s="179">
        <v>0</v>
      </c>
      <c r="D261" s="179">
        <v>0</v>
      </c>
      <c r="E261" s="121">
        <v>-2000000</v>
      </c>
      <c r="F261" s="121">
        <f>-1632796.07+302606.46</f>
        <v>-1330189.6100000001</v>
      </c>
      <c r="G261" s="114">
        <v>-1500000</v>
      </c>
      <c r="H261" s="32"/>
    </row>
    <row r="262" spans="1:8" ht="12.75" hidden="1" customHeight="1" x14ac:dyDescent="0.2">
      <c r="A262" s="238"/>
      <c r="B262" s="238"/>
      <c r="C262" s="239"/>
      <c r="D262" s="239"/>
      <c r="E262" s="240"/>
      <c r="F262" s="240"/>
      <c r="G262" s="241"/>
      <c r="H262" s="32"/>
    </row>
    <row r="263" spans="1:8" s="85" customFormat="1" ht="24" hidden="1" customHeight="1" x14ac:dyDescent="0.4">
      <c r="A263" s="242"/>
      <c r="B263" s="35" t="s">
        <v>15</v>
      </c>
      <c r="C263" s="243">
        <f>SUM(C252+C254)</f>
        <v>870089265.00349998</v>
      </c>
      <c r="D263" s="243">
        <f>SUM(D252+D254)</f>
        <v>800605920.35350013</v>
      </c>
      <c r="E263" s="243">
        <f>SUM(E252+E254)</f>
        <v>772802863.40350008</v>
      </c>
      <c r="F263" s="243">
        <f>SUM(F252+F254)</f>
        <v>422314594.50999999</v>
      </c>
      <c r="G263" s="243">
        <f>SUM(G252+G254)</f>
        <v>886320745.25349987</v>
      </c>
      <c r="H263" s="32"/>
    </row>
    <row r="264" spans="1:8" s="244" customFormat="1" ht="26.25" hidden="1" x14ac:dyDescent="0.4">
      <c r="A264" s="245"/>
      <c r="B264" s="246"/>
      <c r="C264" s="247"/>
      <c r="D264" s="247"/>
      <c r="E264" s="248"/>
      <c r="F264" s="248"/>
      <c r="G264" s="249"/>
      <c r="H264" s="32"/>
    </row>
    <row r="265" spans="1:8" s="98" customFormat="1" ht="20.25" hidden="1" x14ac:dyDescent="0.3">
      <c r="A265" s="250"/>
      <c r="B265" s="90" t="s">
        <v>257</v>
      </c>
      <c r="C265" s="90"/>
      <c r="D265" s="90"/>
      <c r="E265" s="230"/>
      <c r="F265" s="230"/>
      <c r="G265" s="231"/>
      <c r="H265" s="32"/>
    </row>
    <row r="266" spans="1:8" ht="20.25" hidden="1" x14ac:dyDescent="0.3">
      <c r="A266" s="251"/>
      <c r="B266" s="90" t="s">
        <v>258</v>
      </c>
      <c r="C266" s="91">
        <f>C267+C280+C301+C315</f>
        <v>52448677</v>
      </c>
      <c r="D266" s="91">
        <f>D267+D280+D301+D315</f>
        <v>50917338</v>
      </c>
      <c r="E266" s="91">
        <f>E267+E280+E301+E315</f>
        <v>47778764.609999999</v>
      </c>
      <c r="F266" s="91">
        <f>F267+F280+F301+F315</f>
        <v>26310888.520000003</v>
      </c>
      <c r="G266" s="91">
        <f>G267+G280+G301+G315</f>
        <v>47057788.329999998</v>
      </c>
      <c r="H266" s="32"/>
    </row>
    <row r="267" spans="1:8" ht="15.75" hidden="1" x14ac:dyDescent="0.2">
      <c r="A267" s="252"/>
      <c r="B267" s="252" t="s">
        <v>259</v>
      </c>
      <c r="C267" s="253">
        <f>SUM(C268+C272+C277)</f>
        <v>1895000</v>
      </c>
      <c r="D267" s="253">
        <f>SUM(D268+D272+D277)</f>
        <v>1895000</v>
      </c>
      <c r="E267" s="253">
        <f>SUM(E268+E272+E277)</f>
        <v>1895000</v>
      </c>
      <c r="F267" s="253">
        <f>SUM(F268+F272+F277)</f>
        <v>440288.54000000004</v>
      </c>
      <c r="G267" s="253">
        <f>SUM(G268+G272+G277)</f>
        <v>1985000</v>
      </c>
      <c r="H267" s="32"/>
    </row>
    <row r="268" spans="1:8" hidden="1" x14ac:dyDescent="0.2">
      <c r="A268" s="254">
        <v>2310</v>
      </c>
      <c r="B268" s="254" t="s">
        <v>260</v>
      </c>
      <c r="C268" s="255">
        <f>SUM(C269:C271)</f>
        <v>495000</v>
      </c>
      <c r="D268" s="255">
        <f>SUM(D269:D271)</f>
        <v>495000</v>
      </c>
      <c r="E268" s="255">
        <f>SUM(E269:E271)</f>
        <v>495000</v>
      </c>
      <c r="F268" s="255">
        <f>SUM(F269:F271)</f>
        <v>71678</v>
      </c>
      <c r="G268" s="140">
        <f>SUM(G269:G271)</f>
        <v>265000</v>
      </c>
      <c r="H268" s="32"/>
    </row>
    <row r="269" spans="1:8" hidden="1" x14ac:dyDescent="0.2">
      <c r="A269" s="256" t="s">
        <v>261</v>
      </c>
      <c r="B269" s="128" t="s">
        <v>262</v>
      </c>
      <c r="C269" s="121">
        <v>15000</v>
      </c>
      <c r="D269" s="121">
        <v>15000</v>
      </c>
      <c r="E269" s="113">
        <v>15000</v>
      </c>
      <c r="F269" s="113">
        <v>0</v>
      </c>
      <c r="G269" s="114">
        <v>15000</v>
      </c>
      <c r="H269" s="32"/>
    </row>
    <row r="270" spans="1:8" hidden="1" x14ac:dyDescent="0.2">
      <c r="A270" s="256" t="s">
        <v>263</v>
      </c>
      <c r="B270" s="128" t="s">
        <v>264</v>
      </c>
      <c r="C270" s="257">
        <f>350000+30000</f>
        <v>380000</v>
      </c>
      <c r="D270" s="257">
        <v>380000</v>
      </c>
      <c r="E270" s="113">
        <v>380000</v>
      </c>
      <c r="F270" s="113">
        <v>0</v>
      </c>
      <c r="G270" s="114">
        <v>150000</v>
      </c>
      <c r="H270" s="32"/>
    </row>
    <row r="271" spans="1:8" hidden="1" x14ac:dyDescent="0.2">
      <c r="A271" s="256" t="s">
        <v>265</v>
      </c>
      <c r="B271" s="128" t="s">
        <v>266</v>
      </c>
      <c r="C271" s="121">
        <v>100000</v>
      </c>
      <c r="D271" s="121">
        <v>100000</v>
      </c>
      <c r="E271" s="114">
        <v>100000</v>
      </c>
      <c r="F271" s="114">
        <v>71678</v>
      </c>
      <c r="G271" s="114">
        <v>100000</v>
      </c>
      <c r="H271" s="88"/>
    </row>
    <row r="272" spans="1:8" hidden="1" x14ac:dyDescent="0.2">
      <c r="A272" s="144">
        <v>2321</v>
      </c>
      <c r="B272" s="144" t="s">
        <v>267</v>
      </c>
      <c r="C272" s="145">
        <f>SUM(C273+C274+C275+C276)</f>
        <v>1400000</v>
      </c>
      <c r="D272" s="145">
        <f>SUM(D273:D276)</f>
        <v>1400000</v>
      </c>
      <c r="E272" s="145">
        <f>SUM(E273:E276)</f>
        <v>1400000</v>
      </c>
      <c r="F272" s="145">
        <f>SUM(F273:F276)</f>
        <v>368610.54000000004</v>
      </c>
      <c r="G272" s="145">
        <f>SUM(G273:G276)</f>
        <v>1470000</v>
      </c>
      <c r="H272" s="32"/>
    </row>
    <row r="273" spans="1:8" hidden="1" x14ac:dyDescent="0.2">
      <c r="A273" s="256" t="s">
        <v>268</v>
      </c>
      <c r="B273" s="128" t="s">
        <v>269</v>
      </c>
      <c r="C273" s="121">
        <v>170000</v>
      </c>
      <c r="D273" s="121">
        <v>170000</v>
      </c>
      <c r="E273" s="113">
        <v>170000</v>
      </c>
      <c r="F273" s="113">
        <v>89294.34</v>
      </c>
      <c r="G273" s="114">
        <v>170000</v>
      </c>
      <c r="H273" s="88"/>
    </row>
    <row r="274" spans="1:8" hidden="1" x14ac:dyDescent="0.2">
      <c r="A274" s="256" t="s">
        <v>270</v>
      </c>
      <c r="B274" s="128" t="s">
        <v>271</v>
      </c>
      <c r="C274" s="121">
        <f>330000+100000</f>
        <v>430000</v>
      </c>
      <c r="D274" s="121">
        <v>730000</v>
      </c>
      <c r="E274" s="121">
        <v>730000</v>
      </c>
      <c r="F274" s="121">
        <v>188262.2</v>
      </c>
      <c r="G274" s="114">
        <v>500000</v>
      </c>
      <c r="H274" s="88"/>
    </row>
    <row r="275" spans="1:8" hidden="1" x14ac:dyDescent="0.2">
      <c r="A275" s="256" t="s">
        <v>272</v>
      </c>
      <c r="B275" s="128" t="s">
        <v>273</v>
      </c>
      <c r="C275" s="121">
        <v>500000</v>
      </c>
      <c r="D275" s="121">
        <v>200000</v>
      </c>
      <c r="E275" s="121">
        <v>200000</v>
      </c>
      <c r="F275" s="121">
        <v>91054</v>
      </c>
      <c r="G275" s="114">
        <v>500000</v>
      </c>
      <c r="H275" s="88"/>
    </row>
    <row r="276" spans="1:8" s="2" customFormat="1" ht="24.75" hidden="1" x14ac:dyDescent="0.2">
      <c r="A276" s="256" t="s">
        <v>272</v>
      </c>
      <c r="B276" s="120" t="s">
        <v>274</v>
      </c>
      <c r="C276" s="121">
        <v>300000</v>
      </c>
      <c r="D276" s="121">
        <v>300000</v>
      </c>
      <c r="E276" s="113">
        <v>300000</v>
      </c>
      <c r="F276" s="113">
        <v>0</v>
      </c>
      <c r="G276" s="114">
        <v>300000</v>
      </c>
      <c r="H276" s="32"/>
    </row>
    <row r="277" spans="1:8" hidden="1" x14ac:dyDescent="0.2">
      <c r="A277" s="144">
        <v>2333</v>
      </c>
      <c r="B277" s="144" t="s">
        <v>275</v>
      </c>
      <c r="C277" s="145">
        <f>SUM(C278:C279)</f>
        <v>0</v>
      </c>
      <c r="D277" s="145">
        <f>SUM(D278:D279)</f>
        <v>0</v>
      </c>
      <c r="E277" s="145">
        <f>SUM(E278:E279)</f>
        <v>0</v>
      </c>
      <c r="F277" s="145">
        <f>SUM(F278:F279)</f>
        <v>0</v>
      </c>
      <c r="G277" s="145">
        <f>SUM(G278:G279)</f>
        <v>250000</v>
      </c>
      <c r="H277" s="32"/>
    </row>
    <row r="278" spans="1:8" hidden="1" x14ac:dyDescent="0.2">
      <c r="A278" s="256" t="s">
        <v>276</v>
      </c>
      <c r="B278" s="128" t="s">
        <v>277</v>
      </c>
      <c r="C278" s="121">
        <v>0</v>
      </c>
      <c r="D278" s="121">
        <v>0</v>
      </c>
      <c r="E278" s="113">
        <v>0</v>
      </c>
      <c r="F278" s="113">
        <v>0</v>
      </c>
      <c r="G278" s="114">
        <v>100000</v>
      </c>
      <c r="H278" s="88"/>
    </row>
    <row r="279" spans="1:8" hidden="1" x14ac:dyDescent="0.2">
      <c r="A279" s="256" t="s">
        <v>278</v>
      </c>
      <c r="B279" s="128" t="s">
        <v>273</v>
      </c>
      <c r="C279" s="121">
        <v>0</v>
      </c>
      <c r="D279" s="121">
        <v>0</v>
      </c>
      <c r="E279" s="121">
        <v>0</v>
      </c>
      <c r="F279" s="121">
        <v>0</v>
      </c>
      <c r="G279" s="114">
        <v>150000</v>
      </c>
      <c r="H279" s="88"/>
    </row>
    <row r="280" spans="1:8" s="98" customFormat="1" ht="15.75" hidden="1" x14ac:dyDescent="0.25">
      <c r="A280" s="168"/>
      <c r="B280" s="168" t="s">
        <v>279</v>
      </c>
      <c r="C280" s="253">
        <f>SUM(C281+C293+C298)</f>
        <v>28251000</v>
      </c>
      <c r="D280" s="253">
        <f>SUM(D281+D293+D298)</f>
        <v>26869575</v>
      </c>
      <c r="E280" s="253">
        <f>SUM(E281+E293+E298)</f>
        <v>24033615</v>
      </c>
      <c r="F280" s="253">
        <f>SUM(F281+F293+F298)</f>
        <v>14287648.27</v>
      </c>
      <c r="G280" s="253">
        <f>SUM(G281+G293+G298)</f>
        <v>27050000</v>
      </c>
      <c r="H280" s="88"/>
    </row>
    <row r="281" spans="1:8" s="98" customFormat="1" hidden="1" x14ac:dyDescent="0.2">
      <c r="A281" s="258">
        <v>2212</v>
      </c>
      <c r="B281" s="259" t="s">
        <v>280</v>
      </c>
      <c r="C281" s="140">
        <f>SUM(C282,C286:C292)</f>
        <v>27881000</v>
      </c>
      <c r="D281" s="140">
        <f>SUM(D282,D286:D292)</f>
        <v>26496875</v>
      </c>
      <c r="E281" s="140">
        <f>SUM(E282,E286:E292)</f>
        <v>23660915</v>
      </c>
      <c r="F281" s="140">
        <f>SUM(F282,F286:F292)</f>
        <v>14197571.84</v>
      </c>
      <c r="G281" s="140">
        <f>SUM(G282,G286:G292)</f>
        <v>26600000</v>
      </c>
      <c r="H281" s="88"/>
    </row>
    <row r="282" spans="1:8" s="2" customFormat="1" hidden="1" x14ac:dyDescent="0.2">
      <c r="A282" s="155"/>
      <c r="B282" s="260" t="s">
        <v>281</v>
      </c>
      <c r="C282" s="121">
        <f>SUM(C283:C285)</f>
        <v>5025000</v>
      </c>
      <c r="D282" s="121">
        <f>SUM(D283:D285)</f>
        <v>5025000</v>
      </c>
      <c r="E282" s="121">
        <v>2200000</v>
      </c>
      <c r="F282" s="121">
        <f>SUM(F283:F285)</f>
        <v>0</v>
      </c>
      <c r="G282" s="121">
        <f>SUM(G283:G285)</f>
        <v>2400000</v>
      </c>
      <c r="H282" s="88"/>
    </row>
    <row r="283" spans="1:8" s="98" customFormat="1" hidden="1" x14ac:dyDescent="0.2">
      <c r="A283" s="256" t="s">
        <v>282</v>
      </c>
      <c r="B283" s="261" t="s">
        <v>283</v>
      </c>
      <c r="C283" s="121">
        <v>2500000</v>
      </c>
      <c r="D283" s="121">
        <v>2500000</v>
      </c>
      <c r="E283" s="160">
        <v>0</v>
      </c>
      <c r="F283" s="113">
        <v>0</v>
      </c>
      <c r="G283" s="114">
        <v>2200000</v>
      </c>
      <c r="H283" s="88"/>
    </row>
    <row r="284" spans="1:8" s="98" customFormat="1" hidden="1" x14ac:dyDescent="0.2">
      <c r="A284" s="256" t="s">
        <v>282</v>
      </c>
      <c r="B284" s="261" t="s">
        <v>284</v>
      </c>
      <c r="C284" s="121">
        <v>2525000</v>
      </c>
      <c r="D284" s="121">
        <v>2525000</v>
      </c>
      <c r="E284" s="160">
        <v>2525000</v>
      </c>
      <c r="F284" s="113">
        <v>0</v>
      </c>
      <c r="G284" s="114">
        <v>0</v>
      </c>
      <c r="H284" s="88"/>
    </row>
    <row r="285" spans="1:8" s="98" customFormat="1" hidden="1" x14ac:dyDescent="0.2">
      <c r="A285" s="256" t="s">
        <v>282</v>
      </c>
      <c r="B285" s="261" t="s">
        <v>285</v>
      </c>
      <c r="C285" s="123">
        <v>0</v>
      </c>
      <c r="D285" s="123">
        <v>0</v>
      </c>
      <c r="E285" s="160">
        <v>0</v>
      </c>
      <c r="F285" s="113">
        <v>0</v>
      </c>
      <c r="G285" s="114">
        <v>200000</v>
      </c>
      <c r="H285" s="88"/>
    </row>
    <row r="286" spans="1:8" s="98" customFormat="1" hidden="1" x14ac:dyDescent="0.2">
      <c r="A286" s="256" t="s">
        <v>286</v>
      </c>
      <c r="B286" s="127" t="s">
        <v>287</v>
      </c>
      <c r="C286" s="123">
        <v>2700000</v>
      </c>
      <c r="D286" s="123">
        <v>2711375</v>
      </c>
      <c r="E286" s="160">
        <v>2711375</v>
      </c>
      <c r="F286" s="113">
        <v>2036375</v>
      </c>
      <c r="G286" s="114">
        <v>3500000</v>
      </c>
      <c r="H286" s="88"/>
    </row>
    <row r="287" spans="1:8" s="98" customFormat="1" hidden="1" x14ac:dyDescent="0.2">
      <c r="A287" s="256" t="s">
        <v>286</v>
      </c>
      <c r="B287" s="127" t="s">
        <v>288</v>
      </c>
      <c r="C287" s="200">
        <v>17616000</v>
      </c>
      <c r="D287" s="200">
        <v>17720500</v>
      </c>
      <c r="E287" s="160">
        <v>17720500</v>
      </c>
      <c r="F287" s="113">
        <v>11848500</v>
      </c>
      <c r="G287" s="114">
        <v>18200000</v>
      </c>
      <c r="H287" s="88"/>
    </row>
    <row r="288" spans="1:8" s="98" customFormat="1" hidden="1" x14ac:dyDescent="0.2">
      <c r="A288" s="256" t="s">
        <v>289</v>
      </c>
      <c r="B288" s="127" t="s">
        <v>290</v>
      </c>
      <c r="C288" s="200">
        <v>0</v>
      </c>
      <c r="D288" s="200">
        <v>29040</v>
      </c>
      <c r="E288" s="160">
        <v>29040</v>
      </c>
      <c r="F288" s="113">
        <v>29040</v>
      </c>
      <c r="G288" s="114">
        <v>0</v>
      </c>
      <c r="H288" s="88"/>
    </row>
    <row r="289" spans="1:8" s="98" customFormat="1" hidden="1" x14ac:dyDescent="0.2">
      <c r="A289" s="256" t="s">
        <v>291</v>
      </c>
      <c r="B289" s="127" t="s">
        <v>292</v>
      </c>
      <c r="C289" s="121">
        <v>500000</v>
      </c>
      <c r="D289" s="121">
        <v>500000</v>
      </c>
      <c r="E289" s="179">
        <v>500000</v>
      </c>
      <c r="F289" s="121">
        <v>188197.84</v>
      </c>
      <c r="G289" s="114">
        <v>500000</v>
      </c>
      <c r="H289" s="88"/>
    </row>
    <row r="290" spans="1:8" s="98" customFormat="1" hidden="1" x14ac:dyDescent="0.2">
      <c r="A290" s="256" t="s">
        <v>293</v>
      </c>
      <c r="B290" s="127" t="s">
        <v>294</v>
      </c>
      <c r="C290" s="121">
        <v>500000</v>
      </c>
      <c r="D290" s="121">
        <v>470960</v>
      </c>
      <c r="E290" s="179">
        <v>500000</v>
      </c>
      <c r="F290" s="121">
        <v>95459</v>
      </c>
      <c r="G290" s="114">
        <v>500000</v>
      </c>
      <c r="H290" s="88"/>
    </row>
    <row r="291" spans="1:8" s="98" customFormat="1" hidden="1" x14ac:dyDescent="0.2">
      <c r="A291" s="256" t="s">
        <v>293</v>
      </c>
      <c r="B291" s="127" t="s">
        <v>295</v>
      </c>
      <c r="C291" s="121">
        <v>1500000</v>
      </c>
      <c r="D291" s="121">
        <v>0</v>
      </c>
      <c r="E291" s="179">
        <v>0</v>
      </c>
      <c r="F291" s="121">
        <v>0</v>
      </c>
      <c r="G291" s="114">
        <v>1500000</v>
      </c>
      <c r="H291" s="88"/>
    </row>
    <row r="292" spans="1:8" s="98" customFormat="1" hidden="1" x14ac:dyDescent="0.2">
      <c r="A292" s="256" t="s">
        <v>296</v>
      </c>
      <c r="B292" s="127" t="s">
        <v>297</v>
      </c>
      <c r="C292" s="121">
        <v>40000</v>
      </c>
      <c r="D292" s="121">
        <v>40000</v>
      </c>
      <c r="E292" s="179">
        <v>0</v>
      </c>
      <c r="F292" s="121">
        <v>0</v>
      </c>
      <c r="G292" s="114">
        <v>0</v>
      </c>
      <c r="H292" s="88"/>
    </row>
    <row r="293" spans="1:8" s="98" customFormat="1" hidden="1" x14ac:dyDescent="0.2">
      <c r="A293" s="144">
        <v>2219</v>
      </c>
      <c r="B293" s="262" t="s">
        <v>298</v>
      </c>
      <c r="C293" s="145">
        <f>SUM(C294:C297)</f>
        <v>220000</v>
      </c>
      <c r="D293" s="145">
        <f>SUM(D294:D297)</f>
        <v>222700</v>
      </c>
      <c r="E293" s="145">
        <f>SUM(E294:E297)</f>
        <v>222700</v>
      </c>
      <c r="F293" s="145">
        <f>SUM(F294:F297)</f>
        <v>66091.81</v>
      </c>
      <c r="G293" s="145">
        <f>SUM(G294:G297)</f>
        <v>300000</v>
      </c>
      <c r="H293" s="88"/>
    </row>
    <row r="294" spans="1:8" s="98" customFormat="1" hidden="1" x14ac:dyDescent="0.2">
      <c r="A294" s="256" t="s">
        <v>299</v>
      </c>
      <c r="B294" s="127" t="s">
        <v>300</v>
      </c>
      <c r="C294" s="121">
        <v>0</v>
      </c>
      <c r="D294" s="121">
        <v>0</v>
      </c>
      <c r="E294" s="160">
        <v>0</v>
      </c>
      <c r="F294" s="113">
        <v>0</v>
      </c>
      <c r="G294" s="114">
        <v>100000</v>
      </c>
      <c r="H294" s="88"/>
    </row>
    <row r="295" spans="1:8" s="98" customFormat="1" hidden="1" x14ac:dyDescent="0.2">
      <c r="A295" s="256" t="s">
        <v>301</v>
      </c>
      <c r="B295" s="127" t="s">
        <v>302</v>
      </c>
      <c r="C295" s="123">
        <v>200000</v>
      </c>
      <c r="D295" s="123">
        <v>200000</v>
      </c>
      <c r="E295" s="160">
        <v>200000</v>
      </c>
      <c r="F295" s="113">
        <v>63391.81</v>
      </c>
      <c r="G295" s="114">
        <v>200000</v>
      </c>
      <c r="H295" s="88"/>
    </row>
    <row r="296" spans="1:8" s="98" customFormat="1" hidden="1" x14ac:dyDescent="0.2">
      <c r="A296" s="256" t="s">
        <v>303</v>
      </c>
      <c r="B296" s="127" t="s">
        <v>304</v>
      </c>
      <c r="C296" s="123">
        <v>20000</v>
      </c>
      <c r="D296" s="123">
        <v>20000</v>
      </c>
      <c r="E296" s="160">
        <v>20000</v>
      </c>
      <c r="F296" s="113">
        <v>0</v>
      </c>
      <c r="G296" s="114">
        <v>0</v>
      </c>
      <c r="H296" s="88"/>
    </row>
    <row r="297" spans="1:8" s="98" customFormat="1" hidden="1" x14ac:dyDescent="0.2">
      <c r="A297" s="256" t="s">
        <v>305</v>
      </c>
      <c r="B297" s="127" t="s">
        <v>306</v>
      </c>
      <c r="C297" s="123">
        <v>0</v>
      </c>
      <c r="D297" s="123">
        <v>2700</v>
      </c>
      <c r="E297" s="160">
        <v>2700</v>
      </c>
      <c r="F297" s="113">
        <v>2700</v>
      </c>
      <c r="G297" s="114">
        <v>0</v>
      </c>
      <c r="H297" s="88"/>
    </row>
    <row r="298" spans="1:8" hidden="1" x14ac:dyDescent="0.2">
      <c r="A298" s="144">
        <v>2221</v>
      </c>
      <c r="B298" s="141" t="s">
        <v>307</v>
      </c>
      <c r="C298" s="197">
        <f>SUM(C299:C300)</f>
        <v>150000</v>
      </c>
      <c r="D298" s="197">
        <f>SUM(D299:D300)</f>
        <v>150000</v>
      </c>
      <c r="E298" s="197">
        <f>SUM(E299:E300)</f>
        <v>150000</v>
      </c>
      <c r="F298" s="197">
        <f>SUM(F299:F300)</f>
        <v>23984.62</v>
      </c>
      <c r="G298" s="197">
        <f>SUM(G299:G300)</f>
        <v>150000</v>
      </c>
      <c r="H298" s="88"/>
    </row>
    <row r="299" spans="1:8" hidden="1" x14ac:dyDescent="0.2">
      <c r="A299" s="256" t="s">
        <v>308</v>
      </c>
      <c r="B299" s="119" t="s">
        <v>309</v>
      </c>
      <c r="C299" s="121">
        <v>60000</v>
      </c>
      <c r="D299" s="121">
        <v>60000</v>
      </c>
      <c r="E299" s="121">
        <v>60000</v>
      </c>
      <c r="F299" s="113">
        <v>0</v>
      </c>
      <c r="G299" s="114">
        <v>60000</v>
      </c>
      <c r="H299" s="88"/>
    </row>
    <row r="300" spans="1:8" hidden="1" x14ac:dyDescent="0.2">
      <c r="A300" s="263" t="s">
        <v>310</v>
      </c>
      <c r="B300" s="264" t="s">
        <v>311</v>
      </c>
      <c r="C300" s="265">
        <v>90000</v>
      </c>
      <c r="D300" s="265">
        <v>90000</v>
      </c>
      <c r="E300" s="265">
        <v>90000</v>
      </c>
      <c r="F300" s="266">
        <v>23984.62</v>
      </c>
      <c r="G300" s="114">
        <v>90000</v>
      </c>
      <c r="H300" s="32"/>
    </row>
    <row r="301" spans="1:8" ht="15.75" hidden="1" x14ac:dyDescent="0.25">
      <c r="A301" s="168"/>
      <c r="B301" s="168" t="s">
        <v>312</v>
      </c>
      <c r="C301" s="169">
        <f>C302</f>
        <v>6934000</v>
      </c>
      <c r="D301" s="169">
        <f>D302</f>
        <v>6934000</v>
      </c>
      <c r="E301" s="169">
        <f>E302</f>
        <v>6639123.5999999996</v>
      </c>
      <c r="F301" s="169">
        <f>F302</f>
        <v>3111784.6</v>
      </c>
      <c r="G301" s="169">
        <f>G302</f>
        <v>2334000</v>
      </c>
      <c r="H301" s="88"/>
    </row>
    <row r="302" spans="1:8" hidden="1" x14ac:dyDescent="0.2">
      <c r="A302" s="254">
        <v>3639</v>
      </c>
      <c r="B302" s="254" t="s">
        <v>313</v>
      </c>
      <c r="C302" s="140">
        <f>SUM(C303:C314)</f>
        <v>6934000</v>
      </c>
      <c r="D302" s="140">
        <f>SUM(D303:D314)</f>
        <v>6934000</v>
      </c>
      <c r="E302" s="140">
        <f>SUM(E303:E314)</f>
        <v>6639123.5999999996</v>
      </c>
      <c r="F302" s="140">
        <f>SUM(F303:F314)</f>
        <v>3111784.6</v>
      </c>
      <c r="G302" s="140">
        <f>SUM(G303:G314)</f>
        <v>2334000</v>
      </c>
      <c r="H302" s="88"/>
    </row>
    <row r="303" spans="1:8" hidden="1" x14ac:dyDescent="0.2">
      <c r="A303" s="256" t="s">
        <v>314</v>
      </c>
      <c r="B303" s="155" t="s">
        <v>315</v>
      </c>
      <c r="C303" s="121">
        <v>6200000</v>
      </c>
      <c r="D303" s="121">
        <v>6200000</v>
      </c>
      <c r="E303" s="160">
        <v>5700000</v>
      </c>
      <c r="F303" s="113">
        <v>2900000</v>
      </c>
      <c r="G303" s="267">
        <v>1600000</v>
      </c>
      <c r="H303" s="88"/>
    </row>
    <row r="304" spans="1:8" hidden="1" x14ac:dyDescent="0.2">
      <c r="A304" s="256" t="s">
        <v>316</v>
      </c>
      <c r="B304" s="128" t="s">
        <v>317</v>
      </c>
      <c r="C304" s="121">
        <v>150000</v>
      </c>
      <c r="D304" s="121">
        <v>150000</v>
      </c>
      <c r="E304" s="203">
        <v>150000</v>
      </c>
      <c r="F304" s="113">
        <v>3206.5</v>
      </c>
      <c r="G304" s="114">
        <v>150000</v>
      </c>
      <c r="H304" s="88"/>
    </row>
    <row r="305" spans="1:8" hidden="1" x14ac:dyDescent="0.2">
      <c r="A305" s="268" t="s">
        <v>316</v>
      </c>
      <c r="B305" s="213" t="s">
        <v>318</v>
      </c>
      <c r="C305" s="121">
        <v>50000</v>
      </c>
      <c r="D305" s="121">
        <v>50000</v>
      </c>
      <c r="E305" s="121">
        <v>50000</v>
      </c>
      <c r="F305" s="121">
        <v>0</v>
      </c>
      <c r="G305" s="114">
        <v>50000</v>
      </c>
      <c r="H305" s="88"/>
    </row>
    <row r="306" spans="1:8" hidden="1" x14ac:dyDescent="0.2">
      <c r="A306" s="269" t="s">
        <v>319</v>
      </c>
      <c r="B306" s="128" t="s">
        <v>320</v>
      </c>
      <c r="C306" s="200">
        <v>50000</v>
      </c>
      <c r="D306" s="200">
        <v>15000</v>
      </c>
      <c r="E306" s="121">
        <v>15000</v>
      </c>
      <c r="F306" s="121">
        <v>0</v>
      </c>
      <c r="G306" s="114">
        <v>50000</v>
      </c>
      <c r="H306" s="88"/>
    </row>
    <row r="307" spans="1:8" hidden="1" x14ac:dyDescent="0.2">
      <c r="A307" s="269" t="s">
        <v>321</v>
      </c>
      <c r="B307" s="128" t="s">
        <v>322</v>
      </c>
      <c r="C307" s="121">
        <v>10000</v>
      </c>
      <c r="D307" s="200">
        <v>10000</v>
      </c>
      <c r="E307" s="121">
        <v>10000</v>
      </c>
      <c r="F307" s="121">
        <v>0</v>
      </c>
      <c r="G307" s="114">
        <v>10000</v>
      </c>
      <c r="H307" s="88"/>
    </row>
    <row r="308" spans="1:8" hidden="1" x14ac:dyDescent="0.2">
      <c r="A308" s="269" t="s">
        <v>323</v>
      </c>
      <c r="B308" s="128" t="s">
        <v>324</v>
      </c>
      <c r="C308" s="200">
        <v>4000</v>
      </c>
      <c r="D308" s="200">
        <v>4000</v>
      </c>
      <c r="E308" s="121">
        <v>4000</v>
      </c>
      <c r="F308" s="121">
        <v>0</v>
      </c>
      <c r="G308" s="114">
        <v>4000</v>
      </c>
      <c r="H308" s="88"/>
    </row>
    <row r="309" spans="1:8" hidden="1" x14ac:dyDescent="0.2">
      <c r="A309" s="269" t="s">
        <v>325</v>
      </c>
      <c r="B309" s="128" t="s">
        <v>326</v>
      </c>
      <c r="C309" s="200">
        <v>50000</v>
      </c>
      <c r="D309" s="200">
        <v>50000</v>
      </c>
      <c r="E309" s="121">
        <v>40123.599999999999</v>
      </c>
      <c r="F309" s="121">
        <v>40123.599999999999</v>
      </c>
      <c r="G309" s="114">
        <v>50000</v>
      </c>
      <c r="H309" s="88"/>
    </row>
    <row r="310" spans="1:8" hidden="1" x14ac:dyDescent="0.2">
      <c r="A310" s="269" t="s">
        <v>321</v>
      </c>
      <c r="B310" s="128" t="s">
        <v>327</v>
      </c>
      <c r="C310" s="200">
        <v>110000</v>
      </c>
      <c r="D310" s="200">
        <v>110000</v>
      </c>
      <c r="E310" s="121">
        <v>110000</v>
      </c>
      <c r="F310" s="121">
        <v>51689.5</v>
      </c>
      <c r="G310" s="114">
        <v>110000</v>
      </c>
      <c r="H310" s="88"/>
    </row>
    <row r="311" spans="1:8" hidden="1" x14ac:dyDescent="0.2">
      <c r="A311" s="269" t="s">
        <v>323</v>
      </c>
      <c r="B311" s="128" t="s">
        <v>328</v>
      </c>
      <c r="C311" s="200">
        <v>250000</v>
      </c>
      <c r="D311" s="200">
        <v>250000</v>
      </c>
      <c r="E311" s="121">
        <v>250000</v>
      </c>
      <c r="F311" s="121">
        <v>58704</v>
      </c>
      <c r="G311" s="114">
        <v>250000</v>
      </c>
      <c r="H311" s="88"/>
    </row>
    <row r="312" spans="1:8" hidden="1" x14ac:dyDescent="0.2">
      <c r="A312" s="269" t="s">
        <v>329</v>
      </c>
      <c r="B312" s="128" t="s">
        <v>330</v>
      </c>
      <c r="C312" s="200">
        <v>0</v>
      </c>
      <c r="D312" s="200">
        <v>35000</v>
      </c>
      <c r="E312" s="121">
        <v>250000</v>
      </c>
      <c r="F312" s="121">
        <v>35000</v>
      </c>
      <c r="G312" s="114">
        <v>0</v>
      </c>
      <c r="H312" s="88"/>
    </row>
    <row r="313" spans="1:8" hidden="1" x14ac:dyDescent="0.2">
      <c r="A313" s="269" t="s">
        <v>331</v>
      </c>
      <c r="B313" s="128" t="s">
        <v>332</v>
      </c>
      <c r="C313" s="200">
        <v>20000</v>
      </c>
      <c r="D313" s="200">
        <v>20000</v>
      </c>
      <c r="E313" s="121">
        <v>20000</v>
      </c>
      <c r="F313" s="121">
        <v>10000</v>
      </c>
      <c r="G313" s="114">
        <v>20000</v>
      </c>
      <c r="H313" s="88"/>
    </row>
    <row r="314" spans="1:8" hidden="1" x14ac:dyDescent="0.2">
      <c r="A314" s="256" t="s">
        <v>333</v>
      </c>
      <c r="B314" s="128" t="s">
        <v>334</v>
      </c>
      <c r="C314" s="200">
        <v>40000</v>
      </c>
      <c r="D314" s="200">
        <v>40000</v>
      </c>
      <c r="E314" s="121">
        <v>40000</v>
      </c>
      <c r="F314" s="121">
        <v>13061</v>
      </c>
      <c r="G314" s="114">
        <v>40000</v>
      </c>
      <c r="H314" s="88"/>
    </row>
    <row r="315" spans="1:8" ht="15.75" hidden="1" x14ac:dyDescent="0.25">
      <c r="A315" s="168"/>
      <c r="B315" s="168" t="s">
        <v>335</v>
      </c>
      <c r="C315" s="169">
        <f>SUM(C316,C319,C325,C333,C338,C348,C351)</f>
        <v>15368677</v>
      </c>
      <c r="D315" s="270">
        <f>SUM(D316,D319,D325,D333,D338,D348,D351)</f>
        <v>15218763</v>
      </c>
      <c r="E315" s="270">
        <f>SUM(E316,E319,E325,E333,E338,E348,E351)</f>
        <v>15211026.01</v>
      </c>
      <c r="F315" s="270">
        <f>SUM(F316,F319,F325,F333,F338,F348,F351)</f>
        <v>8471167.1100000013</v>
      </c>
      <c r="G315" s="270">
        <f>SUM(G316,G319,G325,G333,G338,G348,G351)</f>
        <v>15688788.33</v>
      </c>
      <c r="H315" s="88"/>
    </row>
    <row r="316" spans="1:8" hidden="1" x14ac:dyDescent="0.2">
      <c r="A316" s="254">
        <v>3341</v>
      </c>
      <c r="B316" s="254" t="s">
        <v>336</v>
      </c>
      <c r="C316" s="140">
        <f>SUM(C317:C318)</f>
        <v>150000</v>
      </c>
      <c r="D316" s="140">
        <f>SUM(D317:D318)</f>
        <v>150000</v>
      </c>
      <c r="E316" s="140">
        <f>SUM(E317:E318)</f>
        <v>150000</v>
      </c>
      <c r="F316" s="140">
        <f>SUM(F317:F318)</f>
        <v>12799.96</v>
      </c>
      <c r="G316" s="140">
        <f>SUM(G317:G318)</f>
        <v>150000</v>
      </c>
      <c r="H316" s="88"/>
    </row>
    <row r="317" spans="1:8" hidden="1" x14ac:dyDescent="0.2">
      <c r="A317" s="256" t="s">
        <v>337</v>
      </c>
      <c r="B317" s="155" t="s">
        <v>338</v>
      </c>
      <c r="C317" s="121">
        <v>150000</v>
      </c>
      <c r="D317" s="121">
        <v>146125</v>
      </c>
      <c r="E317" s="160">
        <v>146125</v>
      </c>
      <c r="F317" s="113">
        <v>8924.9599999999991</v>
      </c>
      <c r="G317" s="114">
        <v>145000</v>
      </c>
      <c r="H317" s="88"/>
    </row>
    <row r="318" spans="1:8" hidden="1" x14ac:dyDescent="0.2">
      <c r="A318" s="256" t="s">
        <v>339</v>
      </c>
      <c r="B318" s="155" t="s">
        <v>340</v>
      </c>
      <c r="C318" s="121">
        <v>0</v>
      </c>
      <c r="D318" s="121">
        <v>3875</v>
      </c>
      <c r="E318" s="160">
        <v>3875</v>
      </c>
      <c r="F318" s="113">
        <v>3875</v>
      </c>
      <c r="G318" s="114">
        <v>5000</v>
      </c>
      <c r="H318" s="88"/>
    </row>
    <row r="319" spans="1:8" hidden="1" x14ac:dyDescent="0.2">
      <c r="A319" s="139">
        <v>3421</v>
      </c>
      <c r="B319" s="144" t="s">
        <v>341</v>
      </c>
      <c r="C319" s="145">
        <f>SUM(C320:C324)</f>
        <v>830000</v>
      </c>
      <c r="D319" s="145">
        <f>SUM(D320:D324)</f>
        <v>830000</v>
      </c>
      <c r="E319" s="145">
        <f>SUM(E320:E324)</f>
        <v>830000</v>
      </c>
      <c r="F319" s="145">
        <f>SUM(F320:F324)</f>
        <v>315449.28000000003</v>
      </c>
      <c r="G319" s="145">
        <f>SUM(G320:G324)</f>
        <v>1880000</v>
      </c>
      <c r="H319" s="88"/>
    </row>
    <row r="320" spans="1:8" hidden="1" x14ac:dyDescent="0.2">
      <c r="A320" s="256" t="s">
        <v>342</v>
      </c>
      <c r="B320" s="271" t="s">
        <v>343</v>
      </c>
      <c r="C320" s="121">
        <v>10000</v>
      </c>
      <c r="D320" s="121">
        <v>10000</v>
      </c>
      <c r="E320" s="160">
        <v>10000</v>
      </c>
      <c r="F320" s="113">
        <v>0</v>
      </c>
      <c r="G320" s="123">
        <v>1000000</v>
      </c>
      <c r="H320" s="88"/>
    </row>
    <row r="321" spans="1:8" hidden="1" x14ac:dyDescent="0.2">
      <c r="A321" s="256" t="s">
        <v>344</v>
      </c>
      <c r="B321" s="271" t="s">
        <v>345</v>
      </c>
      <c r="C321" s="121">
        <v>100000</v>
      </c>
      <c r="D321" s="121">
        <v>100000</v>
      </c>
      <c r="E321" s="160">
        <v>100000</v>
      </c>
      <c r="F321" s="113">
        <v>0</v>
      </c>
      <c r="G321" s="123">
        <v>110000</v>
      </c>
      <c r="H321" s="88"/>
    </row>
    <row r="322" spans="1:8" hidden="1" x14ac:dyDescent="0.2">
      <c r="A322" s="268" t="s">
        <v>346</v>
      </c>
      <c r="B322" s="271" t="s">
        <v>347</v>
      </c>
      <c r="C322" s="121">
        <v>120000</v>
      </c>
      <c r="D322" s="121">
        <v>140000</v>
      </c>
      <c r="E322" s="160">
        <v>140000</v>
      </c>
      <c r="F322" s="113">
        <v>120456</v>
      </c>
      <c r="G322" s="123">
        <v>120000</v>
      </c>
      <c r="H322" s="88"/>
    </row>
    <row r="323" spans="1:8" hidden="1" x14ac:dyDescent="0.2">
      <c r="A323" s="256" t="s">
        <v>348</v>
      </c>
      <c r="B323" s="271" t="s">
        <v>349</v>
      </c>
      <c r="C323" s="121">
        <v>300000</v>
      </c>
      <c r="D323" s="121">
        <v>280000</v>
      </c>
      <c r="E323" s="160">
        <v>280000</v>
      </c>
      <c r="F323" s="113">
        <v>14520</v>
      </c>
      <c r="G323" s="123">
        <v>300000</v>
      </c>
      <c r="H323" s="88"/>
    </row>
    <row r="324" spans="1:8" hidden="1" x14ac:dyDescent="0.2">
      <c r="A324" s="256" t="s">
        <v>350</v>
      </c>
      <c r="B324" s="272" t="s">
        <v>351</v>
      </c>
      <c r="C324" s="121">
        <v>300000</v>
      </c>
      <c r="D324" s="121">
        <v>300000</v>
      </c>
      <c r="E324" s="160">
        <v>300000</v>
      </c>
      <c r="F324" s="113">
        <v>180473.28</v>
      </c>
      <c r="G324" s="114">
        <v>350000</v>
      </c>
      <c r="H324" s="88"/>
    </row>
    <row r="325" spans="1:8" hidden="1" x14ac:dyDescent="0.2">
      <c r="A325" s="144">
        <v>3613</v>
      </c>
      <c r="B325" s="144" t="s">
        <v>352</v>
      </c>
      <c r="C325" s="145">
        <f>SUM(C326:C332)</f>
        <v>895000</v>
      </c>
      <c r="D325" s="145">
        <f>SUM(D326:D332)</f>
        <v>995000</v>
      </c>
      <c r="E325" s="145">
        <f>SUM(E326:E332)</f>
        <v>995000</v>
      </c>
      <c r="F325" s="145">
        <f>SUM(F326:F332)</f>
        <v>349404.45</v>
      </c>
      <c r="G325" s="145">
        <f>SUM(G326:G332)</f>
        <v>995000</v>
      </c>
      <c r="H325" s="88"/>
    </row>
    <row r="326" spans="1:8" hidden="1" x14ac:dyDescent="0.2">
      <c r="A326" s="273" t="s">
        <v>353</v>
      </c>
      <c r="B326" s="274" t="s">
        <v>354</v>
      </c>
      <c r="C326" s="121">
        <v>5000</v>
      </c>
      <c r="D326" s="121">
        <v>5000</v>
      </c>
      <c r="E326" s="160">
        <v>5000</v>
      </c>
      <c r="F326" s="113">
        <v>0</v>
      </c>
      <c r="G326" s="114">
        <v>5000</v>
      </c>
      <c r="H326" s="88"/>
    </row>
    <row r="327" spans="1:8" hidden="1" x14ac:dyDescent="0.2">
      <c r="A327" s="273" t="s">
        <v>355</v>
      </c>
      <c r="B327" s="274" t="s">
        <v>356</v>
      </c>
      <c r="C327" s="121">
        <v>5000</v>
      </c>
      <c r="D327" s="121">
        <v>5000</v>
      </c>
      <c r="E327" s="160">
        <v>5000</v>
      </c>
      <c r="F327" s="113">
        <v>0</v>
      </c>
      <c r="G327" s="114">
        <v>5000</v>
      </c>
      <c r="H327" s="88"/>
    </row>
    <row r="328" spans="1:8" ht="12.75" hidden="1" customHeight="1" x14ac:dyDescent="0.2">
      <c r="A328" s="273" t="s">
        <v>357</v>
      </c>
      <c r="B328" s="128" t="s">
        <v>358</v>
      </c>
      <c r="C328" s="121">
        <v>175000</v>
      </c>
      <c r="D328" s="121">
        <v>175000</v>
      </c>
      <c r="E328" s="152">
        <v>175000</v>
      </c>
      <c r="F328" s="152">
        <v>33982.589999999997</v>
      </c>
      <c r="G328" s="114">
        <v>175000</v>
      </c>
      <c r="H328" s="88"/>
    </row>
    <row r="329" spans="1:8" hidden="1" x14ac:dyDescent="0.2">
      <c r="A329" s="273" t="s">
        <v>359</v>
      </c>
      <c r="B329" s="128" t="s">
        <v>360</v>
      </c>
      <c r="C329" s="121">
        <v>200000</v>
      </c>
      <c r="D329" s="121">
        <v>200000</v>
      </c>
      <c r="E329" s="114">
        <v>200000</v>
      </c>
      <c r="F329" s="114">
        <v>172638.85</v>
      </c>
      <c r="G329" s="114">
        <v>200000</v>
      </c>
      <c r="H329" s="88"/>
    </row>
    <row r="330" spans="1:8" hidden="1" x14ac:dyDescent="0.2">
      <c r="A330" s="273" t="s">
        <v>361</v>
      </c>
      <c r="B330" s="128" t="s">
        <v>362</v>
      </c>
      <c r="C330" s="121">
        <v>250000</v>
      </c>
      <c r="D330" s="121">
        <v>350000</v>
      </c>
      <c r="E330" s="114">
        <v>350000</v>
      </c>
      <c r="F330" s="114">
        <v>106312</v>
      </c>
      <c r="G330" s="114">
        <v>250000</v>
      </c>
      <c r="H330" s="88"/>
    </row>
    <row r="331" spans="1:8" hidden="1" x14ac:dyDescent="0.2">
      <c r="A331" s="273" t="s">
        <v>361</v>
      </c>
      <c r="B331" s="128" t="s">
        <v>363</v>
      </c>
      <c r="C331" s="121">
        <v>60000</v>
      </c>
      <c r="D331" s="121">
        <v>60000</v>
      </c>
      <c r="E331" s="114">
        <v>60000</v>
      </c>
      <c r="F331" s="114">
        <v>0</v>
      </c>
      <c r="G331" s="114">
        <v>60000</v>
      </c>
      <c r="H331" s="88"/>
    </row>
    <row r="332" spans="1:8" hidden="1" x14ac:dyDescent="0.2">
      <c r="A332" s="273" t="s">
        <v>364</v>
      </c>
      <c r="B332" s="128" t="s">
        <v>365</v>
      </c>
      <c r="C332" s="121">
        <v>200000</v>
      </c>
      <c r="D332" s="121">
        <v>200000</v>
      </c>
      <c r="E332" s="114">
        <v>200000</v>
      </c>
      <c r="F332" s="114">
        <v>36471.01</v>
      </c>
      <c r="G332" s="114">
        <v>300000</v>
      </c>
      <c r="H332" s="88"/>
    </row>
    <row r="333" spans="1:8" hidden="1" x14ac:dyDescent="0.2">
      <c r="A333" s="144">
        <v>3631</v>
      </c>
      <c r="B333" s="144" t="s">
        <v>366</v>
      </c>
      <c r="C333" s="145">
        <f>SUM(C334:C337)</f>
        <v>9150000</v>
      </c>
      <c r="D333" s="145">
        <f>SUM(D334:D337)</f>
        <v>9176125</v>
      </c>
      <c r="E333" s="145">
        <f>SUM(E334:E337)</f>
        <v>9176125</v>
      </c>
      <c r="F333" s="145">
        <f>SUM(F334:F337)</f>
        <v>6071448.4100000001</v>
      </c>
      <c r="G333" s="145">
        <f>SUM(G334:G337)</f>
        <v>9200000</v>
      </c>
      <c r="H333" s="88"/>
    </row>
    <row r="334" spans="1:8" hidden="1" x14ac:dyDescent="0.2">
      <c r="A334" s="273" t="s">
        <v>367</v>
      </c>
      <c r="B334" s="128" t="s">
        <v>368</v>
      </c>
      <c r="C334" s="121">
        <v>0</v>
      </c>
      <c r="D334" s="121">
        <v>100000</v>
      </c>
      <c r="E334" s="113">
        <v>100000</v>
      </c>
      <c r="F334" s="113">
        <v>16456</v>
      </c>
      <c r="G334" s="114">
        <v>600000</v>
      </c>
      <c r="H334" s="88"/>
    </row>
    <row r="335" spans="1:8" hidden="1" x14ac:dyDescent="0.2">
      <c r="A335" s="273" t="s">
        <v>369</v>
      </c>
      <c r="B335" s="128" t="s">
        <v>370</v>
      </c>
      <c r="C335" s="121">
        <v>700000</v>
      </c>
      <c r="D335" s="121">
        <v>600000</v>
      </c>
      <c r="E335" s="113">
        <v>600000</v>
      </c>
      <c r="F335" s="113">
        <v>8418.58</v>
      </c>
      <c r="G335" s="114">
        <v>100000</v>
      </c>
      <c r="H335" s="88"/>
    </row>
    <row r="336" spans="1:8" hidden="1" x14ac:dyDescent="0.2">
      <c r="A336" s="256" t="s">
        <v>371</v>
      </c>
      <c r="B336" s="128" t="s">
        <v>372</v>
      </c>
      <c r="C336" s="121">
        <v>3950000</v>
      </c>
      <c r="D336" s="121">
        <v>3976125</v>
      </c>
      <c r="E336" s="152">
        <v>3976125</v>
      </c>
      <c r="F336" s="152">
        <v>2666125</v>
      </c>
      <c r="G336" s="114">
        <v>4000000</v>
      </c>
      <c r="H336" s="88"/>
    </row>
    <row r="337" spans="1:8" hidden="1" x14ac:dyDescent="0.2">
      <c r="A337" s="256" t="s">
        <v>373</v>
      </c>
      <c r="B337" s="128" t="s">
        <v>374</v>
      </c>
      <c r="C337" s="121">
        <v>4500000</v>
      </c>
      <c r="D337" s="121">
        <v>4500000</v>
      </c>
      <c r="E337" s="117">
        <v>4500000</v>
      </c>
      <c r="F337" s="152">
        <v>3380448.83</v>
      </c>
      <c r="G337" s="114">
        <v>4500000</v>
      </c>
      <c r="H337" s="88"/>
    </row>
    <row r="338" spans="1:8" hidden="1" x14ac:dyDescent="0.2">
      <c r="A338" s="144">
        <v>3632</v>
      </c>
      <c r="B338" s="144" t="s">
        <v>375</v>
      </c>
      <c r="C338" s="145">
        <f>SUM(C339,C345:C347)</f>
        <v>4130000</v>
      </c>
      <c r="D338" s="145">
        <f>SUM(D339,D345:D347)</f>
        <v>3853961</v>
      </c>
      <c r="E338" s="145">
        <f>SUM(E339,E345:E347)</f>
        <v>3846112.6799999997</v>
      </c>
      <c r="F338" s="145">
        <f>SUM(F339,F345:F347)</f>
        <v>1713276.68</v>
      </c>
      <c r="G338" s="145">
        <f>SUM(G339,G345:G347)</f>
        <v>3250000</v>
      </c>
      <c r="H338" s="88"/>
    </row>
    <row r="339" spans="1:8" hidden="1" x14ac:dyDescent="0.2">
      <c r="A339" s="155"/>
      <c r="B339" s="155" t="s">
        <v>376</v>
      </c>
      <c r="C339" s="121">
        <f>SUM(C340:C344)</f>
        <v>1530000</v>
      </c>
      <c r="D339" s="121">
        <f>SUM(D340:D344)</f>
        <v>730000</v>
      </c>
      <c r="E339" s="121">
        <f>SUM(E340:E344)</f>
        <v>722151.67999999993</v>
      </c>
      <c r="F339" s="121">
        <f>SUM(F340:F344)</f>
        <v>351151.68</v>
      </c>
      <c r="G339" s="121">
        <f>SUM(G340:G344)</f>
        <v>650000</v>
      </c>
      <c r="H339" s="88"/>
    </row>
    <row r="340" spans="1:8" hidden="1" x14ac:dyDescent="0.2">
      <c r="A340" s="256" t="s">
        <v>377</v>
      </c>
      <c r="B340" s="128" t="s">
        <v>378</v>
      </c>
      <c r="C340" s="121">
        <v>371000</v>
      </c>
      <c r="D340" s="121">
        <v>371000</v>
      </c>
      <c r="E340" s="220">
        <v>371000</v>
      </c>
      <c r="F340" s="220">
        <v>0</v>
      </c>
      <c r="G340" s="114">
        <v>0</v>
      </c>
      <c r="H340" s="88"/>
    </row>
    <row r="341" spans="1:8" s="2" customFormat="1" hidden="1" x14ac:dyDescent="0.2">
      <c r="A341" s="256" t="s">
        <v>377</v>
      </c>
      <c r="B341" s="128" t="s">
        <v>379</v>
      </c>
      <c r="C341" s="121">
        <v>240000</v>
      </c>
      <c r="D341" s="121">
        <v>240000</v>
      </c>
      <c r="E341" s="121">
        <v>232571.68</v>
      </c>
      <c r="F341" s="275">
        <v>232571.68</v>
      </c>
      <c r="G341" s="114">
        <v>0</v>
      </c>
      <c r="H341" s="88"/>
    </row>
    <row r="342" spans="1:8" hidden="1" x14ac:dyDescent="0.2">
      <c r="A342" s="256" t="s">
        <v>377</v>
      </c>
      <c r="B342" s="128" t="s">
        <v>380</v>
      </c>
      <c r="C342" s="121">
        <v>119000</v>
      </c>
      <c r="D342" s="121">
        <v>119000</v>
      </c>
      <c r="E342" s="148">
        <v>118580</v>
      </c>
      <c r="F342" s="148">
        <v>118580</v>
      </c>
      <c r="G342" s="114">
        <v>0</v>
      </c>
      <c r="H342" s="88"/>
    </row>
    <row r="343" spans="1:8" hidden="1" x14ac:dyDescent="0.2">
      <c r="A343" s="256" t="s">
        <v>377</v>
      </c>
      <c r="B343" s="128" t="s">
        <v>381</v>
      </c>
      <c r="C343" s="121">
        <v>500000</v>
      </c>
      <c r="D343" s="121">
        <v>0</v>
      </c>
      <c r="E343" s="275">
        <v>0</v>
      </c>
      <c r="F343" s="275">
        <v>0</v>
      </c>
      <c r="G343" s="114">
        <v>0</v>
      </c>
      <c r="H343" s="88"/>
    </row>
    <row r="344" spans="1:8" hidden="1" x14ac:dyDescent="0.2">
      <c r="A344" s="256" t="s">
        <v>377</v>
      </c>
      <c r="B344" s="128" t="s">
        <v>382</v>
      </c>
      <c r="C344" s="121">
        <v>300000</v>
      </c>
      <c r="D344" s="121">
        <v>0</v>
      </c>
      <c r="E344" s="177">
        <v>0</v>
      </c>
      <c r="F344" s="177">
        <v>0</v>
      </c>
      <c r="G344" s="114">
        <v>650000</v>
      </c>
      <c r="H344" s="88"/>
    </row>
    <row r="345" spans="1:8" hidden="1" x14ac:dyDescent="0.2">
      <c r="A345" s="256" t="s">
        <v>383</v>
      </c>
      <c r="B345" s="128" t="s">
        <v>384</v>
      </c>
      <c r="C345" s="121">
        <v>2000000</v>
      </c>
      <c r="D345" s="121">
        <v>2523961</v>
      </c>
      <c r="E345" s="177">
        <v>2523961</v>
      </c>
      <c r="F345" s="177">
        <v>1362125</v>
      </c>
      <c r="G345" s="114">
        <v>2500000</v>
      </c>
      <c r="H345" s="88"/>
    </row>
    <row r="346" spans="1:8" s="98" customFormat="1" hidden="1" x14ac:dyDescent="0.2">
      <c r="A346" s="256" t="s">
        <v>385</v>
      </c>
      <c r="B346" s="128" t="s">
        <v>386</v>
      </c>
      <c r="C346" s="121">
        <v>500000</v>
      </c>
      <c r="D346" s="121">
        <v>500000</v>
      </c>
      <c r="E346" s="177">
        <v>500000</v>
      </c>
      <c r="F346" s="177">
        <v>0</v>
      </c>
      <c r="G346" s="123">
        <v>0</v>
      </c>
      <c r="H346" s="88"/>
    </row>
    <row r="347" spans="1:8" s="98" customFormat="1" hidden="1" x14ac:dyDescent="0.2">
      <c r="A347" s="256" t="s">
        <v>387</v>
      </c>
      <c r="B347" s="128" t="s">
        <v>388</v>
      </c>
      <c r="C347" s="121">
        <v>100000</v>
      </c>
      <c r="D347" s="121">
        <v>100000</v>
      </c>
      <c r="E347" s="177">
        <v>100000</v>
      </c>
      <c r="F347" s="177">
        <v>0</v>
      </c>
      <c r="G347" s="114">
        <v>100000</v>
      </c>
      <c r="H347" s="88"/>
    </row>
    <row r="348" spans="1:8" s="98" customFormat="1" hidden="1" x14ac:dyDescent="0.2">
      <c r="A348" s="144">
        <v>3639</v>
      </c>
      <c r="B348" s="144" t="s">
        <v>389</v>
      </c>
      <c r="C348" s="145">
        <f>SUM(C349:C350)</f>
        <v>13677</v>
      </c>
      <c r="D348" s="145">
        <f>SUM(D349:D350)</f>
        <v>13677</v>
      </c>
      <c r="E348" s="145">
        <f>SUM(E349:E350)</f>
        <v>13788.33</v>
      </c>
      <c r="F348" s="145">
        <f>SUM(F349:F350)</f>
        <v>8788.33</v>
      </c>
      <c r="G348" s="145">
        <f>SUM(G349:G350)</f>
        <v>13788.33</v>
      </c>
      <c r="H348" s="88"/>
    </row>
    <row r="349" spans="1:8" s="98" customFormat="1" hidden="1" x14ac:dyDescent="0.2">
      <c r="A349" s="256" t="s">
        <v>390</v>
      </c>
      <c r="B349" s="274" t="s">
        <v>391</v>
      </c>
      <c r="C349" s="121">
        <v>8677</v>
      </c>
      <c r="D349" s="121">
        <v>8788.33</v>
      </c>
      <c r="E349" s="121">
        <v>8788.33</v>
      </c>
      <c r="F349" s="121">
        <v>8788.33</v>
      </c>
      <c r="G349" s="121">
        <v>8788.33</v>
      </c>
      <c r="H349" s="88"/>
    </row>
    <row r="350" spans="1:8" s="98" customFormat="1" hidden="1" x14ac:dyDescent="0.2">
      <c r="A350" s="273" t="s">
        <v>392</v>
      </c>
      <c r="B350" s="128" t="s">
        <v>393</v>
      </c>
      <c r="C350" s="121">
        <v>5000</v>
      </c>
      <c r="D350" s="121">
        <v>4888.67</v>
      </c>
      <c r="E350" s="275">
        <v>5000</v>
      </c>
      <c r="F350" s="275">
        <v>0</v>
      </c>
      <c r="G350" s="114">
        <v>5000</v>
      </c>
      <c r="H350" s="88"/>
    </row>
    <row r="351" spans="1:8" s="98" customFormat="1" hidden="1" x14ac:dyDescent="0.2">
      <c r="A351" s="144">
        <v>3699</v>
      </c>
      <c r="B351" s="144" t="s">
        <v>394</v>
      </c>
      <c r="C351" s="145">
        <f>SUM(C352)</f>
        <v>200000</v>
      </c>
      <c r="D351" s="145">
        <f>SUM(D352)</f>
        <v>200000</v>
      </c>
      <c r="E351" s="145">
        <f>SUM(E352)</f>
        <v>200000</v>
      </c>
      <c r="F351" s="145">
        <f>SUM(F352)</f>
        <v>0</v>
      </c>
      <c r="G351" s="145">
        <f>SUM(G352)</f>
        <v>200000</v>
      </c>
      <c r="H351" s="88"/>
    </row>
    <row r="352" spans="1:8" s="98" customFormat="1" hidden="1" x14ac:dyDescent="0.2">
      <c r="A352" s="256" t="s">
        <v>395</v>
      </c>
      <c r="B352" s="128" t="s">
        <v>396</v>
      </c>
      <c r="C352" s="121">
        <v>200000</v>
      </c>
      <c r="D352" s="121">
        <v>200000</v>
      </c>
      <c r="E352" s="177">
        <v>200000</v>
      </c>
      <c r="F352" s="177">
        <v>0</v>
      </c>
      <c r="G352" s="114">
        <v>200000</v>
      </c>
      <c r="H352" s="88"/>
    </row>
    <row r="353" spans="1:8" s="98" customFormat="1" hidden="1" x14ac:dyDescent="0.2">
      <c r="A353" s="268"/>
      <c r="B353" s="276"/>
      <c r="C353" s="200"/>
      <c r="D353" s="200"/>
      <c r="E353" s="184"/>
      <c r="F353" s="184"/>
      <c r="G353" s="266"/>
      <c r="H353" s="88"/>
    </row>
    <row r="354" spans="1:8" s="98" customFormat="1" ht="20.25" hidden="1" x14ac:dyDescent="0.2">
      <c r="A354" s="277"/>
      <c r="B354" s="278" t="s">
        <v>397</v>
      </c>
      <c r="C354" s="279">
        <f>SUM(C355+C370+C432+C445+C476)</f>
        <v>79701343</v>
      </c>
      <c r="D354" s="280">
        <f>SUM(D355+D370+D432+D445+D476)</f>
        <v>69000343</v>
      </c>
      <c r="E354" s="281">
        <f>SUM(E355+E370+E432+E445+E476)</f>
        <v>1689192.23</v>
      </c>
      <c r="F354" s="279">
        <f>SUM(F355+F370+F432+F445+F476)</f>
        <v>5818563.0100000007</v>
      </c>
      <c r="G354" s="282">
        <f>SUM(G355+G370+G432+G445+G476)</f>
        <v>106524000</v>
      </c>
      <c r="H354" s="88"/>
    </row>
    <row r="355" spans="1:8" s="98" customFormat="1" ht="15.75" hidden="1" x14ac:dyDescent="0.2">
      <c r="A355" s="283"/>
      <c r="B355" s="284" t="s">
        <v>398</v>
      </c>
      <c r="C355" s="285">
        <f>SUM(C356+C361+C368)</f>
        <v>1000000</v>
      </c>
      <c r="D355" s="286">
        <f>SUM(D356+D361+D368)</f>
        <v>1004840</v>
      </c>
      <c r="E355" s="287">
        <f>SUM(E356+E361+E368)</f>
        <v>374258.72</v>
      </c>
      <c r="F355" s="288">
        <f>SUM(F356+F361+F368)</f>
        <v>380258.72</v>
      </c>
      <c r="G355" s="287">
        <f>SUM(G356+G361+G368)</f>
        <v>5530000</v>
      </c>
      <c r="H355" s="88"/>
    </row>
    <row r="356" spans="1:8" s="98" customFormat="1" hidden="1" x14ac:dyDescent="0.2">
      <c r="A356" s="289">
        <v>2310</v>
      </c>
      <c r="B356" s="290" t="s">
        <v>260</v>
      </c>
      <c r="C356" s="291">
        <f>SUM(C357:C360)</f>
        <v>150000</v>
      </c>
      <c r="D356" s="292">
        <f>SUM(D357:D360)</f>
        <v>150000</v>
      </c>
      <c r="E356" s="173">
        <f>SUM(E357:E360)</f>
        <v>0</v>
      </c>
      <c r="F356" s="293">
        <f>SUM(F357:F360)</f>
        <v>6000</v>
      </c>
      <c r="G356" s="173">
        <f>SUM(G357:G360)</f>
        <v>4950000</v>
      </c>
      <c r="H356" s="88"/>
    </row>
    <row r="357" spans="1:8" s="98" customFormat="1" hidden="1" x14ac:dyDescent="0.2">
      <c r="A357" s="294" t="s">
        <v>399</v>
      </c>
      <c r="B357" s="159" t="s">
        <v>400</v>
      </c>
      <c r="C357" s="295">
        <v>0</v>
      </c>
      <c r="D357" s="296">
        <v>8420</v>
      </c>
      <c r="E357" s="113"/>
      <c r="F357" s="297">
        <v>6000</v>
      </c>
      <c r="G357" s="113">
        <v>4800000</v>
      </c>
      <c r="H357" s="88"/>
    </row>
    <row r="358" spans="1:8" s="98" customFormat="1" hidden="1" x14ac:dyDescent="0.2">
      <c r="A358" s="294" t="s">
        <v>401</v>
      </c>
      <c r="B358" s="159" t="s">
        <v>402</v>
      </c>
      <c r="C358" s="295">
        <v>50000</v>
      </c>
      <c r="D358" s="296">
        <v>50000</v>
      </c>
      <c r="E358" s="113"/>
      <c r="F358" s="297">
        <v>0</v>
      </c>
      <c r="G358" s="113">
        <v>0</v>
      </c>
      <c r="H358" s="88"/>
    </row>
    <row r="359" spans="1:8" s="98" customFormat="1" hidden="1" x14ac:dyDescent="0.2">
      <c r="A359" s="294" t="s">
        <v>403</v>
      </c>
      <c r="B359" s="159" t="s">
        <v>404</v>
      </c>
      <c r="C359" s="295">
        <v>50000</v>
      </c>
      <c r="D359" s="296">
        <v>50000</v>
      </c>
      <c r="E359" s="113"/>
      <c r="F359" s="297">
        <v>0</v>
      </c>
      <c r="G359" s="113">
        <v>100000</v>
      </c>
      <c r="H359" s="88"/>
    </row>
    <row r="360" spans="1:8" s="98" customFormat="1" hidden="1" x14ac:dyDescent="0.2">
      <c r="A360" s="294" t="s">
        <v>405</v>
      </c>
      <c r="B360" s="159" t="s">
        <v>406</v>
      </c>
      <c r="C360" s="295">
        <v>50000</v>
      </c>
      <c r="D360" s="298">
        <v>41580</v>
      </c>
      <c r="E360" s="113"/>
      <c r="F360" s="299">
        <v>0</v>
      </c>
      <c r="G360" s="113">
        <v>50000</v>
      </c>
      <c r="H360" s="88"/>
    </row>
    <row r="361" spans="1:8" s="98" customFormat="1" hidden="1" x14ac:dyDescent="0.2">
      <c r="A361" s="106">
        <v>2321</v>
      </c>
      <c r="B361" s="107" t="s">
        <v>267</v>
      </c>
      <c r="C361" s="300">
        <f>SUM(C362:C366)</f>
        <v>850000</v>
      </c>
      <c r="D361" s="301">
        <f>SUM(D362:D366)</f>
        <v>850000</v>
      </c>
      <c r="E361" s="109">
        <f>SUM(E362:E366)</f>
        <v>369418.72</v>
      </c>
      <c r="F361" s="302">
        <f>SUM(F362:F366)</f>
        <v>369418.72</v>
      </c>
      <c r="G361" s="105">
        <f>SUM(G362:G367)</f>
        <v>580000</v>
      </c>
      <c r="H361" s="88"/>
    </row>
    <row r="362" spans="1:8" s="98" customFormat="1" hidden="1" x14ac:dyDescent="0.2">
      <c r="A362" s="294" t="s">
        <v>407</v>
      </c>
      <c r="B362" s="159" t="s">
        <v>408</v>
      </c>
      <c r="C362" s="303">
        <v>400000</v>
      </c>
      <c r="D362" s="304">
        <v>400000</v>
      </c>
      <c r="E362" s="113">
        <v>369418.72</v>
      </c>
      <c r="F362" s="305">
        <v>369418.72</v>
      </c>
      <c r="G362" s="113">
        <v>0</v>
      </c>
      <c r="H362" s="88"/>
    </row>
    <row r="363" spans="1:8" s="98" customFormat="1" hidden="1" x14ac:dyDescent="0.2">
      <c r="A363" s="294" t="s">
        <v>409</v>
      </c>
      <c r="B363" s="306" t="s">
        <v>410</v>
      </c>
      <c r="C363" s="295">
        <v>300000</v>
      </c>
      <c r="D363" s="304">
        <v>300000</v>
      </c>
      <c r="E363" s="114">
        <v>0</v>
      </c>
      <c r="F363" s="305">
        <v>0</v>
      </c>
      <c r="G363" s="113">
        <v>0</v>
      </c>
      <c r="H363" s="88"/>
    </row>
    <row r="364" spans="1:8" s="98" customFormat="1" hidden="1" x14ac:dyDescent="0.2">
      <c r="A364" s="294" t="s">
        <v>411</v>
      </c>
      <c r="B364" s="159" t="s">
        <v>412</v>
      </c>
      <c r="C364" s="303">
        <v>0</v>
      </c>
      <c r="D364" s="304">
        <v>0</v>
      </c>
      <c r="E364" s="113">
        <v>0</v>
      </c>
      <c r="F364" s="305">
        <v>0</v>
      </c>
      <c r="G364" s="113">
        <v>30000</v>
      </c>
      <c r="H364" s="88"/>
    </row>
    <row r="365" spans="1:8" s="98" customFormat="1" hidden="1" x14ac:dyDescent="0.2">
      <c r="A365" s="294" t="s">
        <v>413</v>
      </c>
      <c r="B365" s="159" t="s">
        <v>414</v>
      </c>
      <c r="C365" s="303">
        <v>100000</v>
      </c>
      <c r="D365" s="304">
        <v>100000</v>
      </c>
      <c r="E365" s="113"/>
      <c r="F365" s="305">
        <v>0</v>
      </c>
      <c r="G365" s="113">
        <v>400000</v>
      </c>
      <c r="H365" s="88"/>
    </row>
    <row r="366" spans="1:8" s="98" customFormat="1" hidden="1" x14ac:dyDescent="0.2">
      <c r="A366" s="294" t="s">
        <v>415</v>
      </c>
      <c r="B366" s="159" t="s">
        <v>416</v>
      </c>
      <c r="C366" s="303">
        <v>50000</v>
      </c>
      <c r="D366" s="304">
        <v>50000</v>
      </c>
      <c r="E366" s="113"/>
      <c r="F366" s="305">
        <v>0</v>
      </c>
      <c r="G366" s="114">
        <v>50000</v>
      </c>
      <c r="H366" s="88"/>
    </row>
    <row r="367" spans="1:8" s="98" customFormat="1" hidden="1" x14ac:dyDescent="0.2">
      <c r="A367" s="294" t="s">
        <v>417</v>
      </c>
      <c r="B367" s="159" t="s">
        <v>418</v>
      </c>
      <c r="C367" s="303">
        <v>0</v>
      </c>
      <c r="D367" s="304">
        <v>0</v>
      </c>
      <c r="E367" s="113">
        <v>0</v>
      </c>
      <c r="F367" s="305">
        <v>0</v>
      </c>
      <c r="G367" s="113">
        <v>100000</v>
      </c>
      <c r="H367" s="88"/>
    </row>
    <row r="368" spans="1:8" hidden="1" x14ac:dyDescent="0.2">
      <c r="A368" s="106">
        <v>2333</v>
      </c>
      <c r="B368" s="107" t="s">
        <v>419</v>
      </c>
      <c r="C368" s="300">
        <f>SUM(C369)</f>
        <v>0</v>
      </c>
      <c r="D368" s="301">
        <f>SUM(D369)</f>
        <v>4840</v>
      </c>
      <c r="E368" s="109">
        <f>SUM(E369)</f>
        <v>4840</v>
      </c>
      <c r="F368" s="302">
        <f>SUM(F369)</f>
        <v>4840</v>
      </c>
      <c r="G368" s="109">
        <f>SUM(G369)</f>
        <v>0</v>
      </c>
      <c r="H368" s="88"/>
    </row>
    <row r="369" spans="1:8" hidden="1" x14ac:dyDescent="0.2">
      <c r="A369" s="307" t="s">
        <v>420</v>
      </c>
      <c r="B369" s="308" t="s">
        <v>421</v>
      </c>
      <c r="C369" s="309">
        <v>0</v>
      </c>
      <c r="D369" s="310">
        <v>4840</v>
      </c>
      <c r="E369" s="143">
        <v>4840</v>
      </c>
      <c r="F369" s="311">
        <v>4840</v>
      </c>
      <c r="G369" s="143">
        <v>0</v>
      </c>
      <c r="H369" s="88"/>
    </row>
    <row r="370" spans="1:8" ht="15.75" hidden="1" x14ac:dyDescent="0.25">
      <c r="A370" s="312"/>
      <c r="B370" s="64" t="s">
        <v>422</v>
      </c>
      <c r="C370" s="285">
        <f>SUM(C371+C392+C427)</f>
        <v>28360000</v>
      </c>
      <c r="D370" s="286">
        <f>SUM(D371+D392+D427)</f>
        <v>26188160</v>
      </c>
      <c r="E370" s="287">
        <f>SUM(E371+E392+E427)</f>
        <v>850886.86</v>
      </c>
      <c r="F370" s="288">
        <f>SUM(F371+F392+F427)</f>
        <v>3217923.7600000002</v>
      </c>
      <c r="G370" s="287">
        <f>SUM(G371+G392+G427)</f>
        <v>41500500</v>
      </c>
      <c r="H370" s="88"/>
    </row>
    <row r="371" spans="1:8" hidden="1" x14ac:dyDescent="0.2">
      <c r="A371" s="289">
        <v>2212</v>
      </c>
      <c r="B371" s="290" t="s">
        <v>423</v>
      </c>
      <c r="C371" s="291">
        <f>SUM(C372:C387)</f>
        <v>8970000</v>
      </c>
      <c r="D371" s="292">
        <f>SUM(D372:D387)</f>
        <v>6790000</v>
      </c>
      <c r="E371" s="173">
        <f>SUM(E372:E387)</f>
        <v>104410.5</v>
      </c>
      <c r="F371" s="293">
        <f>SUM(F372:F387)</f>
        <v>2229037.41</v>
      </c>
      <c r="G371" s="173">
        <f>SUM(G372:G391)</f>
        <v>14360000</v>
      </c>
      <c r="H371" s="88"/>
    </row>
    <row r="372" spans="1:8" hidden="1" x14ac:dyDescent="0.2">
      <c r="A372" s="294" t="s">
        <v>293</v>
      </c>
      <c r="B372" s="159" t="s">
        <v>424</v>
      </c>
      <c r="C372" s="295">
        <v>200000</v>
      </c>
      <c r="D372" s="296">
        <v>200000</v>
      </c>
      <c r="E372" s="113"/>
      <c r="F372" s="297">
        <v>68480</v>
      </c>
      <c r="G372" s="113">
        <v>250000</v>
      </c>
      <c r="H372" s="88"/>
    </row>
    <row r="373" spans="1:8" hidden="1" x14ac:dyDescent="0.2">
      <c r="A373" s="294" t="s">
        <v>291</v>
      </c>
      <c r="B373" s="159" t="s">
        <v>425</v>
      </c>
      <c r="C373" s="295">
        <v>6000000</v>
      </c>
      <c r="D373" s="296">
        <v>4470000</v>
      </c>
      <c r="E373" s="113"/>
      <c r="F373" s="297">
        <v>1948524.91</v>
      </c>
      <c r="G373" s="113">
        <v>5000000</v>
      </c>
      <c r="H373" s="88"/>
    </row>
    <row r="374" spans="1:8" hidden="1" x14ac:dyDescent="0.2">
      <c r="A374" s="294" t="s">
        <v>426</v>
      </c>
      <c r="B374" s="159" t="s">
        <v>427</v>
      </c>
      <c r="C374" s="295">
        <v>600000</v>
      </c>
      <c r="D374" s="296">
        <v>600000</v>
      </c>
      <c r="E374" s="113"/>
      <c r="F374" s="297">
        <v>0</v>
      </c>
      <c r="G374" s="113">
        <v>700000</v>
      </c>
      <c r="H374" s="88"/>
    </row>
    <row r="375" spans="1:8" hidden="1" x14ac:dyDescent="0.2">
      <c r="A375" s="294" t="s">
        <v>428</v>
      </c>
      <c r="B375" s="159" t="s">
        <v>429</v>
      </c>
      <c r="C375" s="295">
        <v>150000</v>
      </c>
      <c r="D375" s="296">
        <v>150000</v>
      </c>
      <c r="E375" s="113"/>
      <c r="F375" s="297">
        <v>0</v>
      </c>
      <c r="G375" s="113">
        <v>2300000</v>
      </c>
      <c r="H375" s="88"/>
    </row>
    <row r="376" spans="1:8" hidden="1" x14ac:dyDescent="0.2">
      <c r="A376" s="294" t="s">
        <v>430</v>
      </c>
      <c r="B376" s="159" t="s">
        <v>431</v>
      </c>
      <c r="C376" s="295">
        <v>50000</v>
      </c>
      <c r="D376" s="296">
        <v>48648</v>
      </c>
      <c r="E376" s="113">
        <v>48327</v>
      </c>
      <c r="F376" s="297">
        <v>48327</v>
      </c>
      <c r="G376" s="113">
        <v>0</v>
      </c>
      <c r="H376" s="88"/>
    </row>
    <row r="377" spans="1:8" hidden="1" x14ac:dyDescent="0.2">
      <c r="A377" s="294" t="s">
        <v>432</v>
      </c>
      <c r="B377" s="159" t="s">
        <v>433</v>
      </c>
      <c r="C377" s="295">
        <v>300000</v>
      </c>
      <c r="D377" s="296">
        <v>104000</v>
      </c>
      <c r="E377" s="113"/>
      <c r="F377" s="297">
        <v>0</v>
      </c>
      <c r="G377" s="113">
        <v>0</v>
      </c>
      <c r="H377" s="88"/>
    </row>
    <row r="378" spans="1:8" hidden="1" x14ac:dyDescent="0.2">
      <c r="A378" s="294" t="s">
        <v>434</v>
      </c>
      <c r="B378" s="159" t="s">
        <v>435</v>
      </c>
      <c r="C378" s="295">
        <v>50000</v>
      </c>
      <c r="D378" s="296">
        <v>110352</v>
      </c>
      <c r="E378" s="113"/>
      <c r="F378" s="297">
        <v>20449</v>
      </c>
      <c r="G378" s="113">
        <v>1500000</v>
      </c>
      <c r="H378" s="88"/>
    </row>
    <row r="379" spans="1:8" hidden="1" x14ac:dyDescent="0.2">
      <c r="A379" s="294" t="s">
        <v>436</v>
      </c>
      <c r="B379" s="159" t="s">
        <v>437</v>
      </c>
      <c r="C379" s="295">
        <v>200000</v>
      </c>
      <c r="D379" s="296">
        <v>200000</v>
      </c>
      <c r="E379" s="113"/>
      <c r="F379" s="297">
        <v>44770</v>
      </c>
      <c r="G379" s="113">
        <v>170000</v>
      </c>
      <c r="H379" s="88"/>
    </row>
    <row r="380" spans="1:8" hidden="1" x14ac:dyDescent="0.2">
      <c r="A380" s="294" t="s">
        <v>438</v>
      </c>
      <c r="B380" s="159" t="s">
        <v>439</v>
      </c>
      <c r="C380" s="295">
        <v>600000</v>
      </c>
      <c r="D380" s="296">
        <v>50000</v>
      </c>
      <c r="E380" s="113"/>
      <c r="F380" s="297">
        <v>0</v>
      </c>
      <c r="G380" s="113">
        <v>200000</v>
      </c>
      <c r="H380" s="88"/>
    </row>
    <row r="381" spans="1:8" hidden="1" x14ac:dyDescent="0.2">
      <c r="A381" s="294" t="s">
        <v>440</v>
      </c>
      <c r="B381" s="159" t="s">
        <v>441</v>
      </c>
      <c r="C381" s="295">
        <v>70000</v>
      </c>
      <c r="D381" s="296">
        <v>70000</v>
      </c>
      <c r="E381" s="113"/>
      <c r="F381" s="297">
        <v>29335</v>
      </c>
      <c r="G381" s="113">
        <v>0</v>
      </c>
      <c r="H381" s="88"/>
    </row>
    <row r="382" spans="1:8" hidden="1" x14ac:dyDescent="0.2">
      <c r="A382" s="294" t="s">
        <v>442</v>
      </c>
      <c r="B382" s="159" t="s">
        <v>443</v>
      </c>
      <c r="C382" s="295">
        <v>150000</v>
      </c>
      <c r="D382" s="296">
        <v>150000</v>
      </c>
      <c r="E382" s="113"/>
      <c r="F382" s="297">
        <v>13068</v>
      </c>
      <c r="G382" s="113">
        <v>1400000</v>
      </c>
      <c r="H382" s="88"/>
    </row>
    <row r="383" spans="1:8" hidden="1" x14ac:dyDescent="0.2">
      <c r="A383" s="294" t="s">
        <v>444</v>
      </c>
      <c r="B383" s="159" t="s">
        <v>445</v>
      </c>
      <c r="C383" s="295">
        <v>0</v>
      </c>
      <c r="D383" s="296">
        <v>80000</v>
      </c>
      <c r="E383" s="113" t="s">
        <v>446</v>
      </c>
      <c r="F383" s="297">
        <v>0</v>
      </c>
      <c r="G383" s="113">
        <f>350000+300000</f>
        <v>650000</v>
      </c>
      <c r="H383" s="88"/>
    </row>
    <row r="384" spans="1:8" hidden="1" x14ac:dyDescent="0.2">
      <c r="A384" s="294" t="s">
        <v>447</v>
      </c>
      <c r="B384" s="159" t="s">
        <v>448</v>
      </c>
      <c r="C384" s="295">
        <v>0</v>
      </c>
      <c r="D384" s="296">
        <v>57000</v>
      </c>
      <c r="E384" s="113">
        <v>56083.5</v>
      </c>
      <c r="F384" s="297">
        <v>56083.5</v>
      </c>
      <c r="G384" s="113">
        <v>650000</v>
      </c>
      <c r="H384" s="88"/>
    </row>
    <row r="385" spans="1:8" hidden="1" x14ac:dyDescent="0.2">
      <c r="A385" s="294" t="s">
        <v>449</v>
      </c>
      <c r="B385" s="159" t="s">
        <v>450</v>
      </c>
      <c r="C385" s="295">
        <v>0</v>
      </c>
      <c r="D385" s="296">
        <v>0</v>
      </c>
      <c r="E385" s="113">
        <v>0</v>
      </c>
      <c r="F385" s="297">
        <v>0</v>
      </c>
      <c r="G385" s="113">
        <v>90000</v>
      </c>
      <c r="H385" s="88"/>
    </row>
    <row r="386" spans="1:8" hidden="1" x14ac:dyDescent="0.2">
      <c r="A386" s="294" t="s">
        <v>451</v>
      </c>
      <c r="B386" s="159" t="s">
        <v>452</v>
      </c>
      <c r="C386" s="295">
        <v>100000</v>
      </c>
      <c r="D386" s="296">
        <v>100000</v>
      </c>
      <c r="E386" s="113"/>
      <c r="F386" s="297">
        <v>0</v>
      </c>
      <c r="G386" s="113">
        <v>350000</v>
      </c>
      <c r="H386" s="88"/>
    </row>
    <row r="387" spans="1:8" hidden="1" x14ac:dyDescent="0.2">
      <c r="A387" s="294" t="s">
        <v>453</v>
      </c>
      <c r="B387" s="159" t="s">
        <v>454</v>
      </c>
      <c r="C387" s="295">
        <v>500000</v>
      </c>
      <c r="D387" s="296">
        <v>400000</v>
      </c>
      <c r="E387" s="113"/>
      <c r="F387" s="297">
        <v>0</v>
      </c>
      <c r="G387" s="113">
        <v>500000</v>
      </c>
      <c r="H387" s="88"/>
    </row>
    <row r="388" spans="1:8" hidden="1" x14ac:dyDescent="0.2">
      <c r="A388" s="294" t="s">
        <v>455</v>
      </c>
      <c r="B388" s="159" t="s">
        <v>456</v>
      </c>
      <c r="C388" s="295">
        <v>0</v>
      </c>
      <c r="D388" s="296">
        <v>0</v>
      </c>
      <c r="E388" s="113">
        <v>0</v>
      </c>
      <c r="F388" s="297">
        <v>0</v>
      </c>
      <c r="G388" s="113">
        <v>100000</v>
      </c>
      <c r="H388" s="88"/>
    </row>
    <row r="389" spans="1:8" hidden="1" x14ac:dyDescent="0.2">
      <c r="A389" s="294" t="s">
        <v>455</v>
      </c>
      <c r="B389" s="159" t="s">
        <v>457</v>
      </c>
      <c r="C389" s="295">
        <v>0</v>
      </c>
      <c r="D389" s="296">
        <v>0</v>
      </c>
      <c r="E389" s="113">
        <v>0</v>
      </c>
      <c r="F389" s="297">
        <v>0</v>
      </c>
      <c r="G389" s="113">
        <v>400000</v>
      </c>
      <c r="H389" s="88"/>
    </row>
    <row r="390" spans="1:8" hidden="1" x14ac:dyDescent="0.2">
      <c r="A390" s="294" t="s">
        <v>455</v>
      </c>
      <c r="B390" s="159" t="s">
        <v>458</v>
      </c>
      <c r="C390" s="295">
        <v>0</v>
      </c>
      <c r="D390" s="296">
        <v>0</v>
      </c>
      <c r="E390" s="113">
        <v>0</v>
      </c>
      <c r="F390" s="297">
        <v>0</v>
      </c>
      <c r="G390" s="113">
        <v>0</v>
      </c>
      <c r="H390" s="88"/>
    </row>
    <row r="391" spans="1:8" hidden="1" x14ac:dyDescent="0.2">
      <c r="A391" s="294" t="s">
        <v>455</v>
      </c>
      <c r="B391" s="159" t="s">
        <v>459</v>
      </c>
      <c r="C391" s="295">
        <v>0</v>
      </c>
      <c r="D391" s="296">
        <v>0</v>
      </c>
      <c r="E391" s="113">
        <v>0</v>
      </c>
      <c r="F391" s="297">
        <v>0</v>
      </c>
      <c r="G391" s="113">
        <v>100000</v>
      </c>
      <c r="H391" s="88"/>
    </row>
    <row r="392" spans="1:8" hidden="1" x14ac:dyDescent="0.2">
      <c r="A392" s="106">
        <v>2219</v>
      </c>
      <c r="B392" s="107" t="s">
        <v>298</v>
      </c>
      <c r="C392" s="300">
        <f>SUM(C393:C426)</f>
        <v>19390000</v>
      </c>
      <c r="D392" s="313">
        <f>SUM(D393:D426)</f>
        <v>18843480</v>
      </c>
      <c r="E392" s="109">
        <f>SUM(E393:E426)</f>
        <v>206710.5</v>
      </c>
      <c r="F392" s="153">
        <f>SUM(F393:F426)</f>
        <v>724205.41999999993</v>
      </c>
      <c r="G392" s="109">
        <f>SUM(G393:G426)</f>
        <v>27080500</v>
      </c>
      <c r="H392" s="88"/>
    </row>
    <row r="393" spans="1:8" hidden="1" x14ac:dyDescent="0.2">
      <c r="A393" s="294" t="s">
        <v>299</v>
      </c>
      <c r="B393" s="159" t="s">
        <v>460</v>
      </c>
      <c r="C393" s="295">
        <v>200000</v>
      </c>
      <c r="D393" s="296">
        <v>200000</v>
      </c>
      <c r="E393" s="113"/>
      <c r="F393" s="297">
        <v>19688</v>
      </c>
      <c r="G393" s="113">
        <v>200000</v>
      </c>
      <c r="H393" s="88"/>
    </row>
    <row r="394" spans="1:8" hidden="1" x14ac:dyDescent="0.2">
      <c r="A394" s="294" t="s">
        <v>301</v>
      </c>
      <c r="B394" s="159" t="s">
        <v>461</v>
      </c>
      <c r="C394" s="295">
        <v>3000000</v>
      </c>
      <c r="D394" s="296">
        <v>3000000</v>
      </c>
      <c r="E394" s="113"/>
      <c r="F394" s="297">
        <v>0</v>
      </c>
      <c r="G394" s="113">
        <v>3000000</v>
      </c>
      <c r="H394" s="88"/>
    </row>
    <row r="395" spans="1:8" hidden="1" x14ac:dyDescent="0.2">
      <c r="A395" s="294" t="s">
        <v>462</v>
      </c>
      <c r="B395" s="159" t="s">
        <v>463</v>
      </c>
      <c r="C395" s="295">
        <v>100000</v>
      </c>
      <c r="D395" s="296">
        <v>100000</v>
      </c>
      <c r="E395" s="113" t="s">
        <v>446</v>
      </c>
      <c r="F395" s="297">
        <v>0</v>
      </c>
      <c r="G395" s="113">
        <v>0</v>
      </c>
      <c r="H395" s="88"/>
    </row>
    <row r="396" spans="1:8" hidden="1" x14ac:dyDescent="0.2">
      <c r="A396" s="294" t="s">
        <v>464</v>
      </c>
      <c r="B396" s="159" t="s">
        <v>465</v>
      </c>
      <c r="C396" s="295">
        <v>200000</v>
      </c>
      <c r="D396" s="296">
        <v>233530</v>
      </c>
      <c r="E396" s="113"/>
      <c r="F396" s="297">
        <v>0</v>
      </c>
      <c r="G396" s="113">
        <v>200000</v>
      </c>
      <c r="H396" s="88"/>
    </row>
    <row r="397" spans="1:8" hidden="1" x14ac:dyDescent="0.2">
      <c r="A397" s="294" t="s">
        <v>466</v>
      </c>
      <c r="B397" s="159" t="s">
        <v>467</v>
      </c>
      <c r="C397" s="295">
        <v>600000</v>
      </c>
      <c r="D397" s="296">
        <v>600000</v>
      </c>
      <c r="E397" s="113"/>
      <c r="F397" s="297">
        <v>9680</v>
      </c>
      <c r="G397" s="113">
        <v>8650000</v>
      </c>
      <c r="H397" s="88"/>
    </row>
    <row r="398" spans="1:8" hidden="1" x14ac:dyDescent="0.2">
      <c r="A398" s="294" t="s">
        <v>468</v>
      </c>
      <c r="B398" s="159" t="s">
        <v>469</v>
      </c>
      <c r="C398" s="295">
        <v>100000</v>
      </c>
      <c r="D398" s="296">
        <v>100000</v>
      </c>
      <c r="E398" s="113"/>
      <c r="F398" s="297">
        <v>0</v>
      </c>
      <c r="G398" s="113">
        <v>300000</v>
      </c>
      <c r="H398" s="88"/>
    </row>
    <row r="399" spans="1:8" hidden="1" x14ac:dyDescent="0.2">
      <c r="A399" s="294" t="s">
        <v>470</v>
      </c>
      <c r="B399" s="159" t="s">
        <v>471</v>
      </c>
      <c r="C399" s="295">
        <v>500000</v>
      </c>
      <c r="D399" s="296">
        <v>50000</v>
      </c>
      <c r="E399" s="113" t="s">
        <v>446</v>
      </c>
      <c r="F399" s="297">
        <v>0</v>
      </c>
      <c r="G399" s="113">
        <v>50000</v>
      </c>
      <c r="H399" s="88"/>
    </row>
    <row r="400" spans="1:8" hidden="1" x14ac:dyDescent="0.2">
      <c r="A400" s="294" t="s">
        <v>472</v>
      </c>
      <c r="B400" s="159" t="s">
        <v>473</v>
      </c>
      <c r="C400" s="295">
        <v>80000</v>
      </c>
      <c r="D400" s="296">
        <v>80000</v>
      </c>
      <c r="E400" s="113" t="s">
        <v>446</v>
      </c>
      <c r="F400" s="297">
        <v>0</v>
      </c>
      <c r="G400" s="113">
        <v>150000</v>
      </c>
      <c r="H400" s="88"/>
    </row>
    <row r="401" spans="1:8" hidden="1" x14ac:dyDescent="0.2">
      <c r="A401" s="294" t="s">
        <v>474</v>
      </c>
      <c r="B401" s="159" t="s">
        <v>475</v>
      </c>
      <c r="C401" s="295">
        <v>70000</v>
      </c>
      <c r="D401" s="296">
        <v>70000</v>
      </c>
      <c r="E401" s="113" t="s">
        <v>446</v>
      </c>
      <c r="F401" s="297">
        <v>3000</v>
      </c>
      <c r="G401" s="113">
        <v>0</v>
      </c>
      <c r="H401" s="88"/>
    </row>
    <row r="402" spans="1:8" hidden="1" x14ac:dyDescent="0.2">
      <c r="A402" s="294" t="s">
        <v>476</v>
      </c>
      <c r="B402" s="159" t="s">
        <v>477</v>
      </c>
      <c r="C402" s="295">
        <v>120000</v>
      </c>
      <c r="D402" s="296">
        <v>120000</v>
      </c>
      <c r="E402" s="113" t="s">
        <v>446</v>
      </c>
      <c r="F402" s="297">
        <v>0</v>
      </c>
      <c r="G402" s="113">
        <v>0</v>
      </c>
      <c r="H402" s="88"/>
    </row>
    <row r="403" spans="1:8" hidden="1" x14ac:dyDescent="0.2">
      <c r="A403" s="294" t="s">
        <v>478</v>
      </c>
      <c r="B403" s="159" t="s">
        <v>479</v>
      </c>
      <c r="C403" s="295">
        <v>500000</v>
      </c>
      <c r="D403" s="296">
        <v>500000</v>
      </c>
      <c r="E403" s="113" t="s">
        <v>446</v>
      </c>
      <c r="F403" s="297">
        <v>3100</v>
      </c>
      <c r="G403" s="113">
        <v>50000</v>
      </c>
      <c r="H403" s="88"/>
    </row>
    <row r="404" spans="1:8" hidden="1" x14ac:dyDescent="0.2">
      <c r="A404" s="294" t="s">
        <v>480</v>
      </c>
      <c r="B404" s="159" t="s">
        <v>481</v>
      </c>
      <c r="C404" s="295">
        <v>2050000</v>
      </c>
      <c r="D404" s="296">
        <v>2950000</v>
      </c>
      <c r="E404" s="113"/>
      <c r="F404" s="297">
        <v>296291.92</v>
      </c>
      <c r="G404" s="113">
        <v>0</v>
      </c>
      <c r="H404" s="88"/>
    </row>
    <row r="405" spans="1:8" hidden="1" x14ac:dyDescent="0.2">
      <c r="A405" s="294" t="s">
        <v>482</v>
      </c>
      <c r="B405" s="159" t="s">
        <v>483</v>
      </c>
      <c r="C405" s="295">
        <v>500000</v>
      </c>
      <c r="D405" s="296">
        <v>16950</v>
      </c>
      <c r="E405" s="113">
        <v>7000</v>
      </c>
      <c r="F405" s="297">
        <v>7000</v>
      </c>
      <c r="G405" s="113">
        <v>0</v>
      </c>
      <c r="H405" s="88"/>
    </row>
    <row r="406" spans="1:8" hidden="1" x14ac:dyDescent="0.2">
      <c r="A406" s="294" t="s">
        <v>484</v>
      </c>
      <c r="B406" s="159" t="s">
        <v>485</v>
      </c>
      <c r="C406" s="295">
        <v>500000</v>
      </c>
      <c r="D406" s="296">
        <v>0</v>
      </c>
      <c r="E406" s="113">
        <v>0</v>
      </c>
      <c r="F406" s="297">
        <v>0</v>
      </c>
      <c r="G406" s="113">
        <v>0</v>
      </c>
      <c r="H406" s="88"/>
    </row>
    <row r="407" spans="1:8" hidden="1" x14ac:dyDescent="0.2">
      <c r="A407" s="294" t="s">
        <v>486</v>
      </c>
      <c r="B407" s="159" t="s">
        <v>487</v>
      </c>
      <c r="C407" s="295">
        <v>0</v>
      </c>
      <c r="D407" s="296">
        <v>0</v>
      </c>
      <c r="E407" s="113">
        <v>0</v>
      </c>
      <c r="F407" s="297">
        <v>0</v>
      </c>
      <c r="G407" s="113">
        <v>1200000</v>
      </c>
      <c r="H407" s="88"/>
    </row>
    <row r="408" spans="1:8" hidden="1" x14ac:dyDescent="0.2">
      <c r="A408" s="294" t="s">
        <v>488</v>
      </c>
      <c r="B408" s="159" t="s">
        <v>489</v>
      </c>
      <c r="C408" s="295">
        <v>500000</v>
      </c>
      <c r="D408" s="296">
        <v>500000</v>
      </c>
      <c r="E408" s="113"/>
      <c r="F408" s="297">
        <v>169642</v>
      </c>
      <c r="G408" s="113">
        <v>160500</v>
      </c>
      <c r="H408" s="88"/>
    </row>
    <row r="409" spans="1:8" hidden="1" x14ac:dyDescent="0.2">
      <c r="A409" s="294" t="s">
        <v>490</v>
      </c>
      <c r="B409" s="159" t="s">
        <v>491</v>
      </c>
      <c r="C409" s="295">
        <v>10000000</v>
      </c>
      <c r="D409" s="296">
        <v>10000000</v>
      </c>
      <c r="E409" s="113"/>
      <c r="F409" s="297">
        <v>0</v>
      </c>
      <c r="G409" s="113">
        <v>8500000</v>
      </c>
      <c r="H409" s="88"/>
    </row>
    <row r="410" spans="1:8" hidden="1" x14ac:dyDescent="0.2">
      <c r="A410" s="294" t="s">
        <v>492</v>
      </c>
      <c r="B410" s="159" t="s">
        <v>493</v>
      </c>
      <c r="C410" s="295">
        <v>100000</v>
      </c>
      <c r="D410" s="296">
        <v>0</v>
      </c>
      <c r="E410" s="113">
        <v>0</v>
      </c>
      <c r="F410" s="297">
        <v>0</v>
      </c>
      <c r="G410" s="113">
        <v>100000</v>
      </c>
      <c r="H410" s="88"/>
    </row>
    <row r="411" spans="1:8" hidden="1" x14ac:dyDescent="0.2">
      <c r="A411" s="294" t="s">
        <v>494</v>
      </c>
      <c r="B411" s="159" t="s">
        <v>495</v>
      </c>
      <c r="C411" s="295">
        <v>0</v>
      </c>
      <c r="D411" s="296">
        <v>0</v>
      </c>
      <c r="E411" s="113">
        <v>0</v>
      </c>
      <c r="F411" s="297">
        <v>0</v>
      </c>
      <c r="G411" s="113">
        <v>550000</v>
      </c>
      <c r="H411" s="88"/>
    </row>
    <row r="412" spans="1:8" hidden="1" x14ac:dyDescent="0.2">
      <c r="A412" s="294" t="s">
        <v>496</v>
      </c>
      <c r="B412" s="159" t="s">
        <v>497</v>
      </c>
      <c r="C412" s="295">
        <v>0</v>
      </c>
      <c r="D412" s="296">
        <v>20000</v>
      </c>
      <c r="E412" s="113" t="s">
        <v>446</v>
      </c>
      <c r="F412" s="297">
        <v>16093</v>
      </c>
      <c r="G412" s="113">
        <v>1500000</v>
      </c>
      <c r="H412" s="88"/>
    </row>
    <row r="413" spans="1:8" hidden="1" x14ac:dyDescent="0.2">
      <c r="A413" s="294" t="s">
        <v>498</v>
      </c>
      <c r="B413" s="159" t="s">
        <v>499</v>
      </c>
      <c r="C413" s="295">
        <v>200000</v>
      </c>
      <c r="D413" s="296">
        <v>233000</v>
      </c>
      <c r="E413" s="113">
        <v>199710.5</v>
      </c>
      <c r="F413" s="297">
        <v>199710.5</v>
      </c>
      <c r="G413" s="113">
        <v>200000</v>
      </c>
      <c r="H413" s="88"/>
    </row>
    <row r="414" spans="1:8" hidden="1" x14ac:dyDescent="0.2">
      <c r="A414" s="294" t="s">
        <v>500</v>
      </c>
      <c r="B414" s="159" t="s">
        <v>501</v>
      </c>
      <c r="C414" s="295">
        <v>70000</v>
      </c>
      <c r="D414" s="296">
        <v>70000</v>
      </c>
      <c r="E414" s="113"/>
      <c r="F414" s="297">
        <v>0</v>
      </c>
      <c r="G414" s="113">
        <v>70000</v>
      </c>
      <c r="H414" s="88"/>
    </row>
    <row r="415" spans="1:8" hidden="1" x14ac:dyDescent="0.2">
      <c r="A415" s="294" t="s">
        <v>502</v>
      </c>
      <c r="B415" s="159" t="s">
        <v>503</v>
      </c>
      <c r="C415" s="295">
        <v>0</v>
      </c>
      <c r="D415" s="296">
        <v>0</v>
      </c>
      <c r="E415" s="113">
        <v>0</v>
      </c>
      <c r="F415" s="297">
        <v>0</v>
      </c>
      <c r="G415" s="113">
        <v>500000</v>
      </c>
      <c r="H415" s="88"/>
    </row>
    <row r="416" spans="1:8" hidden="1" x14ac:dyDescent="0.2">
      <c r="A416" s="294" t="s">
        <v>502</v>
      </c>
      <c r="B416" s="159" t="s">
        <v>504</v>
      </c>
      <c r="C416" s="295">
        <v>0</v>
      </c>
      <c r="D416" s="296">
        <v>0</v>
      </c>
      <c r="E416" s="113">
        <v>0</v>
      </c>
      <c r="F416" s="297">
        <v>0</v>
      </c>
      <c r="G416" s="113">
        <v>200000</v>
      </c>
      <c r="H416" s="88"/>
    </row>
    <row r="417" spans="1:8" hidden="1" x14ac:dyDescent="0.2">
      <c r="A417" s="294" t="s">
        <v>502</v>
      </c>
      <c r="B417" s="159" t="s">
        <v>505</v>
      </c>
      <c r="C417" s="295">
        <v>0</v>
      </c>
      <c r="D417" s="296">
        <v>0</v>
      </c>
      <c r="E417" s="113">
        <v>0</v>
      </c>
      <c r="F417" s="297">
        <v>0</v>
      </c>
      <c r="G417" s="113">
        <v>100000</v>
      </c>
      <c r="H417" s="88"/>
    </row>
    <row r="418" spans="1:8" hidden="1" x14ac:dyDescent="0.2">
      <c r="A418" s="294" t="s">
        <v>502</v>
      </c>
      <c r="B418" s="159" t="s">
        <v>506</v>
      </c>
      <c r="C418" s="295">
        <v>0</v>
      </c>
      <c r="D418" s="296">
        <v>0</v>
      </c>
      <c r="E418" s="113">
        <v>0</v>
      </c>
      <c r="F418" s="297">
        <v>0</v>
      </c>
      <c r="G418" s="113">
        <v>100000</v>
      </c>
      <c r="H418" s="88"/>
    </row>
    <row r="419" spans="1:8" hidden="1" x14ac:dyDescent="0.2">
      <c r="A419" s="294" t="s">
        <v>502</v>
      </c>
      <c r="B419" s="159" t="s">
        <v>507</v>
      </c>
      <c r="C419" s="295">
        <v>0</v>
      </c>
      <c r="D419" s="296">
        <v>0</v>
      </c>
      <c r="E419" s="113">
        <v>0</v>
      </c>
      <c r="F419" s="297">
        <v>0</v>
      </c>
      <c r="G419" s="113">
        <v>100000</v>
      </c>
      <c r="H419" s="88"/>
    </row>
    <row r="420" spans="1:8" hidden="1" x14ac:dyDescent="0.2">
      <c r="A420" s="294" t="s">
        <v>502</v>
      </c>
      <c r="B420" s="159" t="s">
        <v>508</v>
      </c>
      <c r="C420" s="295">
        <v>0</v>
      </c>
      <c r="D420" s="296">
        <v>0</v>
      </c>
      <c r="E420" s="113">
        <v>0</v>
      </c>
      <c r="F420" s="297">
        <v>0</v>
      </c>
      <c r="G420" s="113">
        <v>150000</v>
      </c>
      <c r="H420" s="88"/>
    </row>
    <row r="421" spans="1:8" hidden="1" x14ac:dyDescent="0.2">
      <c r="A421" s="294" t="s">
        <v>502</v>
      </c>
      <c r="B421" s="159" t="s">
        <v>509</v>
      </c>
      <c r="C421" s="295">
        <v>0</v>
      </c>
      <c r="D421" s="296">
        <v>0</v>
      </c>
      <c r="E421" s="113">
        <v>0</v>
      </c>
      <c r="F421" s="297">
        <v>0</v>
      </c>
      <c r="G421" s="113">
        <v>100000</v>
      </c>
      <c r="H421" s="88"/>
    </row>
    <row r="422" spans="1:8" hidden="1" x14ac:dyDescent="0.2">
      <c r="A422" s="294" t="s">
        <v>502</v>
      </c>
      <c r="B422" s="159" t="s">
        <v>510</v>
      </c>
      <c r="C422" s="295">
        <v>0</v>
      </c>
      <c r="D422" s="296">
        <v>0</v>
      </c>
      <c r="E422" s="113">
        <v>0</v>
      </c>
      <c r="F422" s="297">
        <v>0</v>
      </c>
      <c r="G422" s="113">
        <v>100000</v>
      </c>
      <c r="H422" s="32"/>
    </row>
    <row r="423" spans="1:8" hidden="1" x14ac:dyDescent="0.2">
      <c r="A423" s="294" t="s">
        <v>502</v>
      </c>
      <c r="B423" s="159" t="s">
        <v>511</v>
      </c>
      <c r="C423" s="295">
        <v>0</v>
      </c>
      <c r="D423" s="296">
        <v>0</v>
      </c>
      <c r="E423" s="113">
        <v>0</v>
      </c>
      <c r="F423" s="297">
        <v>0</v>
      </c>
      <c r="G423" s="113">
        <v>150000</v>
      </c>
      <c r="H423" s="88"/>
    </row>
    <row r="424" spans="1:8" hidden="1" x14ac:dyDescent="0.2">
      <c r="A424" s="294" t="s">
        <v>502</v>
      </c>
      <c r="B424" s="159" t="s">
        <v>512</v>
      </c>
      <c r="C424" s="295">
        <v>0</v>
      </c>
      <c r="D424" s="296">
        <v>0</v>
      </c>
      <c r="E424" s="113">
        <v>0</v>
      </c>
      <c r="F424" s="297">
        <v>0</v>
      </c>
      <c r="G424" s="113">
        <v>700000</v>
      </c>
      <c r="H424" s="88"/>
    </row>
    <row r="425" spans="1:8" hidden="1" x14ac:dyDescent="0.2">
      <c r="A425" s="294" t="s">
        <v>502</v>
      </c>
      <c r="B425" s="159" t="s">
        <v>513</v>
      </c>
      <c r="C425" s="295">
        <v>0</v>
      </c>
      <c r="D425" s="296">
        <v>0</v>
      </c>
      <c r="E425" s="113">
        <v>0</v>
      </c>
      <c r="F425" s="297">
        <v>0</v>
      </c>
      <c r="G425" s="113">
        <v>0</v>
      </c>
      <c r="H425" s="88"/>
    </row>
    <row r="426" spans="1:8" hidden="1" x14ac:dyDescent="0.2">
      <c r="A426" s="294" t="s">
        <v>502</v>
      </c>
      <c r="B426" s="159" t="s">
        <v>514</v>
      </c>
      <c r="C426" s="295">
        <v>0</v>
      </c>
      <c r="D426" s="296">
        <v>0</v>
      </c>
      <c r="E426" s="113">
        <v>0</v>
      </c>
      <c r="F426" s="297">
        <v>0</v>
      </c>
      <c r="G426" s="113">
        <v>0</v>
      </c>
      <c r="H426" s="88"/>
    </row>
    <row r="427" spans="1:8" hidden="1" x14ac:dyDescent="0.2">
      <c r="A427" s="106">
        <v>2221</v>
      </c>
      <c r="B427" s="107" t="s">
        <v>307</v>
      </c>
      <c r="C427" s="300">
        <f>SUM(C428:C430)</f>
        <v>0</v>
      </c>
      <c r="D427" s="313">
        <f>SUM(D428:D430)</f>
        <v>554680</v>
      </c>
      <c r="E427" s="109">
        <f>SUM(E428:E430)</f>
        <v>539765.86</v>
      </c>
      <c r="F427" s="153">
        <f>SUM(F428:F430)</f>
        <v>264680.93</v>
      </c>
      <c r="G427" s="109">
        <f>SUM(G428:G431)</f>
        <v>60000</v>
      </c>
      <c r="H427" s="88"/>
    </row>
    <row r="428" spans="1:8" hidden="1" x14ac:dyDescent="0.2">
      <c r="A428" s="294" t="s">
        <v>515</v>
      </c>
      <c r="B428" s="159" t="s">
        <v>516</v>
      </c>
      <c r="C428" s="295">
        <v>0</v>
      </c>
      <c r="D428" s="296">
        <v>4840</v>
      </c>
      <c r="E428" s="113">
        <v>4840</v>
      </c>
      <c r="F428" s="297">
        <v>4840</v>
      </c>
      <c r="G428" s="113">
        <v>0</v>
      </c>
      <c r="H428" s="88"/>
    </row>
    <row r="429" spans="1:8" hidden="1" x14ac:dyDescent="0.2">
      <c r="A429" s="294" t="s">
        <v>517</v>
      </c>
      <c r="B429" s="159" t="s">
        <v>518</v>
      </c>
      <c r="C429" s="295">
        <v>0</v>
      </c>
      <c r="D429" s="296">
        <v>4840</v>
      </c>
      <c r="E429" s="113">
        <v>4840</v>
      </c>
      <c r="F429" s="297">
        <v>4840</v>
      </c>
      <c r="G429" s="113">
        <v>0</v>
      </c>
      <c r="H429" s="88"/>
    </row>
    <row r="430" spans="1:8" hidden="1" x14ac:dyDescent="0.2">
      <c r="A430" s="294" t="s">
        <v>519</v>
      </c>
      <c r="B430" s="159" t="s">
        <v>520</v>
      </c>
      <c r="C430" s="295">
        <v>0</v>
      </c>
      <c r="D430" s="296">
        <v>545000</v>
      </c>
      <c r="E430" s="113">
        <v>530085.86</v>
      </c>
      <c r="F430" s="297">
        <v>255000.93</v>
      </c>
      <c r="G430" s="113">
        <v>0</v>
      </c>
      <c r="H430" s="88"/>
    </row>
    <row r="431" spans="1:8" hidden="1" x14ac:dyDescent="0.2">
      <c r="A431" s="307" t="s">
        <v>521</v>
      </c>
      <c r="B431" s="314" t="s">
        <v>522</v>
      </c>
      <c r="C431" s="315">
        <v>0</v>
      </c>
      <c r="D431" s="316">
        <v>0</v>
      </c>
      <c r="E431" s="241">
        <v>0</v>
      </c>
      <c r="F431" s="317">
        <v>0</v>
      </c>
      <c r="G431" s="241">
        <v>60000</v>
      </c>
      <c r="H431" s="88"/>
    </row>
    <row r="432" spans="1:8" ht="15.75" hidden="1" x14ac:dyDescent="0.25">
      <c r="A432" s="312"/>
      <c r="B432" s="64" t="s">
        <v>523</v>
      </c>
      <c r="C432" s="285">
        <f>SUM(C433+C435)</f>
        <v>10270000</v>
      </c>
      <c r="D432" s="286">
        <f>SUM(D433+D435)</f>
        <v>4360000</v>
      </c>
      <c r="E432" s="287">
        <f>SUM(E433+E435)</f>
        <v>1000</v>
      </c>
      <c r="F432" s="288">
        <f>SUM(F433+F435)</f>
        <v>1152211.8800000001</v>
      </c>
      <c r="G432" s="287">
        <f>SUM(G433+G435)</f>
        <v>6295000</v>
      </c>
      <c r="H432" s="88"/>
    </row>
    <row r="433" spans="1:8" hidden="1" x14ac:dyDescent="0.2">
      <c r="A433" s="289">
        <v>3613</v>
      </c>
      <c r="B433" s="290" t="s">
        <v>524</v>
      </c>
      <c r="C433" s="291">
        <f>C434</f>
        <v>900000</v>
      </c>
      <c r="D433" s="292">
        <f>D434</f>
        <v>400000</v>
      </c>
      <c r="E433" s="173">
        <f>E434</f>
        <v>0</v>
      </c>
      <c r="F433" s="293">
        <f>F434</f>
        <v>8000</v>
      </c>
      <c r="G433" s="173">
        <f>G434</f>
        <v>550000</v>
      </c>
      <c r="H433" s="88"/>
    </row>
    <row r="434" spans="1:8" hidden="1" x14ac:dyDescent="0.2">
      <c r="A434" s="294" t="s">
        <v>525</v>
      </c>
      <c r="B434" s="159" t="s">
        <v>526</v>
      </c>
      <c r="C434" s="295">
        <v>900000</v>
      </c>
      <c r="D434" s="296">
        <v>400000</v>
      </c>
      <c r="E434" s="113">
        <v>0</v>
      </c>
      <c r="F434" s="297">
        <v>8000</v>
      </c>
      <c r="G434" s="113">
        <v>550000</v>
      </c>
      <c r="H434" s="88"/>
    </row>
    <row r="435" spans="1:8" hidden="1" x14ac:dyDescent="0.2">
      <c r="A435" s="106">
        <v>3639</v>
      </c>
      <c r="B435" s="107" t="s">
        <v>527</v>
      </c>
      <c r="C435" s="300">
        <f>SUM(C436:C444)</f>
        <v>9370000</v>
      </c>
      <c r="D435" s="313">
        <f>SUM(D436:D444)</f>
        <v>3960000</v>
      </c>
      <c r="E435" s="109">
        <f>SUM(E436:E444)</f>
        <v>1000</v>
      </c>
      <c r="F435" s="153">
        <f>SUM(F436:F444)</f>
        <v>1144211.8800000001</v>
      </c>
      <c r="G435" s="109">
        <f>SUM(G436:G444)</f>
        <v>5745000</v>
      </c>
      <c r="H435" s="88"/>
    </row>
    <row r="436" spans="1:8" hidden="1" x14ac:dyDescent="0.2">
      <c r="A436" s="294" t="s">
        <v>528</v>
      </c>
      <c r="B436" s="159" t="s">
        <v>529</v>
      </c>
      <c r="C436" s="295">
        <v>260000</v>
      </c>
      <c r="D436" s="296">
        <v>0</v>
      </c>
      <c r="E436" s="113">
        <v>0</v>
      </c>
      <c r="F436" s="297">
        <v>0</v>
      </c>
      <c r="G436" s="113">
        <v>650000</v>
      </c>
      <c r="H436" s="88"/>
    </row>
    <row r="437" spans="1:8" hidden="1" x14ac:dyDescent="0.2">
      <c r="A437" s="294" t="s">
        <v>530</v>
      </c>
      <c r="B437" s="159" t="s">
        <v>531</v>
      </c>
      <c r="C437" s="295">
        <v>50000</v>
      </c>
      <c r="D437" s="296">
        <v>50000</v>
      </c>
      <c r="E437" s="113"/>
      <c r="F437" s="297">
        <v>12717.55</v>
      </c>
      <c r="G437" s="113">
        <v>20000</v>
      </c>
      <c r="H437" s="88"/>
    </row>
    <row r="438" spans="1:8" hidden="1" x14ac:dyDescent="0.2">
      <c r="A438" s="294" t="s">
        <v>532</v>
      </c>
      <c r="B438" s="159" t="s">
        <v>533</v>
      </c>
      <c r="C438" s="295">
        <v>0</v>
      </c>
      <c r="D438" s="296">
        <v>0</v>
      </c>
      <c r="E438" s="113">
        <v>0</v>
      </c>
      <c r="F438" s="297">
        <v>0</v>
      </c>
      <c r="G438" s="113">
        <v>20000</v>
      </c>
      <c r="H438" s="88"/>
    </row>
    <row r="439" spans="1:8" hidden="1" x14ac:dyDescent="0.2">
      <c r="A439" s="294" t="s">
        <v>534</v>
      </c>
      <c r="B439" s="159" t="s">
        <v>535</v>
      </c>
      <c r="C439" s="295">
        <v>0</v>
      </c>
      <c r="D439" s="296">
        <v>1000</v>
      </c>
      <c r="E439" s="113">
        <v>1000</v>
      </c>
      <c r="F439" s="297">
        <v>1000</v>
      </c>
      <c r="G439" s="113">
        <v>470000</v>
      </c>
      <c r="H439" s="88"/>
    </row>
    <row r="440" spans="1:8" ht="36" hidden="1" x14ac:dyDescent="0.2">
      <c r="A440" s="294" t="s">
        <v>536</v>
      </c>
      <c r="B440" s="318" t="s">
        <v>537</v>
      </c>
      <c r="C440" s="295">
        <v>8950000</v>
      </c>
      <c r="D440" s="296">
        <v>3756600</v>
      </c>
      <c r="E440" s="113" t="s">
        <v>446</v>
      </c>
      <c r="F440" s="297">
        <v>1129022.33</v>
      </c>
      <c r="G440" s="113">
        <v>4540000</v>
      </c>
      <c r="H440" s="88"/>
    </row>
    <row r="441" spans="1:8" hidden="1" x14ac:dyDescent="0.2">
      <c r="A441" s="294" t="s">
        <v>538</v>
      </c>
      <c r="B441" s="159" t="s">
        <v>539</v>
      </c>
      <c r="C441" s="295">
        <v>10000</v>
      </c>
      <c r="D441" s="296">
        <v>10000</v>
      </c>
      <c r="E441" s="113" t="s">
        <v>446</v>
      </c>
      <c r="F441" s="297">
        <v>1472</v>
      </c>
      <c r="G441" s="113">
        <v>45000</v>
      </c>
      <c r="H441" s="88"/>
    </row>
    <row r="442" spans="1:8" hidden="1" x14ac:dyDescent="0.2">
      <c r="A442" s="294" t="s">
        <v>540</v>
      </c>
      <c r="B442" s="159" t="s">
        <v>541</v>
      </c>
      <c r="C442" s="295">
        <v>50000</v>
      </c>
      <c r="D442" s="296">
        <v>0</v>
      </c>
      <c r="E442" s="113">
        <v>0</v>
      </c>
      <c r="F442" s="297">
        <v>0</v>
      </c>
      <c r="G442" s="113">
        <v>0</v>
      </c>
      <c r="H442" s="88"/>
    </row>
    <row r="443" spans="1:8" hidden="1" x14ac:dyDescent="0.2">
      <c r="A443" s="294" t="s">
        <v>542</v>
      </c>
      <c r="B443" s="159" t="s">
        <v>543</v>
      </c>
      <c r="C443" s="295">
        <v>50000</v>
      </c>
      <c r="D443" s="296">
        <v>50000</v>
      </c>
      <c r="E443" s="113" t="s">
        <v>446</v>
      </c>
      <c r="F443" s="297">
        <v>0</v>
      </c>
      <c r="G443" s="113">
        <v>0</v>
      </c>
      <c r="H443" s="88"/>
    </row>
    <row r="444" spans="1:8" hidden="1" x14ac:dyDescent="0.2">
      <c r="A444" s="307" t="s">
        <v>544</v>
      </c>
      <c r="B444" s="314" t="s">
        <v>545</v>
      </c>
      <c r="C444" s="315">
        <v>0</v>
      </c>
      <c r="D444" s="316">
        <v>92400</v>
      </c>
      <c r="E444" s="241"/>
      <c r="F444" s="317">
        <v>0</v>
      </c>
      <c r="G444" s="241">
        <v>0</v>
      </c>
      <c r="H444" s="88"/>
    </row>
    <row r="445" spans="1:8" ht="15.75" hidden="1" x14ac:dyDescent="0.25">
      <c r="A445" s="312"/>
      <c r="B445" s="64" t="s">
        <v>546</v>
      </c>
      <c r="C445" s="319">
        <f>SUM(C446,C449,C455,C469,C472)</f>
        <v>38897343</v>
      </c>
      <c r="D445" s="320">
        <f>SUM(D446,D449,D455,D469,D472)</f>
        <v>36797343</v>
      </c>
      <c r="E445" s="137">
        <f>SUM(E446,E449,E455,E469,E472)</f>
        <v>313046.65000000002</v>
      </c>
      <c r="F445" s="321">
        <f>SUM(F446,F449,F455,F469,F472)</f>
        <v>963168.65</v>
      </c>
      <c r="G445" s="137">
        <f>SUM(G446,G449,G455,G469,G472)</f>
        <v>52726000</v>
      </c>
      <c r="H445" s="88"/>
    </row>
    <row r="446" spans="1:8" hidden="1" x14ac:dyDescent="0.2">
      <c r="A446" s="289">
        <v>3412</v>
      </c>
      <c r="B446" s="290" t="s">
        <v>547</v>
      </c>
      <c r="C446" s="291">
        <f>SUM(C447:C448)</f>
        <v>0</v>
      </c>
      <c r="D446" s="292">
        <f>SUM(D447:D448)</f>
        <v>0</v>
      </c>
      <c r="E446" s="173">
        <f>SUM(E447:E448)</f>
        <v>0</v>
      </c>
      <c r="F446" s="293">
        <f>SUM(F447:F448)</f>
        <v>0</v>
      </c>
      <c r="G446" s="173">
        <f>SUM(G447:G448)</f>
        <v>2500000</v>
      </c>
      <c r="H446" s="88"/>
    </row>
    <row r="447" spans="1:8" hidden="1" x14ac:dyDescent="0.2">
      <c r="A447" s="294" t="s">
        <v>548</v>
      </c>
      <c r="B447" s="159" t="s">
        <v>549</v>
      </c>
      <c r="C447" s="295">
        <v>0</v>
      </c>
      <c r="D447" s="296">
        <v>0</v>
      </c>
      <c r="E447" s="113">
        <v>0</v>
      </c>
      <c r="F447" s="297">
        <v>0</v>
      </c>
      <c r="G447" s="113">
        <v>500000</v>
      </c>
      <c r="H447" s="88"/>
    </row>
    <row r="448" spans="1:8" hidden="1" x14ac:dyDescent="0.2">
      <c r="A448" s="294" t="s">
        <v>548</v>
      </c>
      <c r="B448" s="159" t="s">
        <v>550</v>
      </c>
      <c r="C448" s="295">
        <v>0</v>
      </c>
      <c r="D448" s="296">
        <v>0</v>
      </c>
      <c r="E448" s="113">
        <v>0</v>
      </c>
      <c r="F448" s="297">
        <v>0</v>
      </c>
      <c r="G448" s="113">
        <v>2000000</v>
      </c>
      <c r="H448" s="88"/>
    </row>
    <row r="449" spans="1:8" hidden="1" x14ac:dyDescent="0.2">
      <c r="A449" s="106">
        <v>3613</v>
      </c>
      <c r="B449" s="107" t="s">
        <v>352</v>
      </c>
      <c r="C449" s="300">
        <f>SUM(C450:C454)</f>
        <v>542343</v>
      </c>
      <c r="D449" s="313">
        <f>SUM(D450:D454)</f>
        <v>542343</v>
      </c>
      <c r="E449" s="109">
        <f>SUM(E450:E454)</f>
        <v>0</v>
      </c>
      <c r="F449" s="153">
        <f>SUM(F450:F454)</f>
        <v>48400</v>
      </c>
      <c r="G449" s="109">
        <f>SUM(G450:G454)</f>
        <v>8010000</v>
      </c>
      <c r="H449" s="88"/>
    </row>
    <row r="450" spans="1:8" hidden="1" x14ac:dyDescent="0.2">
      <c r="A450" s="294" t="s">
        <v>551</v>
      </c>
      <c r="B450" s="159" t="s">
        <v>552</v>
      </c>
      <c r="C450" s="295">
        <v>72343</v>
      </c>
      <c r="D450" s="296">
        <v>72343</v>
      </c>
      <c r="E450" s="113" t="s">
        <v>446</v>
      </c>
      <c r="F450" s="297">
        <v>0</v>
      </c>
      <c r="G450" s="113">
        <v>0</v>
      </c>
      <c r="H450" s="88"/>
    </row>
    <row r="451" spans="1:8" hidden="1" x14ac:dyDescent="0.2">
      <c r="A451" s="294" t="s">
        <v>553</v>
      </c>
      <c r="B451" s="159" t="s">
        <v>554</v>
      </c>
      <c r="C451" s="295">
        <v>300000</v>
      </c>
      <c r="D451" s="296">
        <v>300000</v>
      </c>
      <c r="E451" s="113"/>
      <c r="F451" s="297">
        <v>0</v>
      </c>
      <c r="G451" s="113">
        <v>200000</v>
      </c>
      <c r="H451" s="88"/>
    </row>
    <row r="452" spans="1:8" hidden="1" x14ac:dyDescent="0.2">
      <c r="A452" s="294" t="s">
        <v>555</v>
      </c>
      <c r="B452" s="159" t="s">
        <v>556</v>
      </c>
      <c r="C452" s="295">
        <v>70000</v>
      </c>
      <c r="D452" s="296">
        <v>70000</v>
      </c>
      <c r="E452" s="113"/>
      <c r="F452" s="297">
        <v>0</v>
      </c>
      <c r="G452" s="113">
        <v>10000</v>
      </c>
      <c r="H452" s="88"/>
    </row>
    <row r="453" spans="1:8" hidden="1" x14ac:dyDescent="0.2">
      <c r="A453" s="294" t="s">
        <v>557</v>
      </c>
      <c r="B453" s="159" t="s">
        <v>558</v>
      </c>
      <c r="C453" s="295">
        <v>100000</v>
      </c>
      <c r="D453" s="296">
        <v>100000</v>
      </c>
      <c r="E453" s="113"/>
      <c r="F453" s="297">
        <v>48400</v>
      </c>
      <c r="G453" s="113">
        <v>7800000</v>
      </c>
      <c r="H453" s="88"/>
    </row>
    <row r="454" spans="1:8" hidden="1" x14ac:dyDescent="0.2">
      <c r="A454" s="294" t="s">
        <v>559</v>
      </c>
      <c r="B454" s="159" t="s">
        <v>560</v>
      </c>
      <c r="C454" s="295">
        <v>0</v>
      </c>
      <c r="D454" s="296">
        <v>0</v>
      </c>
      <c r="E454" s="113">
        <v>0</v>
      </c>
      <c r="F454" s="297">
        <v>0</v>
      </c>
      <c r="G454" s="113">
        <v>0</v>
      </c>
      <c r="H454" s="88"/>
    </row>
    <row r="455" spans="1:8" hidden="1" x14ac:dyDescent="0.2">
      <c r="A455" s="106">
        <v>3631</v>
      </c>
      <c r="B455" s="107" t="s">
        <v>366</v>
      </c>
      <c r="C455" s="300">
        <f>SUM(C456:C468)</f>
        <v>3555000</v>
      </c>
      <c r="D455" s="313">
        <f>SUM(D456:D468)</f>
        <v>3055000</v>
      </c>
      <c r="E455" s="109">
        <f>SUM(E456:E468)</f>
        <v>313046.65000000002</v>
      </c>
      <c r="F455" s="153">
        <f>SUM(F456:F468)</f>
        <v>344272.65</v>
      </c>
      <c r="G455" s="109">
        <f>SUM(G456:G468)</f>
        <v>10716000</v>
      </c>
      <c r="H455" s="88"/>
    </row>
    <row r="456" spans="1:8" hidden="1" x14ac:dyDescent="0.2">
      <c r="A456" s="294" t="s">
        <v>561</v>
      </c>
      <c r="B456" s="159" t="s">
        <v>562</v>
      </c>
      <c r="C456" s="295">
        <v>500000</v>
      </c>
      <c r="D456" s="296">
        <v>295000</v>
      </c>
      <c r="E456" s="113"/>
      <c r="F456" s="297">
        <v>0</v>
      </c>
      <c r="G456" s="113">
        <v>0</v>
      </c>
      <c r="H456" s="32"/>
    </row>
    <row r="457" spans="1:8" hidden="1" x14ac:dyDescent="0.2">
      <c r="A457" s="294" t="s">
        <v>563</v>
      </c>
      <c r="B457" s="159" t="s">
        <v>564</v>
      </c>
      <c r="C457" s="295">
        <v>230000</v>
      </c>
      <c r="D457" s="296">
        <v>230000</v>
      </c>
      <c r="E457" s="113">
        <v>192909.68</v>
      </c>
      <c r="F457" s="297">
        <v>192909.68</v>
      </c>
      <c r="G457" s="113">
        <v>0</v>
      </c>
      <c r="H457" s="88"/>
    </row>
    <row r="458" spans="1:8" hidden="1" x14ac:dyDescent="0.2">
      <c r="A458" s="294" t="s">
        <v>565</v>
      </c>
      <c r="B458" s="159" t="s">
        <v>566</v>
      </c>
      <c r="C458" s="295">
        <v>700000</v>
      </c>
      <c r="D458" s="296">
        <v>700000</v>
      </c>
      <c r="E458" s="113" t="s">
        <v>446</v>
      </c>
      <c r="F458" s="297">
        <v>0</v>
      </c>
      <c r="G458" s="113">
        <v>0</v>
      </c>
      <c r="H458" s="88"/>
    </row>
    <row r="459" spans="1:8" hidden="1" x14ac:dyDescent="0.2">
      <c r="A459" s="294" t="s">
        <v>567</v>
      </c>
      <c r="B459" s="159" t="s">
        <v>568</v>
      </c>
      <c r="C459" s="295">
        <v>200000</v>
      </c>
      <c r="D459" s="296">
        <v>200000</v>
      </c>
      <c r="E459" s="113"/>
      <c r="F459" s="297">
        <v>0</v>
      </c>
      <c r="G459" s="113">
        <v>6600000</v>
      </c>
      <c r="H459" s="88"/>
    </row>
    <row r="460" spans="1:8" hidden="1" x14ac:dyDescent="0.2">
      <c r="A460" s="294" t="s">
        <v>569</v>
      </c>
      <c r="B460" s="159" t="s">
        <v>570</v>
      </c>
      <c r="C460" s="295">
        <v>35000</v>
      </c>
      <c r="D460" s="296">
        <v>40000</v>
      </c>
      <c r="E460" s="113">
        <v>39546.97</v>
      </c>
      <c r="F460" s="297">
        <v>39546.97</v>
      </c>
      <c r="G460" s="113">
        <v>0</v>
      </c>
      <c r="H460" s="88"/>
    </row>
    <row r="461" spans="1:8" hidden="1" x14ac:dyDescent="0.2">
      <c r="A461" s="294" t="s">
        <v>571</v>
      </c>
      <c r="B461" s="159" t="s">
        <v>572</v>
      </c>
      <c r="C461" s="295">
        <v>80000</v>
      </c>
      <c r="D461" s="296">
        <v>80000</v>
      </c>
      <c r="E461" s="113">
        <v>59290</v>
      </c>
      <c r="F461" s="297">
        <v>59290</v>
      </c>
      <c r="G461" s="113">
        <v>1400000</v>
      </c>
      <c r="H461" s="88"/>
    </row>
    <row r="462" spans="1:8" hidden="1" x14ac:dyDescent="0.2">
      <c r="A462" s="294" t="s">
        <v>573</v>
      </c>
      <c r="B462" s="159" t="s">
        <v>574</v>
      </c>
      <c r="C462" s="295">
        <v>1400000</v>
      </c>
      <c r="D462" s="296">
        <v>1100000</v>
      </c>
      <c r="E462" s="113" t="s">
        <v>446</v>
      </c>
      <c r="F462" s="297">
        <v>31226</v>
      </c>
      <c r="G462" s="113">
        <v>0</v>
      </c>
      <c r="H462" s="88"/>
    </row>
    <row r="463" spans="1:8" hidden="1" x14ac:dyDescent="0.2">
      <c r="A463" s="294" t="s">
        <v>575</v>
      </c>
      <c r="B463" s="159" t="s">
        <v>576</v>
      </c>
      <c r="C463" s="295">
        <v>60000</v>
      </c>
      <c r="D463" s="296">
        <v>60000</v>
      </c>
      <c r="E463" s="113">
        <v>21300</v>
      </c>
      <c r="F463" s="297">
        <v>21300</v>
      </c>
      <c r="G463" s="113">
        <v>0</v>
      </c>
      <c r="H463" s="88"/>
    </row>
    <row r="464" spans="1:8" hidden="1" x14ac:dyDescent="0.2">
      <c r="A464" s="294" t="s">
        <v>577</v>
      </c>
      <c r="B464" s="159" t="s">
        <v>578</v>
      </c>
      <c r="C464" s="295">
        <v>100000</v>
      </c>
      <c r="D464" s="296">
        <v>100000</v>
      </c>
      <c r="E464" s="113" t="s">
        <v>446</v>
      </c>
      <c r="F464" s="297">
        <v>0</v>
      </c>
      <c r="G464" s="113">
        <v>1466000</v>
      </c>
      <c r="H464" s="88"/>
    </row>
    <row r="465" spans="1:8" hidden="1" x14ac:dyDescent="0.2">
      <c r="A465" s="294" t="s">
        <v>579</v>
      </c>
      <c r="B465" s="159" t="s">
        <v>580</v>
      </c>
      <c r="C465" s="295">
        <v>100000</v>
      </c>
      <c r="D465" s="296">
        <v>100000</v>
      </c>
      <c r="E465" s="113" t="s">
        <v>446</v>
      </c>
      <c r="F465" s="297">
        <v>0</v>
      </c>
      <c r="G465" s="113">
        <v>0</v>
      </c>
      <c r="H465" s="88"/>
    </row>
    <row r="466" spans="1:8" hidden="1" x14ac:dyDescent="0.2">
      <c r="A466" s="294" t="s">
        <v>581</v>
      </c>
      <c r="B466" s="159" t="s">
        <v>582</v>
      </c>
      <c r="C466" s="295">
        <v>90000</v>
      </c>
      <c r="D466" s="296">
        <v>90000</v>
      </c>
      <c r="E466" s="113" t="s">
        <v>446</v>
      </c>
      <c r="F466" s="297">
        <v>0</v>
      </c>
      <c r="G466" s="113">
        <v>0</v>
      </c>
      <c r="H466" s="88"/>
    </row>
    <row r="467" spans="1:8" hidden="1" x14ac:dyDescent="0.2">
      <c r="A467" s="294" t="s">
        <v>583</v>
      </c>
      <c r="B467" s="159" t="s">
        <v>584</v>
      </c>
      <c r="C467" s="295">
        <v>60000</v>
      </c>
      <c r="D467" s="296">
        <v>60000</v>
      </c>
      <c r="E467" s="113" t="s">
        <v>446</v>
      </c>
      <c r="F467" s="297">
        <v>0</v>
      </c>
      <c r="G467" s="113">
        <v>1200000</v>
      </c>
      <c r="H467" s="88"/>
    </row>
    <row r="468" spans="1:8" hidden="1" x14ac:dyDescent="0.2">
      <c r="A468" s="294" t="s">
        <v>585</v>
      </c>
      <c r="B468" s="159" t="s">
        <v>586</v>
      </c>
      <c r="C468" s="295">
        <v>0</v>
      </c>
      <c r="D468" s="296">
        <v>0</v>
      </c>
      <c r="E468" s="113">
        <v>0</v>
      </c>
      <c r="F468" s="297">
        <v>0</v>
      </c>
      <c r="G468" s="113">
        <v>50000</v>
      </c>
      <c r="H468" s="88"/>
    </row>
    <row r="469" spans="1:8" hidden="1" x14ac:dyDescent="0.2">
      <c r="A469" s="106">
        <v>3632</v>
      </c>
      <c r="B469" s="107" t="s">
        <v>587</v>
      </c>
      <c r="C469" s="300">
        <f>SUM(C470:C471)</f>
        <v>1400000</v>
      </c>
      <c r="D469" s="313">
        <f>SUM(D470:D471)</f>
        <v>900000</v>
      </c>
      <c r="E469" s="109">
        <f>SUM(E470:E471)</f>
        <v>0</v>
      </c>
      <c r="F469" s="153">
        <f>SUM(F470:F471)</f>
        <v>457240</v>
      </c>
      <c r="G469" s="109">
        <f>SUM(G470:G471)</f>
        <v>0</v>
      </c>
      <c r="H469" s="88"/>
    </row>
    <row r="470" spans="1:8" hidden="1" x14ac:dyDescent="0.2">
      <c r="A470" s="294" t="s">
        <v>588</v>
      </c>
      <c r="B470" s="159" t="s">
        <v>589</v>
      </c>
      <c r="C470" s="295">
        <v>0</v>
      </c>
      <c r="D470" s="296">
        <v>900000</v>
      </c>
      <c r="E470" s="113"/>
      <c r="F470" s="297">
        <v>457240</v>
      </c>
      <c r="G470" s="113">
        <v>0</v>
      </c>
      <c r="H470" s="88"/>
    </row>
    <row r="471" spans="1:8" hidden="1" x14ac:dyDescent="0.2">
      <c r="A471" s="294" t="s">
        <v>590</v>
      </c>
      <c r="B471" s="159" t="s">
        <v>589</v>
      </c>
      <c r="C471" s="295">
        <v>1400000</v>
      </c>
      <c r="D471" s="296">
        <v>0</v>
      </c>
      <c r="E471" s="113">
        <v>0</v>
      </c>
      <c r="F471" s="297">
        <v>0</v>
      </c>
      <c r="G471" s="113">
        <v>0</v>
      </c>
      <c r="H471" s="88"/>
    </row>
    <row r="472" spans="1:8" hidden="1" x14ac:dyDescent="0.2">
      <c r="A472" s="106">
        <v>3633</v>
      </c>
      <c r="B472" s="107" t="s">
        <v>591</v>
      </c>
      <c r="C472" s="300">
        <f>SUM(C473:C475)</f>
        <v>33400000</v>
      </c>
      <c r="D472" s="313">
        <f>SUM(D473:D475)</f>
        <v>32300000</v>
      </c>
      <c r="E472" s="109">
        <f>SUM(E473:E475)</f>
        <v>0</v>
      </c>
      <c r="F472" s="153">
        <f>SUM(F473:F475)</f>
        <v>113256</v>
      </c>
      <c r="G472" s="109">
        <f>SUM(G473:G475)</f>
        <v>31500000</v>
      </c>
      <c r="H472" s="88"/>
    </row>
    <row r="473" spans="1:8" hidden="1" x14ac:dyDescent="0.2">
      <c r="A473" s="294" t="s">
        <v>592</v>
      </c>
      <c r="B473" s="159" t="s">
        <v>593</v>
      </c>
      <c r="C473" s="295">
        <v>3000000</v>
      </c>
      <c r="D473" s="296">
        <v>2000000</v>
      </c>
      <c r="E473" s="113"/>
      <c r="F473" s="297">
        <v>0</v>
      </c>
      <c r="G473" s="113">
        <v>1500000</v>
      </c>
      <c r="H473" s="88"/>
    </row>
    <row r="474" spans="1:8" hidden="1" x14ac:dyDescent="0.2">
      <c r="A474" s="294" t="s">
        <v>594</v>
      </c>
      <c r="B474" s="159" t="s">
        <v>595</v>
      </c>
      <c r="C474" s="295">
        <v>30000000</v>
      </c>
      <c r="D474" s="296">
        <v>30000000</v>
      </c>
      <c r="E474" s="113"/>
      <c r="F474" s="297">
        <v>48400</v>
      </c>
      <c r="G474" s="113">
        <v>30000000</v>
      </c>
      <c r="H474" s="88"/>
    </row>
    <row r="475" spans="1:8" hidden="1" x14ac:dyDescent="0.2">
      <c r="A475" s="307" t="s">
        <v>596</v>
      </c>
      <c r="B475" s="322" t="s">
        <v>597</v>
      </c>
      <c r="C475" s="323">
        <v>400000</v>
      </c>
      <c r="D475" s="324">
        <v>300000</v>
      </c>
      <c r="E475" s="266"/>
      <c r="F475" s="325">
        <v>64856</v>
      </c>
      <c r="G475" s="266">
        <v>0</v>
      </c>
      <c r="H475" s="88"/>
    </row>
    <row r="476" spans="1:8" ht="15.75" hidden="1" x14ac:dyDescent="0.25">
      <c r="A476" s="312"/>
      <c r="B476" s="64" t="s">
        <v>598</v>
      </c>
      <c r="C476" s="285">
        <f>SUM(C477:C480)</f>
        <v>1174000</v>
      </c>
      <c r="D476" s="286">
        <f>SUM(D477:D480)</f>
        <v>650000</v>
      </c>
      <c r="E476" s="287">
        <f>SUM(E477:E480)</f>
        <v>150000</v>
      </c>
      <c r="F476" s="288">
        <f>SUM(F477:F480)</f>
        <v>105000</v>
      </c>
      <c r="G476" s="287">
        <f>SUM(G477:G480)</f>
        <v>472500</v>
      </c>
      <c r="H476" s="88"/>
    </row>
    <row r="477" spans="1:8" hidden="1" x14ac:dyDescent="0.2">
      <c r="A477" s="326" t="s">
        <v>599</v>
      </c>
      <c r="B477" s="306" t="s">
        <v>600</v>
      </c>
      <c r="C477" s="303">
        <v>287000</v>
      </c>
      <c r="D477" s="327">
        <v>250000</v>
      </c>
      <c r="E477" s="114" t="s">
        <v>446</v>
      </c>
      <c r="F477" s="328">
        <v>0</v>
      </c>
      <c r="G477" s="114">
        <v>150000</v>
      </c>
      <c r="H477" s="88"/>
    </row>
    <row r="478" spans="1:8" hidden="1" x14ac:dyDescent="0.2">
      <c r="A478" s="294" t="s">
        <v>601</v>
      </c>
      <c r="B478" s="159" t="s">
        <v>602</v>
      </c>
      <c r="C478" s="295">
        <v>287000</v>
      </c>
      <c r="D478" s="296">
        <v>250000</v>
      </c>
      <c r="E478" s="113" t="s">
        <v>446</v>
      </c>
      <c r="F478" s="297">
        <v>0</v>
      </c>
      <c r="G478" s="113">
        <v>150000</v>
      </c>
      <c r="H478" s="88"/>
    </row>
    <row r="479" spans="1:8" hidden="1" x14ac:dyDescent="0.2">
      <c r="A479" s="294" t="s">
        <v>603</v>
      </c>
      <c r="B479" s="159" t="s">
        <v>604</v>
      </c>
      <c r="C479" s="295">
        <v>600000</v>
      </c>
      <c r="D479" s="296">
        <v>150000</v>
      </c>
      <c r="E479" s="113">
        <v>150000</v>
      </c>
      <c r="F479" s="297">
        <v>105000</v>
      </c>
      <c r="G479" s="113">
        <v>172500</v>
      </c>
      <c r="H479" s="88"/>
    </row>
    <row r="480" spans="1:8" hidden="1" x14ac:dyDescent="0.2">
      <c r="A480" s="329"/>
      <c r="B480" s="314"/>
      <c r="C480" s="315"/>
      <c r="D480" s="316"/>
      <c r="E480" s="241"/>
      <c r="F480" s="317"/>
      <c r="G480" s="241"/>
      <c r="H480" s="88"/>
    </row>
    <row r="481" spans="1:8" ht="20.25" hidden="1" x14ac:dyDescent="0.2">
      <c r="A481" s="330">
        <v>2141</v>
      </c>
      <c r="B481" s="331" t="s">
        <v>31</v>
      </c>
      <c r="C481" s="332">
        <f>SUM(C482:C484)</f>
        <v>3086000</v>
      </c>
      <c r="D481" s="332">
        <f>SUM(D482:D484)</f>
        <v>4456000</v>
      </c>
      <c r="E481" s="332">
        <f>SUM(E482:E484)</f>
        <v>4273000</v>
      </c>
      <c r="F481" s="332">
        <f>SUM(F482:F484)</f>
        <v>3290243</v>
      </c>
      <c r="G481" s="332">
        <f>SUM(G482:G484)</f>
        <v>3640000</v>
      </c>
      <c r="H481" s="88"/>
    </row>
    <row r="482" spans="1:8" ht="31.5" hidden="1" customHeight="1" x14ac:dyDescent="0.2">
      <c r="A482" s="138">
        <v>3341</v>
      </c>
      <c r="B482" s="196" t="s">
        <v>605</v>
      </c>
      <c r="C482" s="333">
        <v>900000</v>
      </c>
      <c r="D482" s="333">
        <v>2270000</v>
      </c>
      <c r="E482" s="334">
        <v>2100000</v>
      </c>
      <c r="F482" s="335">
        <v>2079396</v>
      </c>
      <c r="G482" s="105">
        <v>950000</v>
      </c>
      <c r="H482" s="32"/>
    </row>
    <row r="483" spans="1:8" hidden="1" x14ac:dyDescent="0.2">
      <c r="A483" s="141">
        <v>3399</v>
      </c>
      <c r="B483" s="144" t="s">
        <v>606</v>
      </c>
      <c r="C483" s="145">
        <v>2170000</v>
      </c>
      <c r="D483" s="145">
        <v>2170000</v>
      </c>
      <c r="E483" s="336">
        <v>2170000</v>
      </c>
      <c r="F483" s="337">
        <v>1210847</v>
      </c>
      <c r="G483" s="105">
        <v>2670000</v>
      </c>
      <c r="H483" s="88"/>
    </row>
    <row r="484" spans="1:8" hidden="1" x14ac:dyDescent="0.2">
      <c r="A484" s="338"/>
      <c r="B484" s="144" t="s">
        <v>607</v>
      </c>
      <c r="C484" s="145">
        <v>16000</v>
      </c>
      <c r="D484" s="145">
        <v>16000</v>
      </c>
      <c r="E484" s="339">
        <v>3000</v>
      </c>
      <c r="F484" s="340">
        <v>0</v>
      </c>
      <c r="G484" s="105">
        <v>20000</v>
      </c>
      <c r="H484" s="88"/>
    </row>
    <row r="485" spans="1:8" s="244" customFormat="1" ht="12.75" hidden="1" customHeight="1" x14ac:dyDescent="0.25">
      <c r="A485" s="341"/>
      <c r="B485" s="342"/>
      <c r="C485" s="342"/>
      <c r="D485" s="342"/>
      <c r="E485" s="325"/>
      <c r="F485" s="185"/>
      <c r="G485" s="266"/>
      <c r="H485" s="88"/>
    </row>
    <row r="486" spans="1:8" s="343" customFormat="1" ht="20.25" hidden="1" x14ac:dyDescent="0.3">
      <c r="A486" s="344"/>
      <c r="B486" s="90" t="s">
        <v>608</v>
      </c>
      <c r="C486" s="345">
        <f>SUM(C487:C490)</f>
        <v>10612697</v>
      </c>
      <c r="D486" s="345">
        <v>9354593</v>
      </c>
      <c r="E486" s="345">
        <f>SUM(E487:E490)</f>
        <v>9354593</v>
      </c>
      <c r="F486" s="346">
        <v>5300735.47</v>
      </c>
      <c r="G486" s="345">
        <f>SUM(G487:G490)</f>
        <v>10752956</v>
      </c>
      <c r="H486" s="129"/>
    </row>
    <row r="487" spans="1:8" s="343" customFormat="1" ht="24.75" hidden="1" x14ac:dyDescent="0.2">
      <c r="A487" s="138">
        <v>2141</v>
      </c>
      <c r="B487" s="196" t="s">
        <v>609</v>
      </c>
      <c r="C487" s="145">
        <f>(25+38+64+422+5)*1000</f>
        <v>554000</v>
      </c>
      <c r="D487" s="145">
        <v>703800</v>
      </c>
      <c r="E487" s="347">
        <v>703800</v>
      </c>
      <c r="F487" s="348">
        <v>99904.25</v>
      </c>
      <c r="G487" s="197">
        <v>1226000</v>
      </c>
      <c r="H487" s="124"/>
    </row>
    <row r="488" spans="1:8" s="343" customFormat="1" ht="60.75" hidden="1" x14ac:dyDescent="0.2">
      <c r="A488" s="141">
        <v>2143</v>
      </c>
      <c r="B488" s="146" t="s">
        <v>610</v>
      </c>
      <c r="C488" s="145">
        <v>9407197</v>
      </c>
      <c r="D488" s="145">
        <v>8124293</v>
      </c>
      <c r="E488" s="349">
        <v>8124293</v>
      </c>
      <c r="F488" s="198">
        <v>4990927.7300000004</v>
      </c>
      <c r="G488" s="197">
        <v>8971956</v>
      </c>
      <c r="H488" s="124"/>
    </row>
    <row r="489" spans="1:8" s="343" customFormat="1" hidden="1" x14ac:dyDescent="0.2">
      <c r="A489" s="141">
        <v>3399</v>
      </c>
      <c r="B489" s="144" t="s">
        <v>611</v>
      </c>
      <c r="C489" s="145">
        <v>36500</v>
      </c>
      <c r="D489" s="145">
        <v>36500</v>
      </c>
      <c r="E489" s="175">
        <v>36500</v>
      </c>
      <c r="F489" s="198">
        <v>33332.79</v>
      </c>
      <c r="G489" s="197">
        <v>40000</v>
      </c>
      <c r="H489" s="129"/>
    </row>
    <row r="490" spans="1:8" s="343" customFormat="1" ht="24.75" hidden="1" x14ac:dyDescent="0.2">
      <c r="A490" s="141">
        <v>6223</v>
      </c>
      <c r="B490" s="146" t="s">
        <v>612</v>
      </c>
      <c r="C490" s="145">
        <f>(5+100+5+5+30+280+70+115+5)*1000</f>
        <v>615000</v>
      </c>
      <c r="D490" s="145">
        <v>490000</v>
      </c>
      <c r="E490" s="197">
        <v>490000</v>
      </c>
      <c r="F490" s="123">
        <v>176570.7</v>
      </c>
      <c r="G490" s="197">
        <v>515000</v>
      </c>
      <c r="H490" s="124"/>
    </row>
    <row r="491" spans="1:8" s="98" customFormat="1" hidden="1" x14ac:dyDescent="0.2">
      <c r="A491" s="350"/>
      <c r="B491" s="351"/>
      <c r="C491" s="352"/>
      <c r="D491" s="352"/>
      <c r="E491" s="266"/>
      <c r="F491" s="266"/>
      <c r="G491" s="266"/>
      <c r="H491" s="88"/>
    </row>
    <row r="492" spans="1:8" s="98" customFormat="1" ht="20.25" hidden="1" x14ac:dyDescent="0.2">
      <c r="A492" s="353"/>
      <c r="B492" s="331" t="s">
        <v>33</v>
      </c>
      <c r="C492" s="345">
        <f>SUM(C493,C495,C496)</f>
        <v>6426417</v>
      </c>
      <c r="D492" s="345">
        <f>D496+D495+D493</f>
        <v>6357417</v>
      </c>
      <c r="E492" s="345">
        <f>SUM(E493,E495,E496)</f>
        <v>6413417</v>
      </c>
      <c r="F492" s="281">
        <f>F493+F495+F496</f>
        <v>4365980.75</v>
      </c>
      <c r="G492" s="345">
        <f>SUM(G493,G495,G496)</f>
        <v>7038417</v>
      </c>
      <c r="H492" s="88"/>
    </row>
    <row r="493" spans="1:8" s="98" customFormat="1" hidden="1" x14ac:dyDescent="0.2">
      <c r="A493" s="141">
        <v>2223</v>
      </c>
      <c r="B493" s="141" t="s">
        <v>613</v>
      </c>
      <c r="C493" s="140">
        <f>C494</f>
        <v>76000</v>
      </c>
      <c r="D493" s="140">
        <v>76000</v>
      </c>
      <c r="E493" s="171">
        <v>70000</v>
      </c>
      <c r="F493" s="114">
        <v>42000</v>
      </c>
      <c r="G493" s="105">
        <v>76000</v>
      </c>
      <c r="H493" s="88"/>
    </row>
    <row r="494" spans="1:8" s="98" customFormat="1" hidden="1" x14ac:dyDescent="0.2">
      <c r="A494" s="141"/>
      <c r="B494" s="354" t="s">
        <v>614</v>
      </c>
      <c r="C494" s="121">
        <v>76000</v>
      </c>
      <c r="D494" s="121">
        <v>76000</v>
      </c>
      <c r="E494" s="177">
        <v>70000</v>
      </c>
      <c r="F494" s="113">
        <v>42000</v>
      </c>
      <c r="G494" s="114">
        <v>76000</v>
      </c>
      <c r="H494" s="88"/>
    </row>
    <row r="495" spans="1:8" s="98" customFormat="1" hidden="1" x14ac:dyDescent="0.2">
      <c r="A495" s="141">
        <v>2229</v>
      </c>
      <c r="B495" s="141" t="s">
        <v>615</v>
      </c>
      <c r="C495" s="197">
        <v>0</v>
      </c>
      <c r="D495" s="197">
        <v>71000</v>
      </c>
      <c r="E495" s="180">
        <v>71000</v>
      </c>
      <c r="F495" s="109">
        <v>71000</v>
      </c>
      <c r="G495" s="105">
        <v>0</v>
      </c>
      <c r="H495" s="88"/>
    </row>
    <row r="496" spans="1:8" s="98" customFormat="1" hidden="1" x14ac:dyDescent="0.2">
      <c r="A496" s="141">
        <v>2292</v>
      </c>
      <c r="B496" s="141" t="s">
        <v>616</v>
      </c>
      <c r="C496" s="197">
        <f>SUM(C497:C500)</f>
        <v>6350417</v>
      </c>
      <c r="D496" s="197">
        <f>D497+D498+D499+D500</f>
        <v>6210417</v>
      </c>
      <c r="E496" s="180">
        <f>E497+E498+E499+E500</f>
        <v>6272417</v>
      </c>
      <c r="F496" s="109">
        <v>4252980.75</v>
      </c>
      <c r="G496" s="105">
        <f>G497+G498+G500+G501</f>
        <v>6962417</v>
      </c>
      <c r="H496" s="88"/>
    </row>
    <row r="497" spans="1:8" s="98" customFormat="1" hidden="1" x14ac:dyDescent="0.2">
      <c r="A497" s="141"/>
      <c r="B497" s="127" t="s">
        <v>617</v>
      </c>
      <c r="C497" s="121">
        <v>1112417</v>
      </c>
      <c r="D497" s="121">
        <v>1112417</v>
      </c>
      <c r="E497" s="177">
        <v>1112417</v>
      </c>
      <c r="F497" s="113">
        <v>834312.75</v>
      </c>
      <c r="G497" s="114">
        <v>1112417</v>
      </c>
      <c r="H497" s="88"/>
    </row>
    <row r="498" spans="1:8" s="98" customFormat="1" hidden="1" x14ac:dyDescent="0.2">
      <c r="A498" s="141"/>
      <c r="B498" s="127" t="s">
        <v>618</v>
      </c>
      <c r="C498" s="121">
        <v>5038000</v>
      </c>
      <c r="D498" s="121">
        <v>5038000</v>
      </c>
      <c r="E498" s="177">
        <v>5100000</v>
      </c>
      <c r="F498" s="113">
        <v>3358668</v>
      </c>
      <c r="G498" s="114">
        <v>5100000</v>
      </c>
      <c r="H498" s="88"/>
    </row>
    <row r="499" spans="1:8" s="98" customFormat="1" ht="24.75" hidden="1" x14ac:dyDescent="0.2">
      <c r="A499" s="141"/>
      <c r="B499" s="355" t="s">
        <v>619</v>
      </c>
      <c r="C499" s="121">
        <v>0</v>
      </c>
      <c r="D499" s="121">
        <v>10000</v>
      </c>
      <c r="E499" s="177">
        <v>10000</v>
      </c>
      <c r="F499" s="113">
        <v>10000</v>
      </c>
      <c r="G499" s="114">
        <v>0</v>
      </c>
      <c r="H499" s="32"/>
    </row>
    <row r="500" spans="1:8" s="98" customFormat="1" hidden="1" x14ac:dyDescent="0.2">
      <c r="A500" s="141"/>
      <c r="B500" s="355" t="s">
        <v>620</v>
      </c>
      <c r="C500" s="121">
        <v>200000</v>
      </c>
      <c r="D500" s="121">
        <v>50000</v>
      </c>
      <c r="E500" s="177">
        <v>50000</v>
      </c>
      <c r="F500" s="113">
        <v>50000</v>
      </c>
      <c r="G500" s="114">
        <v>200000</v>
      </c>
      <c r="H500" s="32"/>
    </row>
    <row r="501" spans="1:8" s="98" customFormat="1" hidden="1" x14ac:dyDescent="0.2">
      <c r="A501" s="338"/>
      <c r="B501" s="356" t="s">
        <v>621</v>
      </c>
      <c r="C501" s="220">
        <v>0</v>
      </c>
      <c r="D501" s="220">
        <v>0</v>
      </c>
      <c r="E501" s="177">
        <v>0</v>
      </c>
      <c r="F501" s="113">
        <v>0</v>
      </c>
      <c r="G501" s="113">
        <v>550000</v>
      </c>
      <c r="H501" s="88"/>
    </row>
    <row r="502" spans="1:8" s="98" customFormat="1" hidden="1" x14ac:dyDescent="0.2">
      <c r="A502" s="227"/>
      <c r="B502" s="357"/>
      <c r="C502" s="358"/>
      <c r="D502" s="358"/>
      <c r="E502" s="359"/>
      <c r="F502" s="143"/>
      <c r="G502" s="143"/>
      <c r="H502" s="88"/>
    </row>
    <row r="503" spans="1:8" s="98" customFormat="1" ht="20.25" hidden="1" x14ac:dyDescent="0.3">
      <c r="A503" s="344"/>
      <c r="B503" s="90" t="s">
        <v>34</v>
      </c>
      <c r="C503" s="91">
        <f>SUM(C504:C505)</f>
        <v>112000</v>
      </c>
      <c r="D503" s="36">
        <v>112000</v>
      </c>
      <c r="E503" s="91">
        <f>SUM(E504:E505)</f>
        <v>73000</v>
      </c>
      <c r="F503" s="281">
        <v>33098</v>
      </c>
      <c r="G503" s="91">
        <f>SUM(G504:G505)</f>
        <v>112000</v>
      </c>
      <c r="H503" s="88"/>
    </row>
    <row r="504" spans="1:8" s="98" customFormat="1" ht="12.75" hidden="1" customHeight="1" x14ac:dyDescent="0.2">
      <c r="A504" s="141">
        <v>2223</v>
      </c>
      <c r="B504" s="144" t="s">
        <v>622</v>
      </c>
      <c r="C504" s="145">
        <v>100000</v>
      </c>
      <c r="D504" s="145">
        <v>100000</v>
      </c>
      <c r="E504" s="105">
        <v>70000</v>
      </c>
      <c r="F504" s="105">
        <v>32151</v>
      </c>
      <c r="G504" s="105">
        <v>100000</v>
      </c>
      <c r="H504" s="88"/>
    </row>
    <row r="505" spans="1:8" s="98" customFormat="1" hidden="1" x14ac:dyDescent="0.2">
      <c r="A505" s="141">
        <v>6171</v>
      </c>
      <c r="B505" s="144" t="s">
        <v>623</v>
      </c>
      <c r="C505" s="145">
        <v>12000</v>
      </c>
      <c r="D505" s="145">
        <v>12000</v>
      </c>
      <c r="E505" s="109">
        <v>3000</v>
      </c>
      <c r="F505" s="109">
        <v>947</v>
      </c>
      <c r="G505" s="105">
        <v>12000</v>
      </c>
      <c r="H505" s="88"/>
    </row>
    <row r="506" spans="1:8" s="98" customFormat="1" hidden="1" x14ac:dyDescent="0.2">
      <c r="A506" s="360"/>
      <c r="B506" s="361"/>
      <c r="C506" s="187"/>
      <c r="D506" s="187"/>
      <c r="E506" s="266"/>
      <c r="F506" s="266"/>
      <c r="G506" s="266"/>
      <c r="H506" s="88"/>
    </row>
    <row r="507" spans="1:8" s="98" customFormat="1" ht="20.25" hidden="1" x14ac:dyDescent="0.3">
      <c r="A507" s="252"/>
      <c r="B507" s="93" t="s">
        <v>624</v>
      </c>
      <c r="C507" s="362">
        <f>C508+C509</f>
        <v>500000</v>
      </c>
      <c r="D507" s="362">
        <f>D508+D509</f>
        <v>1201000</v>
      </c>
      <c r="E507" s="363">
        <f>E508+E509</f>
        <v>701000</v>
      </c>
      <c r="F507" s="364">
        <f>F508+F509</f>
        <v>1201000</v>
      </c>
      <c r="G507" s="363">
        <f>G508+G509</f>
        <v>500000</v>
      </c>
      <c r="H507" s="88"/>
    </row>
    <row r="508" spans="1:8" s="98" customFormat="1" hidden="1" x14ac:dyDescent="0.2">
      <c r="A508" s="254">
        <v>6115</v>
      </c>
      <c r="B508" s="107" t="s">
        <v>625</v>
      </c>
      <c r="C508" s="109">
        <v>500000</v>
      </c>
      <c r="D508" s="109">
        <v>1201000</v>
      </c>
      <c r="E508" s="105">
        <v>701000</v>
      </c>
      <c r="F508" s="172">
        <v>1201000</v>
      </c>
      <c r="G508" s="105">
        <v>0</v>
      </c>
      <c r="H508" s="88"/>
    </row>
    <row r="509" spans="1:8" s="98" customFormat="1" hidden="1" x14ac:dyDescent="0.2">
      <c r="A509" s="144"/>
      <c r="B509" s="107" t="s">
        <v>626</v>
      </c>
      <c r="C509" s="109">
        <v>0</v>
      </c>
      <c r="D509" s="109">
        <v>0</v>
      </c>
      <c r="E509" s="109">
        <v>0</v>
      </c>
      <c r="F509" s="181">
        <v>0</v>
      </c>
      <c r="G509" s="109">
        <v>500000</v>
      </c>
      <c r="H509" s="88"/>
    </row>
    <row r="510" spans="1:8" s="98" customFormat="1" hidden="1" x14ac:dyDescent="0.2">
      <c r="A510" s="361"/>
      <c r="B510" s="365"/>
      <c r="C510" s="366"/>
      <c r="D510" s="366"/>
      <c r="E510" s="366"/>
      <c r="F510" s="367"/>
      <c r="G510" s="135"/>
      <c r="H510" s="88"/>
    </row>
    <row r="511" spans="1:8" s="98" customFormat="1" ht="20.25" hidden="1" x14ac:dyDescent="0.3">
      <c r="A511" s="283"/>
      <c r="B511" s="368" t="s">
        <v>36</v>
      </c>
      <c r="C511" s="363">
        <f>C512+C565+C590</f>
        <v>117286140</v>
      </c>
      <c r="D511" s="363">
        <f>D512+D565+D590</f>
        <v>125496783.28</v>
      </c>
      <c r="E511" s="363">
        <f>E512+E565+E590</f>
        <v>125496783.28</v>
      </c>
      <c r="F511" s="363">
        <f>F512+F565+F590</f>
        <v>82606294.439999998</v>
      </c>
      <c r="G511" s="363">
        <f>G512+G565+G590</f>
        <v>160009627.30000001</v>
      </c>
      <c r="H511" s="88"/>
    </row>
    <row r="512" spans="1:8" s="98" customFormat="1" ht="16.5" hidden="1" customHeight="1" x14ac:dyDescent="0.25">
      <c r="A512" s="312"/>
      <c r="B512" s="369" t="s">
        <v>627</v>
      </c>
      <c r="C512" s="169">
        <f>SUM(C513,C533,C564,C559)</f>
        <v>55530000</v>
      </c>
      <c r="D512" s="137">
        <f>SUM(D513,D533,D564,D559)</f>
        <v>50086908.670000002</v>
      </c>
      <c r="E512" s="169">
        <f>SUM(E513,E533,E564,E559)</f>
        <v>50086908.670000002</v>
      </c>
      <c r="F512" s="169">
        <f>SUM(F513,F533,F564,F559)</f>
        <v>24467486.900000002</v>
      </c>
      <c r="G512" s="169">
        <f>SUM(G513,G533,G564,G559)</f>
        <v>78486811.299999997</v>
      </c>
      <c r="H512" s="88"/>
    </row>
    <row r="513" spans="1:8" s="98" customFormat="1" hidden="1" x14ac:dyDescent="0.2">
      <c r="A513" s="102">
        <v>3111</v>
      </c>
      <c r="B513" s="370" t="s">
        <v>628</v>
      </c>
      <c r="C513" s="140">
        <f>SUM(C514:C516)</f>
        <v>11263000</v>
      </c>
      <c r="D513" s="173">
        <f>SUM(D514:D516)</f>
        <v>10511914.67</v>
      </c>
      <c r="E513" s="140">
        <f>SUM(E514:E516)</f>
        <v>10511914.67</v>
      </c>
      <c r="F513" s="140">
        <f>SUM(F514:F516)</f>
        <v>6476550.8700000001</v>
      </c>
      <c r="G513" s="140">
        <f>SUM(G514:G516)</f>
        <v>21243000</v>
      </c>
      <c r="H513" s="88"/>
    </row>
    <row r="514" spans="1:8" s="98" customFormat="1" ht="12.75" hidden="1" customHeight="1" x14ac:dyDescent="0.2">
      <c r="A514" s="111"/>
      <c r="B514" s="371" t="s">
        <v>629</v>
      </c>
      <c r="C514" s="372">
        <f t="shared" ref="C514:G515" si="5">SUM(C519,C529,C524)</f>
        <v>5847000</v>
      </c>
      <c r="D514" s="373">
        <f t="shared" si="5"/>
        <v>5650914.6699999999</v>
      </c>
      <c r="E514" s="372">
        <f t="shared" si="5"/>
        <v>5650914.6699999999</v>
      </c>
      <c r="F514" s="372">
        <f t="shared" si="5"/>
        <v>4173000</v>
      </c>
      <c r="G514" s="372">
        <f t="shared" si="5"/>
        <v>5998000</v>
      </c>
      <c r="H514" s="88"/>
    </row>
    <row r="515" spans="1:8" s="98" customFormat="1" ht="12.75" hidden="1" customHeight="1" x14ac:dyDescent="0.2">
      <c r="A515" s="111"/>
      <c r="B515" s="371" t="s">
        <v>630</v>
      </c>
      <c r="C515" s="372">
        <f t="shared" si="5"/>
        <v>1671000</v>
      </c>
      <c r="D515" s="373">
        <f t="shared" si="5"/>
        <v>1116000</v>
      </c>
      <c r="E515" s="372">
        <f t="shared" si="5"/>
        <v>1116000</v>
      </c>
      <c r="F515" s="372">
        <f t="shared" si="5"/>
        <v>888946.87</v>
      </c>
      <c r="G515" s="372">
        <f t="shared" si="5"/>
        <v>3365000</v>
      </c>
      <c r="H515" s="88"/>
    </row>
    <row r="516" spans="1:8" s="244" customFormat="1" ht="12.75" hidden="1" customHeight="1" x14ac:dyDescent="0.25">
      <c r="A516" s="111"/>
      <c r="B516" s="371" t="s">
        <v>631</v>
      </c>
      <c r="C516" s="372">
        <f>C531+C526</f>
        <v>3745000</v>
      </c>
      <c r="D516" s="373">
        <f>D531+D526</f>
        <v>3745000</v>
      </c>
      <c r="E516" s="372">
        <f>E531+E526</f>
        <v>3745000</v>
      </c>
      <c r="F516" s="372">
        <f>F531+F526</f>
        <v>1414604</v>
      </c>
      <c r="G516" s="372">
        <f>G531+G526+G521</f>
        <v>11880000</v>
      </c>
      <c r="H516" s="88"/>
    </row>
    <row r="517" spans="1:8" s="98" customFormat="1" ht="12.75" hidden="1" customHeight="1" x14ac:dyDescent="0.2">
      <c r="A517" s="111"/>
      <c r="B517" s="371"/>
      <c r="C517" s="372"/>
      <c r="D517" s="373"/>
      <c r="E517" s="372"/>
      <c r="F517" s="372"/>
      <c r="G517" s="372"/>
      <c r="H517" s="88"/>
    </row>
    <row r="518" spans="1:8" s="244" customFormat="1" ht="12.75" hidden="1" customHeight="1" x14ac:dyDescent="0.25">
      <c r="A518" s="111"/>
      <c r="B518" s="125" t="s">
        <v>632</v>
      </c>
      <c r="C518" s="145">
        <f>C519+C520</f>
        <v>1955000</v>
      </c>
      <c r="D518" s="109">
        <f>D519+D520</f>
        <v>1770000</v>
      </c>
      <c r="E518" s="145">
        <f>E519+E520</f>
        <v>1770000</v>
      </c>
      <c r="F518" s="145">
        <f>F519+F520</f>
        <v>1405000</v>
      </c>
      <c r="G518" s="145">
        <f>G519+G520+G521</f>
        <v>11049000</v>
      </c>
      <c r="H518" s="88"/>
    </row>
    <row r="519" spans="1:8" s="98" customFormat="1" ht="12.75" hidden="1" customHeight="1" x14ac:dyDescent="0.2">
      <c r="A519" s="111"/>
      <c r="B519" s="125" t="s">
        <v>633</v>
      </c>
      <c r="C519" s="374">
        <f>1822000-50000</f>
        <v>1772000</v>
      </c>
      <c r="D519" s="374">
        <v>1707000</v>
      </c>
      <c r="E519" s="297">
        <v>1707000</v>
      </c>
      <c r="F519" s="178">
        <v>1342000</v>
      </c>
      <c r="G519" s="114">
        <v>1676000</v>
      </c>
      <c r="H519" s="88"/>
    </row>
    <row r="520" spans="1:8" ht="36.75" hidden="1" x14ac:dyDescent="0.2">
      <c r="A520" s="111" t="s">
        <v>634</v>
      </c>
      <c r="B520" s="125" t="s">
        <v>635</v>
      </c>
      <c r="C520" s="374">
        <f>443000-260000</f>
        <v>183000</v>
      </c>
      <c r="D520" s="374">
        <v>63000</v>
      </c>
      <c r="E520" s="297">
        <v>63000</v>
      </c>
      <c r="F520" s="178">
        <v>63000</v>
      </c>
      <c r="G520" s="114">
        <f>(121+90+70+130+462-100)*1000</f>
        <v>773000</v>
      </c>
      <c r="H520" s="32"/>
    </row>
    <row r="521" spans="1:8" ht="25.5" hidden="1" customHeight="1" x14ac:dyDescent="0.2">
      <c r="A521" s="111"/>
      <c r="B521" s="125" t="s">
        <v>636</v>
      </c>
      <c r="C521" s="374"/>
      <c r="D521" s="374"/>
      <c r="E521" s="297"/>
      <c r="F521" s="178"/>
      <c r="G521" s="114">
        <f>(3600+4000+1000)*1000</f>
        <v>8600000</v>
      </c>
      <c r="H521" s="32"/>
    </row>
    <row r="522" spans="1:8" hidden="1" x14ac:dyDescent="0.2">
      <c r="A522" s="375"/>
      <c r="B522" s="376"/>
      <c r="C522" s="377"/>
      <c r="D522" s="377"/>
      <c r="E522" s="297"/>
      <c r="F522" s="178"/>
      <c r="G522" s="113"/>
      <c r="H522" s="88"/>
    </row>
    <row r="523" spans="1:8" hidden="1" x14ac:dyDescent="0.2">
      <c r="A523" s="111"/>
      <c r="B523" s="378" t="s">
        <v>637</v>
      </c>
      <c r="C523" s="145">
        <f>SUM(C524:C526)</f>
        <v>6931000</v>
      </c>
      <c r="D523" s="109">
        <f>SUM(D524:D526)</f>
        <v>6719914.6699999999</v>
      </c>
      <c r="E523" s="145">
        <f>SUM(E524:E526)</f>
        <v>6719914.6699999999</v>
      </c>
      <c r="F523" s="145">
        <f>SUM(F524:F526)</f>
        <v>3762550.87</v>
      </c>
      <c r="G523" s="145">
        <f>SUM(G524:G526)</f>
        <v>3515000</v>
      </c>
      <c r="H523" s="88"/>
    </row>
    <row r="524" spans="1:8" ht="12.75" hidden="1" customHeight="1" x14ac:dyDescent="0.2">
      <c r="A524" s="111"/>
      <c r="B524" s="125" t="s">
        <v>638</v>
      </c>
      <c r="C524" s="374">
        <f>2441000-50000</f>
        <v>2391000</v>
      </c>
      <c r="D524" s="374">
        <v>2279914.67</v>
      </c>
      <c r="E524" s="297">
        <v>2279914.67</v>
      </c>
      <c r="F524" s="178">
        <v>1667000</v>
      </c>
      <c r="G524" s="114">
        <v>2535000</v>
      </c>
      <c r="H524" s="88"/>
    </row>
    <row r="525" spans="1:8" ht="36.75" hidden="1" x14ac:dyDescent="0.2">
      <c r="A525" s="111"/>
      <c r="B525" s="125" t="s">
        <v>639</v>
      </c>
      <c r="C525" s="374">
        <v>940000</v>
      </c>
      <c r="D525" s="374">
        <v>840000</v>
      </c>
      <c r="E525" s="113">
        <v>840000</v>
      </c>
      <c r="F525" s="113">
        <v>825946.87</v>
      </c>
      <c r="G525" s="114">
        <v>980000</v>
      </c>
      <c r="H525" s="32"/>
    </row>
    <row r="526" spans="1:8" s="379" customFormat="1" ht="13.5" hidden="1" customHeight="1" x14ac:dyDescent="0.2">
      <c r="A526" s="111"/>
      <c r="B526" s="125" t="s">
        <v>640</v>
      </c>
      <c r="C526" s="374">
        <v>3600000</v>
      </c>
      <c r="D526" s="374">
        <v>3600000</v>
      </c>
      <c r="E526" s="297">
        <v>3600000</v>
      </c>
      <c r="F526" s="113">
        <v>1269604</v>
      </c>
      <c r="G526" s="114">
        <v>0</v>
      </c>
      <c r="H526" s="88"/>
    </row>
    <row r="527" spans="1:8" ht="12.75" hidden="1" customHeight="1" x14ac:dyDescent="0.2">
      <c r="A527" s="111"/>
      <c r="B527" s="125"/>
      <c r="C527" s="380"/>
      <c r="D527" s="380"/>
      <c r="E527" s="113"/>
      <c r="F527" s="113"/>
      <c r="G527" s="114"/>
      <c r="H527" s="88"/>
    </row>
    <row r="528" spans="1:8" ht="12.75" hidden="1" customHeight="1" x14ac:dyDescent="0.2">
      <c r="A528" s="111"/>
      <c r="B528" s="125" t="s">
        <v>641</v>
      </c>
      <c r="C528" s="381">
        <f>SUM(C529:C531)</f>
        <v>2377000</v>
      </c>
      <c r="D528" s="382">
        <f>SUM(D529:D531)</f>
        <v>2022000</v>
      </c>
      <c r="E528" s="381">
        <f>SUM(E529:E531)</f>
        <v>2022000</v>
      </c>
      <c r="F528" s="381">
        <f>SUM(F529:F531)</f>
        <v>1309000</v>
      </c>
      <c r="G528" s="381">
        <f>SUM(G529:G531)</f>
        <v>6679000</v>
      </c>
      <c r="H528" s="88"/>
    </row>
    <row r="529" spans="1:8" ht="12.75" hidden="1" customHeight="1" x14ac:dyDescent="0.2">
      <c r="A529" s="111"/>
      <c r="B529" s="125" t="s">
        <v>633</v>
      </c>
      <c r="C529" s="374">
        <f>1671000+60000+3000-50000</f>
        <v>1684000</v>
      </c>
      <c r="D529" s="374">
        <v>1664000</v>
      </c>
      <c r="E529" s="113">
        <v>1664000</v>
      </c>
      <c r="F529" s="113">
        <v>1164000</v>
      </c>
      <c r="G529" s="114">
        <v>1787000</v>
      </c>
      <c r="H529" s="88"/>
    </row>
    <row r="530" spans="1:8" ht="44.25" hidden="1" customHeight="1" x14ac:dyDescent="0.2">
      <c r="A530" s="111"/>
      <c r="B530" s="125" t="s">
        <v>642</v>
      </c>
      <c r="C530" s="374">
        <f>2127000-1200000-379000</f>
        <v>548000</v>
      </c>
      <c r="D530" s="374">
        <v>213000</v>
      </c>
      <c r="E530" s="297">
        <v>213000</v>
      </c>
      <c r="F530" s="178">
        <v>0</v>
      </c>
      <c r="G530" s="114">
        <f>+(368+237+417+210+260+120)*1000</f>
        <v>1612000</v>
      </c>
      <c r="H530" s="32"/>
    </row>
    <row r="531" spans="1:8" ht="23.25" hidden="1" customHeight="1" x14ac:dyDescent="0.2">
      <c r="A531" s="111"/>
      <c r="B531" s="125" t="s">
        <v>643</v>
      </c>
      <c r="C531" s="374">
        <f>338000-193000</f>
        <v>145000</v>
      </c>
      <c r="D531" s="374">
        <v>145000</v>
      </c>
      <c r="E531" s="178">
        <v>145000</v>
      </c>
      <c r="F531" s="178">
        <v>145000</v>
      </c>
      <c r="G531" s="114">
        <v>3280000</v>
      </c>
      <c r="H531" s="88"/>
    </row>
    <row r="532" spans="1:8" ht="12.75" hidden="1" customHeight="1" x14ac:dyDescent="0.2">
      <c r="A532" s="111"/>
      <c r="B532" s="125"/>
      <c r="C532" s="383"/>
      <c r="D532" s="383"/>
      <c r="E532" s="114"/>
      <c r="F532" s="384"/>
      <c r="G532" s="114"/>
      <c r="H532" s="88"/>
    </row>
    <row r="533" spans="1:8" hidden="1" x14ac:dyDescent="0.2">
      <c r="A533" s="106">
        <v>3113</v>
      </c>
      <c r="B533" s="110" t="s">
        <v>644</v>
      </c>
      <c r="C533" s="145">
        <f>SUM(C534:C537)</f>
        <v>39833000</v>
      </c>
      <c r="D533" s="109">
        <f>SUM(D534:D537)</f>
        <v>37828000</v>
      </c>
      <c r="E533" s="145">
        <f>SUM(E534:E537)</f>
        <v>37828000</v>
      </c>
      <c r="F533" s="145">
        <f>SUM(F534:F537)</f>
        <v>16623211.620000001</v>
      </c>
      <c r="G533" s="145">
        <f>SUM(G534:G537)</f>
        <v>35699000</v>
      </c>
      <c r="H533" s="88"/>
    </row>
    <row r="534" spans="1:8" ht="12.75" hidden="1" customHeight="1" x14ac:dyDescent="0.2">
      <c r="A534" s="106"/>
      <c r="B534" s="147" t="s">
        <v>645</v>
      </c>
      <c r="C534" s="374">
        <f>+(200+108+50+42)*1000</f>
        <v>400000</v>
      </c>
      <c r="D534" s="374">
        <v>385000</v>
      </c>
      <c r="E534" s="113">
        <v>385000</v>
      </c>
      <c r="F534" s="178">
        <v>112670</v>
      </c>
      <c r="G534" s="114">
        <v>400000</v>
      </c>
      <c r="H534" s="88"/>
    </row>
    <row r="535" spans="1:8" ht="12.75" hidden="1" customHeight="1" x14ac:dyDescent="0.2">
      <c r="A535" s="111"/>
      <c r="B535" s="125" t="s">
        <v>646</v>
      </c>
      <c r="C535" s="385">
        <f t="shared" ref="C535:G536" si="6">SUM(C545,C550,C540,C555)</f>
        <v>19377000</v>
      </c>
      <c r="D535" s="374">
        <f t="shared" si="6"/>
        <v>18807000</v>
      </c>
      <c r="E535" s="385">
        <f t="shared" si="6"/>
        <v>18807000</v>
      </c>
      <c r="F535" s="385">
        <f t="shared" si="6"/>
        <v>13777068.82</v>
      </c>
      <c r="G535" s="385">
        <f t="shared" si="6"/>
        <v>18701000</v>
      </c>
      <c r="H535" s="88"/>
    </row>
    <row r="536" spans="1:8" ht="12.75" hidden="1" customHeight="1" x14ac:dyDescent="0.2">
      <c r="A536" s="111"/>
      <c r="B536" s="125" t="s">
        <v>647</v>
      </c>
      <c r="C536" s="385">
        <f t="shared" si="6"/>
        <v>10759000</v>
      </c>
      <c r="D536" s="374">
        <f t="shared" si="6"/>
        <v>9059000</v>
      </c>
      <c r="E536" s="385">
        <f t="shared" si="6"/>
        <v>9059000</v>
      </c>
      <c r="F536" s="385">
        <f t="shared" si="6"/>
        <v>2403562.31</v>
      </c>
      <c r="G536" s="385">
        <f t="shared" si="6"/>
        <v>10054000</v>
      </c>
      <c r="H536" s="88"/>
    </row>
    <row r="537" spans="1:8" ht="12.75" hidden="1" customHeight="1" x14ac:dyDescent="0.2">
      <c r="A537" s="111"/>
      <c r="B537" s="125" t="s">
        <v>648</v>
      </c>
      <c r="C537" s="385">
        <f>C542+C547+C552+C557</f>
        <v>9297000</v>
      </c>
      <c r="D537" s="374">
        <f>D542+D547+D552+D557</f>
        <v>9577000</v>
      </c>
      <c r="E537" s="385">
        <f>E542+E547+E552+E557</f>
        <v>9577000</v>
      </c>
      <c r="F537" s="385">
        <f>F542+F547+F552+F557</f>
        <v>329910.49</v>
      </c>
      <c r="G537" s="385">
        <f>G542+G547+G552+G557</f>
        <v>6544000</v>
      </c>
      <c r="H537" s="32"/>
    </row>
    <row r="538" spans="1:8" s="98" customFormat="1" ht="12.75" hidden="1" customHeight="1" x14ac:dyDescent="0.2">
      <c r="A538" s="111"/>
      <c r="B538" s="125"/>
      <c r="C538" s="374"/>
      <c r="D538" s="374"/>
      <c r="E538" s="374"/>
      <c r="F538" s="374"/>
      <c r="G538" s="374"/>
      <c r="H538" s="386"/>
    </row>
    <row r="539" spans="1:8" hidden="1" x14ac:dyDescent="0.2">
      <c r="A539" s="111"/>
      <c r="B539" s="125" t="s">
        <v>649</v>
      </c>
      <c r="C539" s="145">
        <f>SUM(C540:C542)</f>
        <v>7839000</v>
      </c>
      <c r="D539" s="109">
        <f>SUM(D540:D542)</f>
        <v>7849000</v>
      </c>
      <c r="E539" s="145">
        <f>SUM(E540:E542)</f>
        <v>7849000</v>
      </c>
      <c r="F539" s="145">
        <f>SUM(F540:F542)</f>
        <v>5274946</v>
      </c>
      <c r="G539" s="145">
        <f>SUM(G540:G542)</f>
        <v>11137000</v>
      </c>
      <c r="H539" s="387"/>
    </row>
    <row r="540" spans="1:8" ht="12.75" hidden="1" customHeight="1" x14ac:dyDescent="0.2">
      <c r="A540" s="111"/>
      <c r="B540" s="125" t="s">
        <v>650</v>
      </c>
      <c r="C540" s="383">
        <f>6959000-40000</f>
        <v>6919000</v>
      </c>
      <c r="D540" s="383">
        <v>6649000</v>
      </c>
      <c r="E540" s="113">
        <v>6649000</v>
      </c>
      <c r="F540" s="113">
        <v>4869000</v>
      </c>
      <c r="G540" s="114">
        <v>6333000</v>
      </c>
      <c r="H540" s="387"/>
    </row>
    <row r="541" spans="1:8" ht="24.75" hidden="1" x14ac:dyDescent="0.2">
      <c r="A541" s="111"/>
      <c r="B541" s="125" t="s">
        <v>651</v>
      </c>
      <c r="C541" s="374">
        <v>280000</v>
      </c>
      <c r="D541" s="374">
        <v>280000</v>
      </c>
      <c r="E541" s="113">
        <v>280000</v>
      </c>
      <c r="F541" s="113">
        <v>263166</v>
      </c>
      <c r="G541" s="114">
        <v>1178000</v>
      </c>
      <c r="H541" s="387"/>
    </row>
    <row r="542" spans="1:8" ht="44.25" hidden="1" customHeight="1" x14ac:dyDescent="0.2">
      <c r="A542" s="111"/>
      <c r="B542" s="125" t="s">
        <v>652</v>
      </c>
      <c r="C542" s="374">
        <f>590000+50000</f>
        <v>640000</v>
      </c>
      <c r="D542" s="374">
        <v>920000</v>
      </c>
      <c r="E542" s="113">
        <v>920000</v>
      </c>
      <c r="F542" s="113">
        <v>142780</v>
      </c>
      <c r="G542" s="114">
        <f>(150+3000+300+70+192+85+129-300)*1000</f>
        <v>3626000</v>
      </c>
      <c r="H542" s="32"/>
    </row>
    <row r="543" spans="1:8" ht="12.75" hidden="1" customHeight="1" x14ac:dyDescent="0.2">
      <c r="A543" s="111"/>
      <c r="B543" s="125"/>
      <c r="C543" s="374"/>
      <c r="D543" s="374"/>
      <c r="E543" s="388"/>
      <c r="F543" s="388"/>
      <c r="G543" s="113"/>
      <c r="H543" s="88"/>
    </row>
    <row r="544" spans="1:8" hidden="1" x14ac:dyDescent="0.2">
      <c r="A544" s="111"/>
      <c r="B544" s="125" t="s">
        <v>653</v>
      </c>
      <c r="C544" s="145">
        <f>SUM(C545:C547)</f>
        <v>12511000</v>
      </c>
      <c r="D544" s="109">
        <f>SUM(D545:D547)</f>
        <v>12411000</v>
      </c>
      <c r="E544" s="145">
        <f>SUM(E545:E547)</f>
        <v>12411000</v>
      </c>
      <c r="F544" s="145">
        <f>SUM(F545:F547)</f>
        <v>3359199.31</v>
      </c>
      <c r="G544" s="145">
        <f>SUM(G545:G547)</f>
        <v>4954000</v>
      </c>
      <c r="H544" s="88"/>
    </row>
    <row r="545" spans="1:8" ht="12.75" hidden="1" customHeight="1" x14ac:dyDescent="0.2">
      <c r="A545" s="111"/>
      <c r="B545" s="125" t="s">
        <v>654</v>
      </c>
      <c r="C545" s="374">
        <f>4261000-20000</f>
        <v>4241000</v>
      </c>
      <c r="D545" s="374">
        <v>4141000</v>
      </c>
      <c r="E545" s="114">
        <v>4141000</v>
      </c>
      <c r="F545" s="114">
        <v>3259068.82</v>
      </c>
      <c r="G545" s="114">
        <v>3940000</v>
      </c>
      <c r="H545" s="88"/>
    </row>
    <row r="546" spans="1:8" ht="24.75" hidden="1" customHeight="1" x14ac:dyDescent="0.2">
      <c r="A546" s="111"/>
      <c r="B546" s="125" t="s">
        <v>655</v>
      </c>
      <c r="C546" s="374">
        <v>0</v>
      </c>
      <c r="D546" s="374">
        <v>0</v>
      </c>
      <c r="E546" s="113">
        <v>0</v>
      </c>
      <c r="F546" s="113">
        <v>0</v>
      </c>
      <c r="G546" s="114">
        <v>576000</v>
      </c>
      <c r="H546" s="88"/>
    </row>
    <row r="547" spans="1:8" ht="24.75" hidden="1" x14ac:dyDescent="0.2">
      <c r="A547" s="111"/>
      <c r="B547" s="125" t="s">
        <v>656</v>
      </c>
      <c r="C547" s="374">
        <v>8270000</v>
      </c>
      <c r="D547" s="374">
        <v>8270000</v>
      </c>
      <c r="E547" s="113">
        <v>8270000</v>
      </c>
      <c r="F547" s="113">
        <v>100130.49</v>
      </c>
      <c r="G547" s="114">
        <v>438000</v>
      </c>
      <c r="H547" s="32"/>
    </row>
    <row r="548" spans="1:8" ht="12.75" hidden="1" customHeight="1" x14ac:dyDescent="0.2">
      <c r="A548" s="111"/>
      <c r="B548" s="125"/>
      <c r="C548" s="374"/>
      <c r="D548" s="374"/>
      <c r="E548" s="113"/>
      <c r="F548" s="113"/>
      <c r="G548" s="113"/>
      <c r="H548" s="387"/>
    </row>
    <row r="549" spans="1:8" ht="12.75" hidden="1" customHeight="1" x14ac:dyDescent="0.2">
      <c r="A549" s="111"/>
      <c r="B549" s="125" t="s">
        <v>657</v>
      </c>
      <c r="C549" s="145">
        <f>SUM(C550:C552)</f>
        <v>5671000</v>
      </c>
      <c r="D549" s="109">
        <f>SUM(D550:D552)</f>
        <v>3871000</v>
      </c>
      <c r="E549" s="145">
        <f>SUM(E550:E552)</f>
        <v>3871000</v>
      </c>
      <c r="F549" s="145">
        <f>SUM(F550:F552)</f>
        <v>2565194.63</v>
      </c>
      <c r="G549" s="145">
        <f>SUM(G550:G552)</f>
        <v>12515000</v>
      </c>
      <c r="H549" s="387"/>
    </row>
    <row r="550" spans="1:8" ht="12.75" hidden="1" customHeight="1" x14ac:dyDescent="0.2">
      <c r="A550" s="111"/>
      <c r="B550" s="125" t="s">
        <v>658</v>
      </c>
      <c r="C550" s="374">
        <f>3454000-20000</f>
        <v>3434000</v>
      </c>
      <c r="D550" s="374">
        <v>3334000</v>
      </c>
      <c r="E550" s="113">
        <v>3334000</v>
      </c>
      <c r="F550" s="113">
        <v>2356000</v>
      </c>
      <c r="G550" s="114">
        <v>3375000</v>
      </c>
      <c r="H550" s="387"/>
    </row>
    <row r="551" spans="1:8" ht="29.25" hidden="1" customHeight="1" x14ac:dyDescent="0.2">
      <c r="A551" s="111"/>
      <c r="B551" s="125" t="s">
        <v>659</v>
      </c>
      <c r="C551" s="374">
        <v>1850000</v>
      </c>
      <c r="D551" s="374">
        <v>150000</v>
      </c>
      <c r="E551" s="113">
        <v>150000</v>
      </c>
      <c r="F551" s="113">
        <v>122194.63</v>
      </c>
      <c r="G551" s="114">
        <f>(4600+2600+500+400)*1000</f>
        <v>8100000</v>
      </c>
      <c r="H551" s="387"/>
    </row>
    <row r="552" spans="1:8" ht="24.75" hidden="1" x14ac:dyDescent="0.2">
      <c r="A552" s="111"/>
      <c r="B552" s="125" t="s">
        <v>660</v>
      </c>
      <c r="C552" s="374">
        <v>387000</v>
      </c>
      <c r="D552" s="374">
        <v>387000</v>
      </c>
      <c r="E552" s="113">
        <v>387000</v>
      </c>
      <c r="F552" s="113">
        <v>87000</v>
      </c>
      <c r="G552" s="114">
        <f>+(600+600-160)*1000</f>
        <v>1040000</v>
      </c>
      <c r="H552" s="387"/>
    </row>
    <row r="553" spans="1:8" ht="12.75" hidden="1" customHeight="1" x14ac:dyDescent="0.2">
      <c r="A553" s="111"/>
      <c r="B553" s="125"/>
      <c r="C553" s="374"/>
      <c r="D553" s="374"/>
      <c r="E553" s="105"/>
      <c r="F553" s="114"/>
      <c r="G553" s="105"/>
      <c r="H553" s="386"/>
    </row>
    <row r="554" spans="1:8" hidden="1" x14ac:dyDescent="0.2">
      <c r="A554" s="111"/>
      <c r="B554" s="125" t="s">
        <v>661</v>
      </c>
      <c r="C554" s="145">
        <f>SUM(C555:C557)</f>
        <v>13412000</v>
      </c>
      <c r="D554" s="109">
        <f>SUM(D555:D557)</f>
        <v>13312000</v>
      </c>
      <c r="E554" s="145">
        <f>SUM(E555:E557)</f>
        <v>13312000</v>
      </c>
      <c r="F554" s="145">
        <f>SUM(F555:F557)</f>
        <v>5311201.68</v>
      </c>
      <c r="G554" s="145">
        <f>SUM(G555:G557)</f>
        <v>6693000</v>
      </c>
      <c r="H554" s="386"/>
    </row>
    <row r="555" spans="1:8" ht="12.75" hidden="1" customHeight="1" x14ac:dyDescent="0.2">
      <c r="A555" s="111"/>
      <c r="B555" s="125" t="s">
        <v>662</v>
      </c>
      <c r="C555" s="374">
        <f>4803000-20000</f>
        <v>4783000</v>
      </c>
      <c r="D555" s="374">
        <v>4683000</v>
      </c>
      <c r="E555" s="220">
        <v>4683000</v>
      </c>
      <c r="F555" s="220">
        <v>3293000</v>
      </c>
      <c r="G555" s="114">
        <v>5053000</v>
      </c>
      <c r="H555" s="88"/>
    </row>
    <row r="556" spans="1:8" ht="15" hidden="1" x14ac:dyDescent="0.2">
      <c r="A556" s="111"/>
      <c r="B556" s="125" t="s">
        <v>663</v>
      </c>
      <c r="C556" s="374">
        <v>8629000</v>
      </c>
      <c r="D556" s="374">
        <v>8629000</v>
      </c>
      <c r="E556" s="266">
        <v>8629000</v>
      </c>
      <c r="F556" s="266">
        <v>2018201.68</v>
      </c>
      <c r="G556" s="114">
        <v>200000</v>
      </c>
      <c r="H556" s="387"/>
    </row>
    <row r="557" spans="1:8" ht="12.75" hidden="1" customHeight="1" x14ac:dyDescent="0.2">
      <c r="A557" s="111"/>
      <c r="B557" s="125" t="s">
        <v>664</v>
      </c>
      <c r="C557" s="374">
        <f>50000-50000</f>
        <v>0</v>
      </c>
      <c r="D557" s="374">
        <v>0</v>
      </c>
      <c r="E557" s="388">
        <v>0</v>
      </c>
      <c r="F557" s="388">
        <v>0</v>
      </c>
      <c r="G557" s="114">
        <f>(320+1250-130)*1000</f>
        <v>1440000</v>
      </c>
      <c r="H557" s="386"/>
    </row>
    <row r="558" spans="1:8" ht="12.75" hidden="1" customHeight="1" x14ac:dyDescent="0.2">
      <c r="A558" s="111"/>
      <c r="B558" s="125"/>
      <c r="C558" s="374"/>
      <c r="D558" s="374"/>
      <c r="E558" s="121"/>
      <c r="F558" s="121"/>
      <c r="G558" s="114"/>
      <c r="H558" s="386"/>
    </row>
    <row r="559" spans="1:8" hidden="1" x14ac:dyDescent="0.2">
      <c r="A559" s="106">
        <v>3233</v>
      </c>
      <c r="B559" s="110" t="s">
        <v>665</v>
      </c>
      <c r="C559" s="145">
        <f>C560</f>
        <v>4374000</v>
      </c>
      <c r="D559" s="109">
        <f>D560</f>
        <v>1686994</v>
      </c>
      <c r="E559" s="145">
        <f>E560</f>
        <v>1686994</v>
      </c>
      <c r="F559" s="145">
        <f>F560</f>
        <v>1343942</v>
      </c>
      <c r="G559" s="145">
        <f>G560</f>
        <v>21464811.300000001</v>
      </c>
      <c r="H559" s="386"/>
    </row>
    <row r="560" spans="1:8" ht="12.75" hidden="1" customHeight="1" x14ac:dyDescent="0.2">
      <c r="A560" s="106"/>
      <c r="B560" s="125" t="s">
        <v>666</v>
      </c>
      <c r="C560" s="385">
        <f>SUM(C561:C563)</f>
        <v>4374000</v>
      </c>
      <c r="D560" s="374">
        <f>SUM(D561:D563)</f>
        <v>1686994</v>
      </c>
      <c r="E560" s="385">
        <f>SUM(E561:E563)</f>
        <v>1686994</v>
      </c>
      <c r="F560" s="385">
        <f>SUM(F561:F563)</f>
        <v>1343942</v>
      </c>
      <c r="G560" s="385">
        <f>SUM(G561:G563)</f>
        <v>21464811.300000001</v>
      </c>
      <c r="H560" s="386"/>
    </row>
    <row r="561" spans="1:8" ht="12.75" hidden="1" customHeight="1" x14ac:dyDescent="0.2">
      <c r="A561" s="106"/>
      <c r="B561" s="125" t="s">
        <v>667</v>
      </c>
      <c r="C561" s="374">
        <f>1509000+2000+3000</f>
        <v>1514000</v>
      </c>
      <c r="D561" s="374">
        <v>1304000</v>
      </c>
      <c r="E561" s="121">
        <v>1304000</v>
      </c>
      <c r="F561" s="121">
        <v>1076000</v>
      </c>
      <c r="G561" s="114">
        <v>1512000</v>
      </c>
      <c r="H561" s="386"/>
    </row>
    <row r="562" spans="1:8" ht="12.75" hidden="1" customHeight="1" x14ac:dyDescent="0.2">
      <c r="A562" s="106"/>
      <c r="B562" s="125" t="s">
        <v>668</v>
      </c>
      <c r="C562" s="374">
        <f>246000-246000</f>
        <v>0</v>
      </c>
      <c r="D562" s="374">
        <v>0</v>
      </c>
      <c r="E562" s="113">
        <v>0</v>
      </c>
      <c r="F562" s="113">
        <v>0</v>
      </c>
      <c r="G562" s="114">
        <v>150000</v>
      </c>
      <c r="H562" s="386"/>
    </row>
    <row r="563" spans="1:8" ht="24.75" hidden="1" x14ac:dyDescent="0.2">
      <c r="A563" s="106"/>
      <c r="B563" s="125" t="s">
        <v>669</v>
      </c>
      <c r="C563" s="374">
        <f>2943000-83000</f>
        <v>2860000</v>
      </c>
      <c r="D563" s="374">
        <v>382994</v>
      </c>
      <c r="E563" s="113">
        <v>382994</v>
      </c>
      <c r="F563" s="113">
        <v>267942</v>
      </c>
      <c r="G563" s="114">
        <f>+(19797.8113+95+50-140)*1000</f>
        <v>19802811.300000001</v>
      </c>
      <c r="H563" s="32"/>
    </row>
    <row r="564" spans="1:8" s="98" customFormat="1" ht="12.75" hidden="1" customHeight="1" x14ac:dyDescent="0.2">
      <c r="A564" s="106">
        <v>3419</v>
      </c>
      <c r="B564" s="110" t="s">
        <v>670</v>
      </c>
      <c r="C564" s="382">
        <v>60000</v>
      </c>
      <c r="D564" s="382">
        <v>60000</v>
      </c>
      <c r="E564" s="105">
        <v>60000</v>
      </c>
      <c r="F564" s="105">
        <v>23782.41</v>
      </c>
      <c r="G564" s="105">
        <v>80000</v>
      </c>
      <c r="H564" s="88"/>
    </row>
    <row r="565" spans="1:8" s="98" customFormat="1" ht="15.75" hidden="1" x14ac:dyDescent="0.25">
      <c r="A565" s="312"/>
      <c r="B565" s="369" t="s">
        <v>671</v>
      </c>
      <c r="C565" s="169">
        <f>SUM(C566,C570,C573,C578,C581,C588)</f>
        <v>39914000</v>
      </c>
      <c r="D565" s="137">
        <f>SUM(D566,D570,D573,D578,D581,D588)</f>
        <v>39435236.609999999</v>
      </c>
      <c r="E565" s="169">
        <f>SUM(E566,E570,E573,E578,E581,E588)</f>
        <v>39435236.609999999</v>
      </c>
      <c r="F565" s="169">
        <f>SUM(F566,F570,F573,F578,F581,F588)</f>
        <v>25118106.539999999</v>
      </c>
      <c r="G565" s="169">
        <f>SUM(G566,G570,G573,G578,G581,G588)</f>
        <v>63946000</v>
      </c>
      <c r="H565" s="88"/>
    </row>
    <row r="566" spans="1:8" s="98" customFormat="1" hidden="1" x14ac:dyDescent="0.2">
      <c r="A566" s="389">
        <v>3311</v>
      </c>
      <c r="B566" s="390" t="s">
        <v>672</v>
      </c>
      <c r="C566" s="197">
        <f>SUM(C567:C569)</f>
        <v>13652000</v>
      </c>
      <c r="D566" s="105">
        <f>SUM(D567:D569)</f>
        <v>13287856.609999999</v>
      </c>
      <c r="E566" s="197">
        <f>SUM(E567:E569)</f>
        <v>13287856.609999999</v>
      </c>
      <c r="F566" s="197">
        <f>SUM(F567:F569)</f>
        <v>8752492.9000000004</v>
      </c>
      <c r="G566" s="197">
        <f>SUM(G567:G569)</f>
        <v>35844000</v>
      </c>
      <c r="H566" s="88"/>
    </row>
    <row r="567" spans="1:8" s="98" customFormat="1" ht="12.75" hidden="1" customHeight="1" x14ac:dyDescent="0.2">
      <c r="A567" s="391"/>
      <c r="B567" s="392" t="s">
        <v>673</v>
      </c>
      <c r="C567" s="374">
        <f>11611000+511000</f>
        <v>12122000</v>
      </c>
      <c r="D567" s="374">
        <v>11554289.039999999</v>
      </c>
      <c r="E567" s="113">
        <v>11554289.039999999</v>
      </c>
      <c r="F567" s="113">
        <v>7809830.2999999998</v>
      </c>
      <c r="G567" s="114">
        <v>12044000</v>
      </c>
      <c r="H567" s="88"/>
    </row>
    <row r="568" spans="1:8" s="98" customFormat="1" ht="24.75" hidden="1" x14ac:dyDescent="0.2">
      <c r="A568" s="391"/>
      <c r="B568" s="392" t="s">
        <v>674</v>
      </c>
      <c r="C568" s="374">
        <f>1150000+220000-400000</f>
        <v>970000</v>
      </c>
      <c r="D568" s="374">
        <v>970000</v>
      </c>
      <c r="E568" s="113">
        <v>970000</v>
      </c>
      <c r="F568" s="113">
        <v>836182.6</v>
      </c>
      <c r="G568" s="114">
        <f>+(20000+4000-200)*1000</f>
        <v>23800000</v>
      </c>
      <c r="H568" s="32"/>
    </row>
    <row r="569" spans="1:8" s="98" customFormat="1" ht="13.5" hidden="1" customHeight="1" x14ac:dyDescent="0.2">
      <c r="A569" s="391"/>
      <c r="B569" s="392" t="s">
        <v>675</v>
      </c>
      <c r="C569" s="393">
        <f>410000+150000</f>
        <v>560000</v>
      </c>
      <c r="D569" s="393">
        <v>763567.57</v>
      </c>
      <c r="E569" s="200">
        <v>763567.57</v>
      </c>
      <c r="F569" s="200">
        <v>106480</v>
      </c>
      <c r="G569" s="114">
        <v>0</v>
      </c>
      <c r="H569" s="88"/>
    </row>
    <row r="570" spans="1:8" hidden="1" x14ac:dyDescent="0.2">
      <c r="A570" s="394">
        <v>3319</v>
      </c>
      <c r="B570" s="395" t="s">
        <v>676</v>
      </c>
      <c r="C570" s="109">
        <f>SUM(C571:C572)</f>
        <v>1005000</v>
      </c>
      <c r="D570" s="109">
        <f>SUM(D571:D572)</f>
        <v>918000</v>
      </c>
      <c r="E570" s="109">
        <f>SUM(E571:E572)</f>
        <v>918000</v>
      </c>
      <c r="F570" s="109">
        <f>SUM(F571:F572)</f>
        <v>235910.69</v>
      </c>
      <c r="G570" s="109">
        <f>SUM(G571:G572)</f>
        <v>1017000</v>
      </c>
      <c r="H570" s="88"/>
    </row>
    <row r="571" spans="1:8" ht="12.75" hidden="1" customHeight="1" x14ac:dyDescent="0.2">
      <c r="A571" s="394"/>
      <c r="B571" s="396" t="s">
        <v>677</v>
      </c>
      <c r="C571" s="374">
        <v>410000</v>
      </c>
      <c r="D571" s="374">
        <v>410000</v>
      </c>
      <c r="E571" s="113">
        <v>410000</v>
      </c>
      <c r="F571" s="113">
        <v>235910.69</v>
      </c>
      <c r="G571" s="114">
        <f>417000+5000</f>
        <v>422000</v>
      </c>
      <c r="H571" s="32"/>
    </row>
    <row r="572" spans="1:8" ht="24.75" hidden="1" customHeight="1" x14ac:dyDescent="0.2">
      <c r="A572" s="394"/>
      <c r="B572" s="397" t="s">
        <v>678</v>
      </c>
      <c r="C572" s="374">
        <v>595000</v>
      </c>
      <c r="D572" s="374">
        <v>508000</v>
      </c>
      <c r="E572" s="113">
        <v>508000</v>
      </c>
      <c r="F572" s="113"/>
      <c r="G572" s="114">
        <v>595000</v>
      </c>
      <c r="H572" s="88"/>
    </row>
    <row r="573" spans="1:8" hidden="1" x14ac:dyDescent="0.2">
      <c r="A573" s="394">
        <v>3322</v>
      </c>
      <c r="B573" s="395" t="s">
        <v>679</v>
      </c>
      <c r="C573" s="145">
        <f>SUM(C574:C577)</f>
        <v>372000</v>
      </c>
      <c r="D573" s="109">
        <f>SUM(D574:D577)</f>
        <v>443000</v>
      </c>
      <c r="E573" s="145">
        <f>SUM(E574:E577)</f>
        <v>443000</v>
      </c>
      <c r="F573" s="145">
        <f>SUM(F574:F577)</f>
        <v>204341.84</v>
      </c>
      <c r="G573" s="145">
        <f>SUM(G574:G577)</f>
        <v>332000</v>
      </c>
      <c r="H573" s="88"/>
    </row>
    <row r="574" spans="1:8" ht="12.75" hidden="1" customHeight="1" x14ac:dyDescent="0.2">
      <c r="A574" s="391"/>
      <c r="B574" s="396" t="s">
        <v>680</v>
      </c>
      <c r="C574" s="374">
        <v>20000</v>
      </c>
      <c r="D574" s="374">
        <v>20000</v>
      </c>
      <c r="E574" s="121">
        <v>20000</v>
      </c>
      <c r="F574" s="121">
        <v>0</v>
      </c>
      <c r="G574" s="114">
        <v>10000</v>
      </c>
      <c r="H574" s="88"/>
    </row>
    <row r="575" spans="1:8" hidden="1" x14ac:dyDescent="0.2">
      <c r="A575" s="391"/>
      <c r="B575" s="396" t="s">
        <v>681</v>
      </c>
      <c r="C575" s="179">
        <v>40000</v>
      </c>
      <c r="D575" s="160">
        <v>40000</v>
      </c>
      <c r="E575" s="113">
        <v>40000</v>
      </c>
      <c r="F575" s="113">
        <v>0</v>
      </c>
      <c r="G575" s="114">
        <v>0</v>
      </c>
      <c r="H575" s="88"/>
    </row>
    <row r="576" spans="1:8" ht="12.75" hidden="1" customHeight="1" x14ac:dyDescent="0.2">
      <c r="A576" s="391"/>
      <c r="B576" s="392" t="s">
        <v>682</v>
      </c>
      <c r="C576" s="374">
        <v>42000</v>
      </c>
      <c r="D576" s="374">
        <v>42000</v>
      </c>
      <c r="E576" s="121">
        <v>42000</v>
      </c>
      <c r="F576" s="121">
        <v>31428</v>
      </c>
      <c r="G576" s="114">
        <v>42000</v>
      </c>
      <c r="H576" s="88"/>
    </row>
    <row r="577" spans="1:8" s="98" customFormat="1" ht="25.5" hidden="1" x14ac:dyDescent="0.2">
      <c r="A577" s="391"/>
      <c r="B577" s="392" t="s">
        <v>683</v>
      </c>
      <c r="C577" s="374">
        <f>305000-35000</f>
        <v>270000</v>
      </c>
      <c r="D577" s="374">
        <v>341000</v>
      </c>
      <c r="E577" s="121">
        <v>341000</v>
      </c>
      <c r="F577" s="121">
        <v>172913.84</v>
      </c>
      <c r="G577" s="114">
        <v>280000</v>
      </c>
      <c r="H577" s="32"/>
    </row>
    <row r="578" spans="1:8" s="98" customFormat="1" hidden="1" x14ac:dyDescent="0.2">
      <c r="A578" s="394">
        <v>3326</v>
      </c>
      <c r="B578" s="398" t="s">
        <v>684</v>
      </c>
      <c r="C578" s="145">
        <f>SUM(C579:C580)</f>
        <v>126000</v>
      </c>
      <c r="D578" s="109">
        <f>SUM(D579:D580)</f>
        <v>126000</v>
      </c>
      <c r="E578" s="145">
        <f>SUM(E579:E580)</f>
        <v>126000</v>
      </c>
      <c r="F578" s="145">
        <f>SUM(F579:F580)</f>
        <v>624.26</v>
      </c>
      <c r="G578" s="145">
        <f>SUM(G579:G580)</f>
        <v>341000</v>
      </c>
      <c r="H578" s="88"/>
    </row>
    <row r="579" spans="1:8" s="98" customFormat="1" ht="12.75" hidden="1" customHeight="1" x14ac:dyDescent="0.2">
      <c r="A579" s="391"/>
      <c r="B579" s="392" t="s">
        <v>685</v>
      </c>
      <c r="C579" s="374">
        <v>116000</v>
      </c>
      <c r="D579" s="374">
        <v>116000</v>
      </c>
      <c r="E579" s="121">
        <v>116000</v>
      </c>
      <c r="F579" s="121">
        <v>0</v>
      </c>
      <c r="G579" s="114">
        <v>338000</v>
      </c>
      <c r="H579" s="88"/>
    </row>
    <row r="580" spans="1:8" s="98" customFormat="1" ht="12.75" hidden="1" customHeight="1" x14ac:dyDescent="0.2">
      <c r="A580" s="391"/>
      <c r="B580" s="392" t="s">
        <v>686</v>
      </c>
      <c r="C580" s="374">
        <v>10000</v>
      </c>
      <c r="D580" s="374">
        <v>10000</v>
      </c>
      <c r="E580" s="121">
        <v>10000</v>
      </c>
      <c r="F580" s="121">
        <v>624.26</v>
      </c>
      <c r="G580" s="114">
        <v>3000</v>
      </c>
      <c r="H580" s="88"/>
    </row>
    <row r="581" spans="1:8" hidden="1" x14ac:dyDescent="0.2">
      <c r="A581" s="394">
        <v>3392</v>
      </c>
      <c r="B581" s="398" t="s">
        <v>687</v>
      </c>
      <c r="C581" s="145">
        <f>C583+C582</f>
        <v>24609000</v>
      </c>
      <c r="D581" s="109">
        <f>D583+D582</f>
        <v>24510380</v>
      </c>
      <c r="E581" s="145">
        <f>E583+E582</f>
        <v>24510380</v>
      </c>
      <c r="F581" s="145">
        <f>F583+F582</f>
        <v>15864967.85</v>
      </c>
      <c r="G581" s="145">
        <f>G583+G582</f>
        <v>26232000</v>
      </c>
      <c r="H581" s="88"/>
    </row>
    <row r="582" spans="1:8" ht="12.75" hidden="1" customHeight="1" x14ac:dyDescent="0.2">
      <c r="A582" s="394"/>
      <c r="B582" s="392" t="s">
        <v>688</v>
      </c>
      <c r="C582" s="374">
        <v>26000</v>
      </c>
      <c r="D582" s="374">
        <v>26000</v>
      </c>
      <c r="E582" s="113">
        <v>26000</v>
      </c>
      <c r="F582" s="113">
        <v>4000</v>
      </c>
      <c r="G582" s="114">
        <v>26000</v>
      </c>
      <c r="H582" s="32"/>
    </row>
    <row r="583" spans="1:8" hidden="1" x14ac:dyDescent="0.2">
      <c r="A583" s="391"/>
      <c r="B583" s="392" t="s">
        <v>689</v>
      </c>
      <c r="C583" s="145">
        <f>SUM(C584+C587+C586)</f>
        <v>24583000</v>
      </c>
      <c r="D583" s="109">
        <f>SUM(D584+D587+D586)</f>
        <v>24484380</v>
      </c>
      <c r="E583" s="145">
        <f>SUM(E584+E587+E586)</f>
        <v>24484380</v>
      </c>
      <c r="F583" s="145">
        <f>SUM(F584+F587+F586)</f>
        <v>15860967.85</v>
      </c>
      <c r="G583" s="145">
        <f>SUM(G584+G587+G586)</f>
        <v>26206000</v>
      </c>
      <c r="H583" s="32"/>
    </row>
    <row r="584" spans="1:8" ht="12.75" hidden="1" customHeight="1" x14ac:dyDescent="0.2">
      <c r="A584" s="391"/>
      <c r="B584" s="392" t="s">
        <v>690</v>
      </c>
      <c r="C584" s="374">
        <f>22225000+975000</f>
        <v>23200000</v>
      </c>
      <c r="D584" s="374">
        <v>23101380</v>
      </c>
      <c r="E584" s="113">
        <v>23101380</v>
      </c>
      <c r="F584" s="113">
        <v>15574415.85</v>
      </c>
      <c r="G584" s="114">
        <v>24300000</v>
      </c>
      <c r="H584" s="88"/>
    </row>
    <row r="585" spans="1:8" ht="12.75" hidden="1" customHeight="1" x14ac:dyDescent="0.2">
      <c r="A585" s="391"/>
      <c r="B585" s="392" t="s">
        <v>691</v>
      </c>
      <c r="C585" s="374"/>
      <c r="D585" s="374"/>
      <c r="E585" s="113"/>
      <c r="F585" s="113"/>
      <c r="G585" s="114"/>
      <c r="H585" s="32"/>
    </row>
    <row r="586" spans="1:8" s="98" customFormat="1" ht="12.75" hidden="1" customHeight="1" x14ac:dyDescent="0.2">
      <c r="A586" s="391"/>
      <c r="B586" s="392" t="s">
        <v>692</v>
      </c>
      <c r="C586" s="374">
        <v>267000</v>
      </c>
      <c r="D586" s="374">
        <v>267000</v>
      </c>
      <c r="E586" s="113">
        <v>267000</v>
      </c>
      <c r="F586" s="113">
        <v>0</v>
      </c>
      <c r="G586" s="114">
        <v>773000</v>
      </c>
      <c r="H586" s="88"/>
    </row>
    <row r="587" spans="1:8" s="98" customFormat="1" ht="48.75" hidden="1" x14ac:dyDescent="0.2">
      <c r="A587" s="391"/>
      <c r="B587" s="392" t="s">
        <v>693</v>
      </c>
      <c r="C587" s="374">
        <v>1116000</v>
      </c>
      <c r="D587" s="374">
        <v>1116000</v>
      </c>
      <c r="E587" s="113">
        <v>1116000</v>
      </c>
      <c r="F587" s="113">
        <v>286552</v>
      </c>
      <c r="G587" s="114">
        <f>+(415+351+130+310+313+57+157-600)*1000</f>
        <v>1133000</v>
      </c>
      <c r="H587" s="32"/>
    </row>
    <row r="588" spans="1:8" hidden="1" x14ac:dyDescent="0.2">
      <c r="A588" s="394">
        <v>3399</v>
      </c>
      <c r="B588" s="398" t="s">
        <v>694</v>
      </c>
      <c r="C588" s="145">
        <f>C589</f>
        <v>150000</v>
      </c>
      <c r="D588" s="109">
        <f>D589</f>
        <v>150000</v>
      </c>
      <c r="E588" s="145">
        <f>E589</f>
        <v>150000</v>
      </c>
      <c r="F588" s="145">
        <f>F589</f>
        <v>59769</v>
      </c>
      <c r="G588" s="145">
        <f>G589</f>
        <v>180000</v>
      </c>
      <c r="H588" s="88"/>
    </row>
    <row r="589" spans="1:8" ht="12.75" hidden="1" customHeight="1" x14ac:dyDescent="0.2">
      <c r="A589" s="391"/>
      <c r="B589" s="392" t="s">
        <v>695</v>
      </c>
      <c r="C589" s="399">
        <v>150000</v>
      </c>
      <c r="D589" s="399">
        <v>150000</v>
      </c>
      <c r="E589" s="266">
        <v>150000</v>
      </c>
      <c r="F589" s="266">
        <v>59769</v>
      </c>
      <c r="G589" s="114">
        <v>180000</v>
      </c>
      <c r="H589" s="32"/>
    </row>
    <row r="590" spans="1:8" ht="15.75" hidden="1" x14ac:dyDescent="0.25">
      <c r="A590" s="312"/>
      <c r="B590" s="168" t="s">
        <v>696</v>
      </c>
      <c r="C590" s="400">
        <f>C591</f>
        <v>21842140</v>
      </c>
      <c r="D590" s="400">
        <f>D591</f>
        <v>35974638</v>
      </c>
      <c r="E590" s="400">
        <f>E591</f>
        <v>35974638</v>
      </c>
      <c r="F590" s="400">
        <f>F591</f>
        <v>33020701</v>
      </c>
      <c r="G590" s="400">
        <f>G591</f>
        <v>17576816</v>
      </c>
      <c r="H590" s="88"/>
    </row>
    <row r="591" spans="1:8" hidden="1" x14ac:dyDescent="0.2">
      <c r="A591" s="106"/>
      <c r="B591" s="370" t="s">
        <v>697</v>
      </c>
      <c r="C591" s="104">
        <f>SUM(C592:C603)</f>
        <v>21842140</v>
      </c>
      <c r="D591" s="104">
        <f>SUM(D592:D603)</f>
        <v>35974638</v>
      </c>
      <c r="E591" s="104">
        <f>SUM(E592:E603)</f>
        <v>35974638</v>
      </c>
      <c r="F591" s="104">
        <f>SUM(F592:F603)</f>
        <v>33020701</v>
      </c>
      <c r="G591" s="104">
        <f>SUM(G592:G603)</f>
        <v>17576816</v>
      </c>
      <c r="H591" s="88"/>
    </row>
    <row r="592" spans="1:8" s="98" customFormat="1" ht="12.75" hidden="1" customHeight="1" x14ac:dyDescent="0.2">
      <c r="A592" s="111"/>
      <c r="B592" s="125" t="s">
        <v>698</v>
      </c>
      <c r="C592" s="374">
        <v>861000</v>
      </c>
      <c r="D592" s="374">
        <v>775000</v>
      </c>
      <c r="E592" s="121">
        <v>775000</v>
      </c>
      <c r="F592" s="121">
        <v>775000</v>
      </c>
      <c r="G592" s="114">
        <v>893000</v>
      </c>
      <c r="H592" s="88"/>
    </row>
    <row r="593" spans="1:8" s="98" customFormat="1" ht="12.75" hidden="1" customHeight="1" x14ac:dyDescent="0.2">
      <c r="A593" s="111"/>
      <c r="B593" s="125" t="s">
        <v>699</v>
      </c>
      <c r="C593" s="374">
        <v>286000</v>
      </c>
      <c r="D593" s="374">
        <v>262000</v>
      </c>
      <c r="E593" s="113">
        <v>262000</v>
      </c>
      <c r="F593" s="113">
        <v>144000</v>
      </c>
      <c r="G593" s="114">
        <v>297000</v>
      </c>
      <c r="H593" s="88"/>
    </row>
    <row r="594" spans="1:8" s="98" customFormat="1" ht="12.75" hidden="1" customHeight="1" x14ac:dyDescent="0.2">
      <c r="A594" s="111"/>
      <c r="B594" s="125" t="s">
        <v>700</v>
      </c>
      <c r="C594" s="374">
        <v>4250000</v>
      </c>
      <c r="D594" s="374">
        <v>4215000</v>
      </c>
      <c r="E594" s="113">
        <v>4215000</v>
      </c>
      <c r="F594" s="113">
        <v>3861500</v>
      </c>
      <c r="G594" s="114">
        <v>3050000</v>
      </c>
      <c r="H594" s="32"/>
    </row>
    <row r="595" spans="1:8" ht="12.75" hidden="1" customHeight="1" x14ac:dyDescent="0.2">
      <c r="A595" s="111"/>
      <c r="B595" s="125" t="s">
        <v>701</v>
      </c>
      <c r="C595" s="374">
        <v>7593000</v>
      </c>
      <c r="D595" s="374">
        <v>7178000</v>
      </c>
      <c r="E595" s="113">
        <v>7178000</v>
      </c>
      <c r="F595" s="113">
        <v>7011000</v>
      </c>
      <c r="G595" s="114">
        <v>5423000</v>
      </c>
      <c r="H595" s="32"/>
    </row>
    <row r="596" spans="1:8" ht="12.75" hidden="1" customHeight="1" x14ac:dyDescent="0.2">
      <c r="A596" s="111"/>
      <c r="B596" s="125" t="s">
        <v>702</v>
      </c>
      <c r="C596" s="374">
        <v>100000</v>
      </c>
      <c r="D596" s="374">
        <v>95000</v>
      </c>
      <c r="E596" s="113">
        <v>95000</v>
      </c>
      <c r="F596" s="113">
        <v>52000</v>
      </c>
      <c r="G596" s="114">
        <v>40000</v>
      </c>
      <c r="H596" s="88"/>
    </row>
    <row r="597" spans="1:8" ht="12.75" hidden="1" customHeight="1" x14ac:dyDescent="0.2">
      <c r="A597" s="111"/>
      <c r="B597" s="125" t="s">
        <v>703</v>
      </c>
      <c r="C597" s="374">
        <v>6700000</v>
      </c>
      <c r="D597" s="374">
        <v>6701700</v>
      </c>
      <c r="E597" s="121">
        <v>6701700</v>
      </c>
      <c r="F597" s="121">
        <v>5198300</v>
      </c>
      <c r="G597" s="114">
        <v>6500000</v>
      </c>
      <c r="H597" s="88"/>
    </row>
    <row r="598" spans="1:8" ht="12.75" hidden="1" customHeight="1" x14ac:dyDescent="0.2">
      <c r="A598" s="111"/>
      <c r="B598" s="125" t="s">
        <v>704</v>
      </c>
      <c r="C598" s="374">
        <v>0</v>
      </c>
      <c r="D598" s="374">
        <v>932</v>
      </c>
      <c r="E598" s="200">
        <v>932</v>
      </c>
      <c r="F598" s="200">
        <v>-932</v>
      </c>
      <c r="G598" s="114">
        <v>0</v>
      </c>
      <c r="H598" s="88"/>
    </row>
    <row r="599" spans="1:8" ht="12.75" hidden="1" customHeight="1" x14ac:dyDescent="0.2">
      <c r="A599" s="111"/>
      <c r="B599" s="125" t="s">
        <v>705</v>
      </c>
      <c r="C599" s="374">
        <v>0</v>
      </c>
      <c r="D599" s="374">
        <v>6800</v>
      </c>
      <c r="E599" s="200">
        <v>6800</v>
      </c>
      <c r="F599" s="200">
        <v>-6800</v>
      </c>
      <c r="G599" s="114">
        <v>0</v>
      </c>
      <c r="H599" s="88"/>
    </row>
    <row r="600" spans="1:8" ht="12.75" hidden="1" customHeight="1" x14ac:dyDescent="0.2">
      <c r="A600" s="112"/>
      <c r="B600" s="125" t="s">
        <v>706</v>
      </c>
      <c r="C600" s="374">
        <v>740000</v>
      </c>
      <c r="D600" s="374">
        <v>746532</v>
      </c>
      <c r="E600" s="266">
        <v>746532</v>
      </c>
      <c r="F600" s="266">
        <v>702468</v>
      </c>
      <c r="G600" s="114">
        <v>666000</v>
      </c>
      <c r="H600" s="88"/>
    </row>
    <row r="601" spans="1:8" ht="12.75" hidden="1" customHeight="1" x14ac:dyDescent="0.2">
      <c r="A601" s="112"/>
      <c r="B601" s="125" t="s">
        <v>707</v>
      </c>
      <c r="C601" s="374">
        <v>120000</v>
      </c>
      <c r="D601" s="374">
        <v>110000</v>
      </c>
      <c r="E601" s="220">
        <v>110000</v>
      </c>
      <c r="F601" s="220">
        <v>33000</v>
      </c>
      <c r="G601" s="114">
        <v>84000</v>
      </c>
      <c r="H601" s="88"/>
    </row>
    <row r="602" spans="1:8" ht="12.75" hidden="1" customHeight="1" x14ac:dyDescent="0.2">
      <c r="A602" s="112"/>
      <c r="B602" s="125" t="s">
        <v>708</v>
      </c>
      <c r="C602" s="374">
        <v>574000</v>
      </c>
      <c r="D602" s="374">
        <v>500000</v>
      </c>
      <c r="E602" s="123">
        <v>500000</v>
      </c>
      <c r="F602" s="123">
        <v>500000</v>
      </c>
      <c r="G602" s="114">
        <v>0</v>
      </c>
      <c r="H602" s="88"/>
    </row>
    <row r="603" spans="1:8" ht="36.75" hidden="1" x14ac:dyDescent="0.2">
      <c r="A603" s="107"/>
      <c r="B603" s="125" t="s">
        <v>709</v>
      </c>
      <c r="C603" s="374">
        <f>160000+276000+15000+55440+90000+21700</f>
        <v>618140</v>
      </c>
      <c r="D603" s="374">
        <v>15383674</v>
      </c>
      <c r="E603" s="113">
        <v>15383674</v>
      </c>
      <c r="F603" s="113">
        <v>14751165</v>
      </c>
      <c r="G603" s="114">
        <f>+(165+220+33.816+15+90+100)*1000</f>
        <v>623816</v>
      </c>
      <c r="H603" s="32"/>
    </row>
    <row r="604" spans="1:8" ht="21" hidden="1" customHeight="1" x14ac:dyDescent="0.3">
      <c r="A604" s="312"/>
      <c r="B604" s="90" t="s">
        <v>710</v>
      </c>
      <c r="C604" s="401">
        <f>SUM(C606)</f>
        <v>24216100</v>
      </c>
      <c r="D604" s="402">
        <v>26216100</v>
      </c>
      <c r="E604" s="281">
        <v>26000000</v>
      </c>
      <c r="F604" s="281">
        <v>16002050.35</v>
      </c>
      <c r="G604" s="281">
        <f>SUM(G606)</f>
        <v>24084500</v>
      </c>
      <c r="H604" s="88"/>
    </row>
    <row r="605" spans="1:8" ht="12" hidden="1" customHeight="1" x14ac:dyDescent="0.2">
      <c r="A605" s="106">
        <v>5311</v>
      </c>
      <c r="B605" s="141" t="s">
        <v>711</v>
      </c>
      <c r="C605" s="403">
        <f>SUM(C606)</f>
        <v>24216100</v>
      </c>
      <c r="D605" s="403">
        <v>26216100</v>
      </c>
      <c r="E605" s="105">
        <v>26000000</v>
      </c>
      <c r="F605" s="114">
        <v>16002050.35</v>
      </c>
      <c r="G605" s="105">
        <f>SUM(G606)</f>
        <v>24084500</v>
      </c>
      <c r="H605" s="88"/>
    </row>
    <row r="606" spans="1:8" ht="61.5" hidden="1" x14ac:dyDescent="0.2">
      <c r="A606" s="106"/>
      <c r="B606" s="355" t="s">
        <v>712</v>
      </c>
      <c r="C606" s="404">
        <f>(16200+4017.6+1458+2+1+200+2+68+169.5+10+240+10+237+35+3+48+2+529+288+80+15+50+20+25+6+500)*1000</f>
        <v>24216100</v>
      </c>
      <c r="D606" s="404">
        <v>26216100</v>
      </c>
      <c r="E606" s="113">
        <v>26000000</v>
      </c>
      <c r="F606" s="113">
        <v>16002050.35</v>
      </c>
      <c r="G606" s="114">
        <f>(16000+3968+1440+2+275+1+101+127.5+10+240+1+242+30+3+27+2+579+283+80+7+50+10+100+6+500)*1000</f>
        <v>24084500</v>
      </c>
      <c r="H606" s="32"/>
    </row>
    <row r="607" spans="1:8" ht="12.75" hidden="1" customHeight="1" x14ac:dyDescent="0.2">
      <c r="A607" s="405"/>
      <c r="B607" s="406"/>
      <c r="C607" s="407"/>
      <c r="D607" s="407"/>
      <c r="E607" s="266"/>
      <c r="F607" s="266"/>
      <c r="G607" s="143"/>
      <c r="H607" s="32"/>
    </row>
    <row r="608" spans="1:8" ht="20.25" hidden="1" x14ac:dyDescent="0.3">
      <c r="A608" s="312"/>
      <c r="B608" s="90" t="s">
        <v>713</v>
      </c>
      <c r="C608" s="91">
        <f>SUM(C609:C614)+C623</f>
        <v>36789421</v>
      </c>
      <c r="D608" s="36">
        <f>SUM(D609:D614)+D623</f>
        <v>33301421</v>
      </c>
      <c r="E608" s="36">
        <f>SUM(E609:E614)+E623</f>
        <v>30587183.09</v>
      </c>
      <c r="F608" s="36">
        <f>SUM(F609:F614)+F623</f>
        <v>14768627.58</v>
      </c>
      <c r="G608" s="36">
        <f>SUM(G609:G614)+G623</f>
        <v>34895800</v>
      </c>
      <c r="H608" s="88"/>
    </row>
    <row r="609" spans="1:8" s="98" customFormat="1" ht="36.75" hidden="1" x14ac:dyDescent="0.2">
      <c r="A609" s="102">
        <v>5212</v>
      </c>
      <c r="B609" s="196" t="s">
        <v>714</v>
      </c>
      <c r="C609" s="197">
        <f>1000+80000+25000+23000+40000</f>
        <v>169000</v>
      </c>
      <c r="D609" s="197">
        <v>169000</v>
      </c>
      <c r="E609" s="105">
        <v>136000</v>
      </c>
      <c r="F609" s="105">
        <v>38199.1</v>
      </c>
      <c r="G609" s="105">
        <v>169000</v>
      </c>
      <c r="H609" s="32"/>
    </row>
    <row r="610" spans="1:8" s="244" customFormat="1" ht="36.75" hidden="1" x14ac:dyDescent="0.25">
      <c r="A610" s="106">
        <v>5213</v>
      </c>
      <c r="B610" s="146" t="s">
        <v>715</v>
      </c>
      <c r="C610" s="145">
        <f>50000+70000+3000+3000+4000+10000+60000</f>
        <v>200000</v>
      </c>
      <c r="D610" s="145">
        <v>800000</v>
      </c>
      <c r="E610" s="145">
        <v>957907.71</v>
      </c>
      <c r="F610" s="145">
        <v>671490.34</v>
      </c>
      <c r="G610" s="105">
        <v>300000</v>
      </c>
      <c r="H610" s="32"/>
    </row>
    <row r="611" spans="1:8" s="98" customFormat="1" ht="24.75" hidden="1" x14ac:dyDescent="0.2">
      <c r="A611" s="106">
        <v>5273</v>
      </c>
      <c r="B611" s="146" t="s">
        <v>716</v>
      </c>
      <c r="C611" s="145">
        <f>1000+2000+1000+1000</f>
        <v>5000</v>
      </c>
      <c r="D611" s="145">
        <v>5000</v>
      </c>
      <c r="E611" s="109">
        <v>5000</v>
      </c>
      <c r="F611" s="109">
        <v>0</v>
      </c>
      <c r="G611" s="105">
        <v>5000</v>
      </c>
      <c r="H611" s="32"/>
    </row>
    <row r="612" spans="1:8" s="244" customFormat="1" ht="15.75" hidden="1" x14ac:dyDescent="0.25">
      <c r="A612" s="106">
        <v>5511</v>
      </c>
      <c r="B612" s="146" t="s">
        <v>717</v>
      </c>
      <c r="C612" s="145">
        <v>1800000</v>
      </c>
      <c r="D612" s="145">
        <v>1800000</v>
      </c>
      <c r="E612" s="109">
        <v>1645974</v>
      </c>
      <c r="F612" s="109">
        <v>1645974</v>
      </c>
      <c r="G612" s="105">
        <v>1800000</v>
      </c>
      <c r="H612" s="32"/>
    </row>
    <row r="613" spans="1:8" s="244" customFormat="1" ht="36.75" hidden="1" x14ac:dyDescent="0.25">
      <c r="A613" s="106">
        <v>5512</v>
      </c>
      <c r="B613" s="146" t="s">
        <v>718</v>
      </c>
      <c r="C613" s="145">
        <f>40000+50000+5000+12000+3600+5000+7000+35000+4000</f>
        <v>161600</v>
      </c>
      <c r="D613" s="145">
        <v>161600</v>
      </c>
      <c r="E613" s="145">
        <v>161380.54</v>
      </c>
      <c r="F613" s="145">
        <v>103169.81</v>
      </c>
      <c r="G613" s="105">
        <v>332600</v>
      </c>
      <c r="H613" s="32"/>
    </row>
    <row r="614" spans="1:8" s="244" customFormat="1" ht="12.75" hidden="1" customHeight="1" x14ac:dyDescent="0.25">
      <c r="A614" s="106">
        <v>6171</v>
      </c>
      <c r="B614" s="144" t="s">
        <v>719</v>
      </c>
      <c r="C614" s="145">
        <f>SUM(C615:C622)</f>
        <v>33103821</v>
      </c>
      <c r="D614" s="145">
        <f>SUM(D615:D622)</f>
        <v>29015821</v>
      </c>
      <c r="E614" s="145">
        <f>SUM(E615:E622)</f>
        <v>26330920.84</v>
      </c>
      <c r="F614" s="145">
        <f>SUM(F615:F622)</f>
        <v>11460329.33</v>
      </c>
      <c r="G614" s="145">
        <f>SUM(G615:G622)</f>
        <v>30939200</v>
      </c>
      <c r="H614" s="88"/>
    </row>
    <row r="615" spans="1:8" s="244" customFormat="1" ht="144" hidden="1" x14ac:dyDescent="0.25">
      <c r="A615" s="106"/>
      <c r="B615" s="408" t="s">
        <v>720</v>
      </c>
      <c r="C615" s="121">
        <f>(40000+100000+32500+600000+980000+1000000+1000000+2000000+1075000+350000+2100000+1500000+1000+182000+1700000+71000+126000+578200+260000+4655000+100000+500000+2070000+500000+200000+200000+4500+1000+21000+2000)-1000000-400000</f>
        <v>20549200</v>
      </c>
      <c r="D615" s="121">
        <v>16631700</v>
      </c>
      <c r="E615" s="121">
        <v>15433900</v>
      </c>
      <c r="F615" s="121">
        <v>7773789.1399999997</v>
      </c>
      <c r="G615" s="114">
        <f>21917200-1500000</f>
        <v>20417200</v>
      </c>
      <c r="H615" s="32"/>
    </row>
    <row r="616" spans="1:8" s="244" customFormat="1" ht="24" hidden="1" x14ac:dyDescent="0.25">
      <c r="A616" s="106"/>
      <c r="B616" s="408" t="s">
        <v>721</v>
      </c>
      <c r="C616" s="121">
        <f>100000+150000+150000+1000000+600000</f>
        <v>2000000</v>
      </c>
      <c r="D616" s="121">
        <v>2420000</v>
      </c>
      <c r="E616" s="113">
        <v>1904250.45</v>
      </c>
      <c r="F616" s="113">
        <v>548557.02</v>
      </c>
      <c r="G616" s="114">
        <v>480000</v>
      </c>
      <c r="H616" s="32"/>
    </row>
    <row r="617" spans="1:8" s="98" customFormat="1" ht="48" hidden="1" x14ac:dyDescent="0.2">
      <c r="A617" s="111"/>
      <c r="B617" s="409" t="s">
        <v>722</v>
      </c>
      <c r="C617" s="121">
        <f>2040000+395000+33000+10000+3936516+50000+530000+312905</f>
        <v>7307421</v>
      </c>
      <c r="D617" s="121">
        <v>6807421</v>
      </c>
      <c r="E617" s="113">
        <v>6437421</v>
      </c>
      <c r="F617" s="113">
        <v>2355907.66</v>
      </c>
      <c r="G617" s="114">
        <v>5977400</v>
      </c>
      <c r="H617" s="32"/>
    </row>
    <row r="618" spans="1:8" ht="24" hidden="1" x14ac:dyDescent="0.2">
      <c r="A618" s="111"/>
      <c r="B618" s="409" t="s">
        <v>723</v>
      </c>
      <c r="C618" s="121">
        <f>100000+314600+20000+100000+200000+400000+200000+600000</f>
        <v>1934600</v>
      </c>
      <c r="D618" s="121">
        <v>1834600</v>
      </c>
      <c r="E618" s="113">
        <v>1234600</v>
      </c>
      <c r="F618" s="113">
        <v>0</v>
      </c>
      <c r="G618" s="114">
        <v>3071000</v>
      </c>
      <c r="H618" s="32"/>
    </row>
    <row r="619" spans="1:8" ht="36.75" hidden="1" x14ac:dyDescent="0.2">
      <c r="A619" s="111"/>
      <c r="B619" s="147" t="s">
        <v>724</v>
      </c>
      <c r="C619" s="121">
        <f>12000+10000+15000+90000+1000+1000+50000+50000+17000+650000</f>
        <v>896000</v>
      </c>
      <c r="D619" s="121">
        <v>896000</v>
      </c>
      <c r="E619" s="113">
        <v>895649.39</v>
      </c>
      <c r="F619" s="113">
        <v>563472.49</v>
      </c>
      <c r="G619" s="114">
        <f>833000-300000</f>
        <v>533000</v>
      </c>
      <c r="H619" s="32"/>
    </row>
    <row r="620" spans="1:8" hidden="1" x14ac:dyDescent="0.2">
      <c r="A620" s="111"/>
      <c r="B620" s="128" t="s">
        <v>725</v>
      </c>
      <c r="C620" s="121">
        <v>200000</v>
      </c>
      <c r="D620" s="121">
        <v>201500</v>
      </c>
      <c r="E620" s="113">
        <v>201500</v>
      </c>
      <c r="F620" s="113">
        <v>132647.82</v>
      </c>
      <c r="G620" s="114">
        <v>200000</v>
      </c>
      <c r="H620" s="32"/>
    </row>
    <row r="621" spans="1:8" hidden="1" x14ac:dyDescent="0.2">
      <c r="A621" s="111"/>
      <c r="B621" s="128" t="s">
        <v>726</v>
      </c>
      <c r="C621" s="121">
        <v>60000</v>
      </c>
      <c r="D621" s="121">
        <v>61000</v>
      </c>
      <c r="E621" s="113">
        <v>60000</v>
      </c>
      <c r="F621" s="113">
        <v>23746.6</v>
      </c>
      <c r="G621" s="114">
        <v>60000</v>
      </c>
      <c r="H621" s="410"/>
    </row>
    <row r="622" spans="1:8" ht="24.75" hidden="1" x14ac:dyDescent="0.2">
      <c r="A622" s="111"/>
      <c r="B622" s="147" t="s">
        <v>727</v>
      </c>
      <c r="C622" s="121">
        <f>2000+20000+9000+18000+11000+72600+24000</f>
        <v>156600</v>
      </c>
      <c r="D622" s="121">
        <v>163600</v>
      </c>
      <c r="E622" s="121">
        <v>163600</v>
      </c>
      <c r="F622" s="121">
        <v>62208.6</v>
      </c>
      <c r="G622" s="114">
        <v>200600</v>
      </c>
      <c r="H622" s="88"/>
    </row>
    <row r="623" spans="1:8" ht="12.75" hidden="1" customHeight="1" x14ac:dyDescent="0.2">
      <c r="A623" s="106">
        <v>6320</v>
      </c>
      <c r="B623" s="144" t="s">
        <v>728</v>
      </c>
      <c r="C623" s="145">
        <f>1300000+50000</f>
        <v>1350000</v>
      </c>
      <c r="D623" s="145">
        <v>1350000</v>
      </c>
      <c r="E623" s="108">
        <v>1350000</v>
      </c>
      <c r="F623" s="108">
        <v>849465</v>
      </c>
      <c r="G623" s="105">
        <v>1350000</v>
      </c>
      <c r="H623" s="88"/>
    </row>
    <row r="624" spans="1:8" ht="12.75" hidden="1" customHeight="1" x14ac:dyDescent="0.2">
      <c r="A624" s="411"/>
      <c r="B624" s="351"/>
      <c r="C624" s="163"/>
      <c r="D624" s="163"/>
      <c r="E624" s="266"/>
      <c r="F624" s="266"/>
      <c r="G624" s="143"/>
      <c r="H624" s="88"/>
    </row>
    <row r="625" spans="1:8" ht="20.25" hidden="1" x14ac:dyDescent="0.3">
      <c r="A625" s="312"/>
      <c r="B625" s="90" t="s">
        <v>729</v>
      </c>
      <c r="C625" s="412">
        <f>C626+C627+C631</f>
        <v>153267660</v>
      </c>
      <c r="D625" s="412">
        <f>D626+D627+D631</f>
        <v>152405979</v>
      </c>
      <c r="E625" s="412">
        <f>E626+E627+E631</f>
        <v>152405979</v>
      </c>
      <c r="F625" s="412">
        <f>F626+F627+F631</f>
        <v>87122082</v>
      </c>
      <c r="G625" s="412">
        <f>G626+G627+G631</f>
        <v>149365960</v>
      </c>
      <c r="H625" s="88"/>
    </row>
    <row r="626" spans="1:8" s="98" customFormat="1" ht="36.75" hidden="1" x14ac:dyDescent="0.2">
      <c r="A626" s="106">
        <v>6112</v>
      </c>
      <c r="B626" s="146" t="s">
        <v>730</v>
      </c>
      <c r="C626" s="145">
        <f>25000+7200000+954800+648000+12000+13000+500+20000+75000+7000+40000+30000</f>
        <v>9025300</v>
      </c>
      <c r="D626" s="145">
        <v>8652800</v>
      </c>
      <c r="E626" s="145">
        <v>8652800</v>
      </c>
      <c r="F626" s="105">
        <v>5523052</v>
      </c>
      <c r="G626" s="105">
        <v>8946400</v>
      </c>
      <c r="H626" s="32"/>
    </row>
    <row r="627" spans="1:8" s="98" customFormat="1" hidden="1" x14ac:dyDescent="0.2">
      <c r="A627" s="106">
        <v>6171</v>
      </c>
      <c r="B627" s="144" t="s">
        <v>719</v>
      </c>
      <c r="C627" s="197">
        <f>SUM(C628:C630)</f>
        <v>138157960</v>
      </c>
      <c r="D627" s="197">
        <f>SUM(D628:D630)</f>
        <v>137668779</v>
      </c>
      <c r="E627" s="197">
        <f>SUM(E628:E630)</f>
        <v>137668779</v>
      </c>
      <c r="F627" s="197">
        <f>SUM(F628:F630)</f>
        <v>77035730</v>
      </c>
      <c r="G627" s="197">
        <f>SUM(G628:G630)</f>
        <v>134519560</v>
      </c>
      <c r="H627" s="88"/>
    </row>
    <row r="628" spans="1:8" ht="36" hidden="1" x14ac:dyDescent="0.2">
      <c r="A628" s="102"/>
      <c r="B628" s="413" t="s">
        <v>731</v>
      </c>
      <c r="C628" s="123">
        <f>89500000+10000+1300000+10000+22518400+8172000+490000+1000+1000000+250000+25000+30000+40000+100000+700000</f>
        <v>124146400</v>
      </c>
      <c r="D628" s="123">
        <v>123657219</v>
      </c>
      <c r="E628" s="123">
        <v>123657219</v>
      </c>
      <c r="F628" s="113">
        <v>68686166</v>
      </c>
      <c r="G628" s="114">
        <v>120650400</v>
      </c>
      <c r="H628" s="32"/>
    </row>
    <row r="629" spans="1:8" ht="25.5" hidden="1" customHeight="1" x14ac:dyDescent="0.25">
      <c r="A629" s="414"/>
      <c r="B629" s="147" t="s">
        <v>732</v>
      </c>
      <c r="C629" s="415">
        <f>5800000+24000+1456000+524160+120000+3000</f>
        <v>7927160</v>
      </c>
      <c r="D629" s="415">
        <v>7927160</v>
      </c>
      <c r="E629" s="415">
        <v>7927160</v>
      </c>
      <c r="F629" s="113">
        <v>4879761</v>
      </c>
      <c r="G629" s="114">
        <v>7669160</v>
      </c>
      <c r="H629" s="88"/>
    </row>
    <row r="630" spans="1:8" ht="48.75" hidden="1" x14ac:dyDescent="0.25">
      <c r="A630" s="414"/>
      <c r="B630" s="146" t="s">
        <v>733</v>
      </c>
      <c r="C630" s="415">
        <f>60700+2687200+1157500+95000+1066000+20000+100000+98000+800000</f>
        <v>6084400</v>
      </c>
      <c r="D630" s="415">
        <v>6084400</v>
      </c>
      <c r="E630" s="415">
        <v>6084400</v>
      </c>
      <c r="F630" s="113">
        <v>3469803</v>
      </c>
      <c r="G630" s="114">
        <f>5900000+300000</f>
        <v>6200000</v>
      </c>
      <c r="H630" s="32"/>
    </row>
    <row r="631" spans="1:8" hidden="1" x14ac:dyDescent="0.2">
      <c r="A631" s="106">
        <v>6330</v>
      </c>
      <c r="B631" s="144" t="s">
        <v>734</v>
      </c>
      <c r="C631" s="145">
        <v>6084400</v>
      </c>
      <c r="D631" s="145">
        <v>6084400</v>
      </c>
      <c r="E631" s="145">
        <v>6084400</v>
      </c>
      <c r="F631" s="109">
        <v>4563300</v>
      </c>
      <c r="G631" s="105">
        <v>5900000</v>
      </c>
      <c r="H631" s="32"/>
    </row>
    <row r="632" spans="1:8" hidden="1" x14ac:dyDescent="0.2">
      <c r="A632" s="416"/>
      <c r="B632" s="417"/>
      <c r="C632" s="352"/>
      <c r="D632" s="352"/>
      <c r="E632" s="266"/>
      <c r="F632" s="266"/>
      <c r="G632" s="143"/>
      <c r="H632" s="32"/>
    </row>
    <row r="633" spans="1:8" ht="20.25" hidden="1" x14ac:dyDescent="0.3">
      <c r="A633" s="312"/>
      <c r="B633" s="90" t="s">
        <v>43</v>
      </c>
      <c r="C633" s="412">
        <f>C634+C662</f>
        <v>10199000</v>
      </c>
      <c r="D633" s="412">
        <f>D634+D662</f>
        <v>10026000</v>
      </c>
      <c r="E633" s="412">
        <f>E634+E662</f>
        <v>8890100</v>
      </c>
      <c r="F633" s="412">
        <f>F634+F662</f>
        <v>6802858.8700000001</v>
      </c>
      <c r="G633" s="412">
        <f>G634+G662</f>
        <v>10937288</v>
      </c>
      <c r="H633" s="32"/>
    </row>
    <row r="634" spans="1:8" ht="15.75" hidden="1" x14ac:dyDescent="0.25">
      <c r="A634" s="312"/>
      <c r="B634" s="168" t="s">
        <v>735</v>
      </c>
      <c r="C634" s="232">
        <f>C635+C636+C637+C638+C642+C644+C646+C649+C651+C653+C655+C660+C661</f>
        <v>3459000</v>
      </c>
      <c r="D634" s="232">
        <f>D635+D636+D637+D638+D642+D644+D646+D649+D651+D653+D655+D660+D661</f>
        <v>3286000</v>
      </c>
      <c r="E634" s="232">
        <f>E635+E636+E637+E638+E642+E644+E646+E649+E651+E653+E655+E660+E661</f>
        <v>2734100</v>
      </c>
      <c r="F634" s="232">
        <f>F635+F636+F637+F638+F642+F644+F646+F649+F651+F653+F655+F660+F661</f>
        <v>769858.87000000011</v>
      </c>
      <c r="G634" s="232">
        <f>G635+G636+G637+G638+G642+G644+G646+G649+G651+G653+G655+G660+G661</f>
        <v>3067000</v>
      </c>
      <c r="H634" s="32"/>
    </row>
    <row r="635" spans="1:8" hidden="1" x14ac:dyDescent="0.2">
      <c r="A635" s="106">
        <v>2293</v>
      </c>
      <c r="B635" s="144" t="s">
        <v>736</v>
      </c>
      <c r="C635" s="145">
        <v>726000</v>
      </c>
      <c r="D635" s="145">
        <v>726000</v>
      </c>
      <c r="E635" s="105">
        <v>710000</v>
      </c>
      <c r="F635" s="105">
        <v>466566.40000000002</v>
      </c>
      <c r="G635" s="105">
        <v>726000</v>
      </c>
      <c r="H635" s="32"/>
    </row>
    <row r="636" spans="1:8" hidden="1" x14ac:dyDescent="0.2">
      <c r="A636" s="106">
        <v>3613</v>
      </c>
      <c r="B636" s="144" t="s">
        <v>737</v>
      </c>
      <c r="C636" s="145">
        <v>3000</v>
      </c>
      <c r="D636" s="145">
        <v>3000</v>
      </c>
      <c r="E636" s="109">
        <v>0</v>
      </c>
      <c r="F636" s="113">
        <v>0</v>
      </c>
      <c r="G636" s="105">
        <v>3000</v>
      </c>
      <c r="H636" s="88"/>
    </row>
    <row r="637" spans="1:8" s="244" customFormat="1" ht="15.75" hidden="1" x14ac:dyDescent="0.25">
      <c r="A637" s="106">
        <v>3632</v>
      </c>
      <c r="B637" s="144" t="s">
        <v>738</v>
      </c>
      <c r="C637" s="145">
        <v>130000</v>
      </c>
      <c r="D637" s="145">
        <v>130000</v>
      </c>
      <c r="E637" s="109">
        <v>130000</v>
      </c>
      <c r="F637" s="109">
        <v>104602.78</v>
      </c>
      <c r="G637" s="105">
        <v>130000</v>
      </c>
      <c r="H637" s="386"/>
    </row>
    <row r="638" spans="1:8" s="244" customFormat="1" ht="12.75" hidden="1" customHeight="1" x14ac:dyDescent="0.25">
      <c r="A638" s="106">
        <v>4329</v>
      </c>
      <c r="B638" s="144" t="s">
        <v>739</v>
      </c>
      <c r="C638" s="145">
        <f>SUM(C639:C641)</f>
        <v>205000</v>
      </c>
      <c r="D638" s="145">
        <f>SUM(D639:D641)</f>
        <v>255000</v>
      </c>
      <c r="E638" s="145">
        <f>SUM(E639:E641)</f>
        <v>254600</v>
      </c>
      <c r="F638" s="145">
        <f>SUM(F639:F641)</f>
        <v>72733</v>
      </c>
      <c r="G638" s="145">
        <f>SUM(G639:G641)</f>
        <v>205000</v>
      </c>
      <c r="H638" s="387"/>
    </row>
    <row r="639" spans="1:8" s="98" customFormat="1" hidden="1" x14ac:dyDescent="0.2">
      <c r="A639" s="106"/>
      <c r="B639" s="155" t="s">
        <v>740</v>
      </c>
      <c r="C639" s="121">
        <v>5000</v>
      </c>
      <c r="D639" s="121">
        <v>5000</v>
      </c>
      <c r="E639" s="113">
        <v>2000</v>
      </c>
      <c r="F639" s="113">
        <v>1333</v>
      </c>
      <c r="G639" s="114">
        <v>5000</v>
      </c>
      <c r="H639" s="387"/>
    </row>
    <row r="640" spans="1:8" s="98" customFormat="1" hidden="1" x14ac:dyDescent="0.2">
      <c r="A640" s="106"/>
      <c r="B640" s="155" t="s">
        <v>741</v>
      </c>
      <c r="C640" s="121">
        <v>200000</v>
      </c>
      <c r="D640" s="121">
        <v>250000</v>
      </c>
      <c r="E640" s="113">
        <v>250000</v>
      </c>
      <c r="F640" s="113">
        <v>68800</v>
      </c>
      <c r="G640" s="114">
        <v>200000</v>
      </c>
      <c r="H640" s="88"/>
    </row>
    <row r="641" spans="1:8" s="98" customFormat="1" hidden="1" x14ac:dyDescent="0.2">
      <c r="A641" s="106"/>
      <c r="B641" s="155" t="s">
        <v>742</v>
      </c>
      <c r="C641" s="121">
        <v>0</v>
      </c>
      <c r="D641" s="121">
        <v>0</v>
      </c>
      <c r="E641" s="113">
        <v>2600</v>
      </c>
      <c r="F641" s="113">
        <v>2600</v>
      </c>
      <c r="G641" s="114">
        <v>0</v>
      </c>
      <c r="H641" s="88"/>
    </row>
    <row r="642" spans="1:8" s="98" customFormat="1" hidden="1" x14ac:dyDescent="0.2">
      <c r="A642" s="106">
        <v>4339</v>
      </c>
      <c r="B642" s="144" t="s">
        <v>743</v>
      </c>
      <c r="C642" s="145">
        <f>C643</f>
        <v>192000</v>
      </c>
      <c r="D642" s="145">
        <f>D643</f>
        <v>144000</v>
      </c>
      <c r="E642" s="145">
        <f>E643</f>
        <v>20000</v>
      </c>
      <c r="F642" s="145">
        <f>F643</f>
        <v>0</v>
      </c>
      <c r="G642" s="145">
        <f>G643</f>
        <v>0</v>
      </c>
      <c r="H642" s="32"/>
    </row>
    <row r="643" spans="1:8" s="98" customFormat="1" hidden="1" x14ac:dyDescent="0.2">
      <c r="A643" s="106"/>
      <c r="B643" s="155" t="s">
        <v>744</v>
      </c>
      <c r="C643" s="121">
        <v>192000</v>
      </c>
      <c r="D643" s="121">
        <v>144000</v>
      </c>
      <c r="E643" s="114">
        <v>20000</v>
      </c>
      <c r="F643" s="114">
        <v>0</v>
      </c>
      <c r="G643" s="114">
        <v>0</v>
      </c>
      <c r="H643" s="32"/>
    </row>
    <row r="644" spans="1:8" s="98" customFormat="1" hidden="1" x14ac:dyDescent="0.2">
      <c r="A644" s="106">
        <v>4344</v>
      </c>
      <c r="B644" s="144" t="s">
        <v>745</v>
      </c>
      <c r="C644" s="145">
        <f>SUM(C645:C645)</f>
        <v>298000</v>
      </c>
      <c r="D644" s="145">
        <f>SUM(D645:D645)</f>
        <v>298000</v>
      </c>
      <c r="E644" s="145">
        <f>SUM(E645:E645)</f>
        <v>293500</v>
      </c>
      <c r="F644" s="145">
        <f>SUM(F645:F645)</f>
        <v>0</v>
      </c>
      <c r="G644" s="145">
        <f>SUM(G645:G645)</f>
        <v>298000</v>
      </c>
      <c r="H644" s="32"/>
    </row>
    <row r="645" spans="1:8" s="98" customFormat="1" hidden="1" x14ac:dyDescent="0.2">
      <c r="A645" s="111"/>
      <c r="B645" s="144" t="s">
        <v>746</v>
      </c>
      <c r="C645" s="121">
        <v>298000</v>
      </c>
      <c r="D645" s="121">
        <v>298000</v>
      </c>
      <c r="E645" s="113">
        <v>293500</v>
      </c>
      <c r="F645" s="113">
        <v>0</v>
      </c>
      <c r="G645" s="114">
        <v>298000</v>
      </c>
      <c r="H645" s="32"/>
    </row>
    <row r="646" spans="1:8" hidden="1" x14ac:dyDescent="0.2">
      <c r="A646" s="106">
        <v>4349</v>
      </c>
      <c r="B646" s="144" t="s">
        <v>747</v>
      </c>
      <c r="C646" s="145">
        <f>SUM(C647:C648)</f>
        <v>350000</v>
      </c>
      <c r="D646" s="145">
        <f>SUM(D647:D648)</f>
        <v>280000</v>
      </c>
      <c r="E646" s="145">
        <f>SUM(E647:E648)</f>
        <v>0</v>
      </c>
      <c r="F646" s="145">
        <f>SUM(F647:F648)</f>
        <v>0</v>
      </c>
      <c r="G646" s="145">
        <f>SUM(G647:G648)</f>
        <v>250000</v>
      </c>
      <c r="H646" s="32"/>
    </row>
    <row r="647" spans="1:8" hidden="1" x14ac:dyDescent="0.2">
      <c r="A647" s="111"/>
      <c r="B647" s="128" t="s">
        <v>748</v>
      </c>
      <c r="C647" s="121">
        <v>280000</v>
      </c>
      <c r="D647" s="121">
        <v>280000</v>
      </c>
      <c r="E647" s="113">
        <v>0</v>
      </c>
      <c r="F647" s="113">
        <v>0</v>
      </c>
      <c r="G647" s="114">
        <v>250000</v>
      </c>
      <c r="H647" s="32"/>
    </row>
    <row r="648" spans="1:8" s="98" customFormat="1" hidden="1" x14ac:dyDescent="0.2">
      <c r="A648" s="111"/>
      <c r="B648" s="128" t="s">
        <v>749</v>
      </c>
      <c r="C648" s="121">
        <v>70000</v>
      </c>
      <c r="D648" s="121">
        <v>0</v>
      </c>
      <c r="E648" s="113">
        <v>0</v>
      </c>
      <c r="F648" s="113">
        <v>0</v>
      </c>
      <c r="G648" s="114">
        <v>0</v>
      </c>
      <c r="H648" s="32"/>
    </row>
    <row r="649" spans="1:8" hidden="1" x14ac:dyDescent="0.2">
      <c r="A649" s="106">
        <v>4351</v>
      </c>
      <c r="B649" s="144" t="s">
        <v>750</v>
      </c>
      <c r="C649" s="145">
        <f>SUM(C650:C650)</f>
        <v>35000</v>
      </c>
      <c r="D649" s="145">
        <f>SUM(D650:D650)</f>
        <v>35000</v>
      </c>
      <c r="E649" s="145">
        <f>SUM(E650:E650)</f>
        <v>35000</v>
      </c>
      <c r="F649" s="145">
        <f>SUM(F650:F650)</f>
        <v>0</v>
      </c>
      <c r="G649" s="145">
        <f>SUM(G650:G650)</f>
        <v>35000</v>
      </c>
      <c r="H649" s="88"/>
    </row>
    <row r="650" spans="1:8" s="98" customFormat="1" hidden="1" x14ac:dyDescent="0.2">
      <c r="A650" s="111"/>
      <c r="B650" s="155" t="s">
        <v>751</v>
      </c>
      <c r="C650" s="121">
        <v>35000</v>
      </c>
      <c r="D650" s="121">
        <v>35000</v>
      </c>
      <c r="E650" s="121">
        <v>35000</v>
      </c>
      <c r="F650" s="121">
        <v>0</v>
      </c>
      <c r="G650" s="114">
        <v>35000</v>
      </c>
      <c r="H650" s="32"/>
    </row>
    <row r="651" spans="1:8" hidden="1" x14ac:dyDescent="0.2">
      <c r="A651" s="106">
        <v>4371</v>
      </c>
      <c r="B651" s="144" t="s">
        <v>752</v>
      </c>
      <c r="C651" s="145">
        <f>SUM(C652:C652)</f>
        <v>240000</v>
      </c>
      <c r="D651" s="145">
        <f>SUM(D652:D652)</f>
        <v>240000</v>
      </c>
      <c r="E651" s="145">
        <f>SUM(E652:E652)</f>
        <v>233000</v>
      </c>
      <c r="F651" s="145">
        <f>SUM(F652:F652)</f>
        <v>0</v>
      </c>
      <c r="G651" s="145">
        <f>SUM(G652:G652)</f>
        <v>240000</v>
      </c>
      <c r="H651" s="32"/>
    </row>
    <row r="652" spans="1:8" hidden="1" x14ac:dyDescent="0.2">
      <c r="A652" s="111"/>
      <c r="B652" s="155" t="s">
        <v>751</v>
      </c>
      <c r="C652" s="121">
        <v>240000</v>
      </c>
      <c r="D652" s="121">
        <v>240000</v>
      </c>
      <c r="E652" s="113">
        <v>233000</v>
      </c>
      <c r="F652" s="113">
        <v>0</v>
      </c>
      <c r="G652" s="114">
        <v>240000</v>
      </c>
      <c r="H652" s="32"/>
    </row>
    <row r="653" spans="1:8" s="98" customFormat="1" hidden="1" x14ac:dyDescent="0.2">
      <c r="A653" s="106">
        <v>4374</v>
      </c>
      <c r="B653" s="418" t="s">
        <v>753</v>
      </c>
      <c r="C653" s="145">
        <f>SUM(C654:C654)</f>
        <v>822000</v>
      </c>
      <c r="D653" s="145">
        <f>SUM(D654:D654)</f>
        <v>822000</v>
      </c>
      <c r="E653" s="145">
        <f>SUM(E654:E654)</f>
        <v>822000</v>
      </c>
      <c r="F653" s="145">
        <f>SUM(F654:F654)</f>
        <v>0</v>
      </c>
      <c r="G653" s="145">
        <f>SUM(G654:G654)</f>
        <v>822000</v>
      </c>
      <c r="H653" s="88"/>
    </row>
    <row r="654" spans="1:8" hidden="1" x14ac:dyDescent="0.2">
      <c r="A654" s="111"/>
      <c r="B654" s="155" t="s">
        <v>751</v>
      </c>
      <c r="C654" s="121">
        <v>822000</v>
      </c>
      <c r="D654" s="121">
        <v>822000</v>
      </c>
      <c r="E654" s="113">
        <v>822000</v>
      </c>
      <c r="F654" s="113">
        <v>0</v>
      </c>
      <c r="G654" s="114">
        <v>822000</v>
      </c>
      <c r="H654" s="32"/>
    </row>
    <row r="655" spans="1:8" s="98" customFormat="1" hidden="1" x14ac:dyDescent="0.2">
      <c r="A655" s="106">
        <v>4379</v>
      </c>
      <c r="B655" s="144" t="s">
        <v>754</v>
      </c>
      <c r="C655" s="145">
        <f>SUM(C656:C659)</f>
        <v>345000</v>
      </c>
      <c r="D655" s="145">
        <f>SUM(D656:D659)</f>
        <v>340000</v>
      </c>
      <c r="E655" s="145">
        <f>SUM(E656:E659)</f>
        <v>225000</v>
      </c>
      <c r="F655" s="145">
        <f>SUM(F656:F659)</f>
        <v>116965.55</v>
      </c>
      <c r="G655" s="145">
        <f>SUM(G656:G659)</f>
        <v>345000</v>
      </c>
      <c r="H655" s="32"/>
    </row>
    <row r="656" spans="1:8" hidden="1" x14ac:dyDescent="0.2">
      <c r="A656" s="111"/>
      <c r="B656" s="128" t="s">
        <v>755</v>
      </c>
      <c r="C656" s="121">
        <v>232000</v>
      </c>
      <c r="D656" s="121">
        <v>232000</v>
      </c>
      <c r="E656" s="113">
        <v>135000</v>
      </c>
      <c r="F656" s="113">
        <v>77907.850000000006</v>
      </c>
      <c r="G656" s="114">
        <v>232000</v>
      </c>
      <c r="H656" s="32"/>
    </row>
    <row r="657" spans="1:8" s="419" customFormat="1" hidden="1" x14ac:dyDescent="0.2">
      <c r="A657" s="111"/>
      <c r="B657" s="128" t="s">
        <v>756</v>
      </c>
      <c r="C657" s="121">
        <v>59000</v>
      </c>
      <c r="D657" s="121">
        <v>59000</v>
      </c>
      <c r="E657" s="113">
        <v>45000</v>
      </c>
      <c r="F657" s="113">
        <v>18050</v>
      </c>
      <c r="G657" s="114">
        <v>59000</v>
      </c>
      <c r="H657" s="88"/>
    </row>
    <row r="658" spans="1:8" hidden="1" x14ac:dyDescent="0.2">
      <c r="A658" s="111"/>
      <c r="B658" s="128" t="s">
        <v>757</v>
      </c>
      <c r="C658" s="121">
        <v>44000</v>
      </c>
      <c r="D658" s="121">
        <v>44000</v>
      </c>
      <c r="E658" s="113">
        <v>40000</v>
      </c>
      <c r="F658" s="113">
        <v>21007.7</v>
      </c>
      <c r="G658" s="114">
        <v>44000</v>
      </c>
      <c r="H658" s="88"/>
    </row>
    <row r="659" spans="1:8" s="98" customFormat="1" hidden="1" x14ac:dyDescent="0.2">
      <c r="A659" s="111"/>
      <c r="B659" s="128" t="s">
        <v>758</v>
      </c>
      <c r="C659" s="121">
        <v>10000</v>
      </c>
      <c r="D659" s="121">
        <v>5000</v>
      </c>
      <c r="E659" s="113">
        <v>5000</v>
      </c>
      <c r="F659" s="113">
        <v>0</v>
      </c>
      <c r="G659" s="114">
        <v>10000</v>
      </c>
      <c r="H659" s="32"/>
    </row>
    <row r="660" spans="1:8" hidden="1" x14ac:dyDescent="0.2">
      <c r="A660" s="106">
        <v>4399</v>
      </c>
      <c r="B660" s="144" t="s">
        <v>759</v>
      </c>
      <c r="C660" s="145">
        <v>13000</v>
      </c>
      <c r="D660" s="145">
        <v>13000</v>
      </c>
      <c r="E660" s="109">
        <v>11000</v>
      </c>
      <c r="F660" s="109">
        <v>8991.14</v>
      </c>
      <c r="G660" s="105">
        <v>13000</v>
      </c>
      <c r="H660" s="32"/>
    </row>
    <row r="661" spans="1:8" hidden="1" x14ac:dyDescent="0.2">
      <c r="A661" s="131">
        <v>6409</v>
      </c>
      <c r="B661" s="221" t="s">
        <v>760</v>
      </c>
      <c r="C661" s="420">
        <v>100000</v>
      </c>
      <c r="D661" s="420">
        <v>0</v>
      </c>
      <c r="E661" s="109">
        <v>0</v>
      </c>
      <c r="F661" s="109">
        <v>0</v>
      </c>
      <c r="G661" s="105">
        <v>0</v>
      </c>
      <c r="H661" s="88"/>
    </row>
    <row r="662" spans="1:8" ht="15.75" hidden="1" x14ac:dyDescent="0.25">
      <c r="A662" s="312"/>
      <c r="B662" s="168" t="s">
        <v>761</v>
      </c>
      <c r="C662" s="169">
        <f>C663</f>
        <v>6740000</v>
      </c>
      <c r="D662" s="169">
        <f>D663</f>
        <v>6740000</v>
      </c>
      <c r="E662" s="169">
        <f>E663</f>
        <v>6156000</v>
      </c>
      <c r="F662" s="169">
        <f>F663</f>
        <v>6033000</v>
      </c>
      <c r="G662" s="169">
        <f>G663</f>
        <v>7870288</v>
      </c>
      <c r="H662" s="88"/>
    </row>
    <row r="663" spans="1:8" hidden="1" x14ac:dyDescent="0.2">
      <c r="A663" s="421"/>
      <c r="B663" s="139" t="s">
        <v>762</v>
      </c>
      <c r="C663" s="145">
        <f>SUM(C664:C671)</f>
        <v>6740000</v>
      </c>
      <c r="D663" s="145">
        <f>SUM(D664:D671)</f>
        <v>6740000</v>
      </c>
      <c r="E663" s="145">
        <f>SUM(E664:E671)</f>
        <v>6156000</v>
      </c>
      <c r="F663" s="145">
        <f>SUM(F664:F671)</f>
        <v>6033000</v>
      </c>
      <c r="G663" s="145">
        <f>SUM(G664:G671)</f>
        <v>7870288</v>
      </c>
      <c r="H663" s="88"/>
    </row>
    <row r="664" spans="1:8" s="98" customFormat="1" hidden="1" x14ac:dyDescent="0.2">
      <c r="A664" s="421"/>
      <c r="B664" s="128" t="s">
        <v>763</v>
      </c>
      <c r="C664" s="121">
        <v>180000</v>
      </c>
      <c r="D664" s="121">
        <v>180000</v>
      </c>
      <c r="E664" s="114">
        <v>148000</v>
      </c>
      <c r="F664" s="114">
        <v>148000</v>
      </c>
      <c r="G664" s="114">
        <v>190000</v>
      </c>
      <c r="H664" s="88"/>
    </row>
    <row r="665" spans="1:8" hidden="1" x14ac:dyDescent="0.2">
      <c r="A665" s="421"/>
      <c r="B665" s="128" t="s">
        <v>764</v>
      </c>
      <c r="C665" s="121">
        <v>150000</v>
      </c>
      <c r="D665" s="121">
        <v>150000</v>
      </c>
      <c r="E665" s="113">
        <v>82000</v>
      </c>
      <c r="F665" s="113">
        <v>82000</v>
      </c>
      <c r="G665" s="114">
        <v>170000</v>
      </c>
      <c r="H665" s="88"/>
    </row>
    <row r="666" spans="1:8" hidden="1" x14ac:dyDescent="0.2">
      <c r="A666" s="421"/>
      <c r="B666" s="128" t="s">
        <v>765</v>
      </c>
      <c r="C666" s="121">
        <v>5373000</v>
      </c>
      <c r="D666" s="121">
        <v>5373000</v>
      </c>
      <c r="E666" s="113">
        <v>5062900</v>
      </c>
      <c r="F666" s="113">
        <v>5062900</v>
      </c>
      <c r="G666" s="114">
        <v>5776002</v>
      </c>
      <c r="H666" s="88"/>
    </row>
    <row r="667" spans="1:8" hidden="1" x14ac:dyDescent="0.2">
      <c r="A667" s="421"/>
      <c r="B667" s="128" t="s">
        <v>766</v>
      </c>
      <c r="C667" s="121">
        <v>400000</v>
      </c>
      <c r="D667" s="121">
        <v>400000</v>
      </c>
      <c r="E667" s="121">
        <v>396100</v>
      </c>
      <c r="F667" s="121">
        <v>396100</v>
      </c>
      <c r="G667" s="114">
        <v>1036286</v>
      </c>
      <c r="H667" s="88"/>
    </row>
    <row r="668" spans="1:8" hidden="1" x14ac:dyDescent="0.2">
      <c r="A668" s="421"/>
      <c r="B668" s="128" t="s">
        <v>767</v>
      </c>
      <c r="C668" s="121">
        <v>287000</v>
      </c>
      <c r="D668" s="121">
        <v>263000</v>
      </c>
      <c r="E668" s="121">
        <v>120000</v>
      </c>
      <c r="F668" s="121">
        <v>120000</v>
      </c>
      <c r="G668" s="114">
        <v>298000</v>
      </c>
      <c r="H668" s="88"/>
    </row>
    <row r="669" spans="1:8" hidden="1" x14ac:dyDescent="0.2">
      <c r="A669" s="421"/>
      <c r="B669" s="128" t="s">
        <v>768</v>
      </c>
      <c r="C669" s="121">
        <v>200000</v>
      </c>
      <c r="D669" s="121">
        <v>180000</v>
      </c>
      <c r="E669" s="121">
        <v>180000</v>
      </c>
      <c r="F669" s="121">
        <v>180000</v>
      </c>
      <c r="G669" s="114">
        <v>250000</v>
      </c>
      <c r="H669" s="88"/>
    </row>
    <row r="670" spans="1:8" hidden="1" x14ac:dyDescent="0.2">
      <c r="A670" s="106"/>
      <c r="B670" s="128" t="s">
        <v>769</v>
      </c>
      <c r="C670" s="121">
        <v>150000</v>
      </c>
      <c r="D670" s="121">
        <v>150000</v>
      </c>
      <c r="E670" s="113">
        <v>123000</v>
      </c>
      <c r="F670" s="113">
        <v>0</v>
      </c>
      <c r="G670" s="114">
        <v>150000</v>
      </c>
      <c r="H670" s="88"/>
    </row>
    <row r="671" spans="1:8" hidden="1" x14ac:dyDescent="0.2">
      <c r="A671" s="106"/>
      <c r="B671" s="213" t="s">
        <v>770</v>
      </c>
      <c r="C671" s="200">
        <v>0</v>
      </c>
      <c r="D671" s="200">
        <v>44000</v>
      </c>
      <c r="E671" s="113">
        <v>44000</v>
      </c>
      <c r="F671" s="113">
        <v>44000</v>
      </c>
      <c r="G671" s="114">
        <v>0</v>
      </c>
      <c r="H671" s="88"/>
    </row>
    <row r="672" spans="1:8" hidden="1" x14ac:dyDescent="0.2">
      <c r="A672" s="405"/>
      <c r="B672" s="422"/>
      <c r="C672" s="240"/>
      <c r="D672" s="240"/>
      <c r="E672" s="200"/>
      <c r="F672" s="200"/>
      <c r="G672" s="143"/>
      <c r="H672" s="88"/>
    </row>
    <row r="673" spans="1:9" ht="20.25" hidden="1" x14ac:dyDescent="0.2">
      <c r="A673" s="405"/>
      <c r="B673" s="423" t="s">
        <v>771</v>
      </c>
      <c r="C673" s="332">
        <f>C674</f>
        <v>14255100</v>
      </c>
      <c r="D673" s="332">
        <v>20033588</v>
      </c>
      <c r="E673" s="332">
        <f>E674</f>
        <v>20033588</v>
      </c>
      <c r="F673" s="332">
        <v>7184316.8099999996</v>
      </c>
      <c r="G673" s="332">
        <f>G674</f>
        <v>13505100</v>
      </c>
      <c r="H673" s="88"/>
    </row>
    <row r="674" spans="1:9" hidden="1" x14ac:dyDescent="0.2">
      <c r="A674" s="424">
        <v>4351</v>
      </c>
      <c r="B674" s="139" t="s">
        <v>772</v>
      </c>
      <c r="C674" s="425">
        <f>SUM(C675:C677)</f>
        <v>14255100</v>
      </c>
      <c r="D674" s="425">
        <v>20033588</v>
      </c>
      <c r="E674" s="425">
        <f>SUM(E675:E677)</f>
        <v>20033588</v>
      </c>
      <c r="F674" s="105">
        <v>7184316.8099999996</v>
      </c>
      <c r="G674" s="425">
        <f>SUM(G675:G677)</f>
        <v>13505100</v>
      </c>
      <c r="H674" s="88"/>
    </row>
    <row r="675" spans="1:9" ht="60" hidden="1" x14ac:dyDescent="0.2">
      <c r="A675" s="111"/>
      <c r="B675" s="413" t="s">
        <v>773</v>
      </c>
      <c r="C675" s="257">
        <v>6911500</v>
      </c>
      <c r="D675" s="257">
        <v>10203820</v>
      </c>
      <c r="E675" s="257">
        <f t="shared" ref="E675:E677" si="7">D675</f>
        <v>10203820</v>
      </c>
      <c r="F675" s="121">
        <v>3433058.91</v>
      </c>
      <c r="G675" s="257">
        <v>6835500</v>
      </c>
      <c r="H675" s="32"/>
      <c r="I675" s="158"/>
    </row>
    <row r="676" spans="1:9" ht="48" hidden="1" x14ac:dyDescent="0.2">
      <c r="A676" s="111"/>
      <c r="B676" s="413" t="s">
        <v>774</v>
      </c>
      <c r="C676" s="426">
        <v>1796800</v>
      </c>
      <c r="D676" s="426">
        <v>2479432</v>
      </c>
      <c r="E676" s="426">
        <f t="shared" si="7"/>
        <v>2479432</v>
      </c>
      <c r="F676" s="113">
        <v>763396.3</v>
      </c>
      <c r="G676" s="426">
        <v>1739300</v>
      </c>
      <c r="H676" s="32"/>
      <c r="I676" s="158"/>
    </row>
    <row r="677" spans="1:9" ht="36" hidden="1" x14ac:dyDescent="0.2">
      <c r="A677" s="106"/>
      <c r="B677" s="413" t="s">
        <v>775</v>
      </c>
      <c r="C677" s="257">
        <v>5546800</v>
      </c>
      <c r="D677" s="257">
        <v>7350336</v>
      </c>
      <c r="E677" s="257">
        <f t="shared" si="7"/>
        <v>7350336</v>
      </c>
      <c r="F677" s="121">
        <v>2987864.6</v>
      </c>
      <c r="G677" s="257">
        <v>4930300</v>
      </c>
      <c r="H677" s="32"/>
      <c r="I677" s="158"/>
    </row>
    <row r="678" spans="1:9" hidden="1" x14ac:dyDescent="0.2">
      <c r="A678" s="405"/>
      <c r="B678" s="427"/>
      <c r="C678" s="361"/>
      <c r="D678" s="361"/>
      <c r="E678" s="361"/>
      <c r="F678" s="266"/>
      <c r="G678" s="361"/>
      <c r="H678" s="88"/>
    </row>
    <row r="679" spans="1:9" ht="20.25" hidden="1" x14ac:dyDescent="0.3">
      <c r="A679" s="312"/>
      <c r="B679" s="90" t="s">
        <v>50</v>
      </c>
      <c r="C679" s="332">
        <f>SUM(C680,C681,C682,C683,C684,C685,C686,C687,C691,C692,C693,C694,C699,C700)</f>
        <v>48341000</v>
      </c>
      <c r="D679" s="332">
        <f>SUM(D680,D681,D682,D683,D684,D685,D686,D687,D691,D692,D693,D694,D699,D700)</f>
        <v>48246622</v>
      </c>
      <c r="E679" s="332">
        <f>SUM(E680,E681,E682,E683,E684,E685,E686,E687,E691,E692,E693,E694,E699,E700)</f>
        <v>48220555</v>
      </c>
      <c r="F679" s="332">
        <f>SUM(F680,F681,F682,F683,F684,F685,F686,F687,F691,F692,F693,F694,F699,F700)</f>
        <v>26931631</v>
      </c>
      <c r="G679" s="332">
        <f>SUM(G680,G681,G682,G683,G684,G685,G686,G687,G691,G692,G693,G694,G699,G700)</f>
        <v>58483000</v>
      </c>
      <c r="H679" s="88"/>
    </row>
    <row r="680" spans="1:9" hidden="1" x14ac:dyDescent="0.2">
      <c r="A680" s="102">
        <v>1014</v>
      </c>
      <c r="B680" s="139" t="s">
        <v>776</v>
      </c>
      <c r="C680" s="197">
        <v>760000</v>
      </c>
      <c r="D680" s="428">
        <v>760000</v>
      </c>
      <c r="E680" s="105">
        <v>760000</v>
      </c>
      <c r="F680" s="428">
        <v>250713</v>
      </c>
      <c r="G680" s="105">
        <v>770000</v>
      </c>
      <c r="H680" s="88"/>
    </row>
    <row r="681" spans="1:9" hidden="1" x14ac:dyDescent="0.2">
      <c r="A681" s="106">
        <v>1031</v>
      </c>
      <c r="B681" s="144" t="s">
        <v>777</v>
      </c>
      <c r="C681" s="145">
        <v>481000</v>
      </c>
      <c r="D681" s="429">
        <v>481000</v>
      </c>
      <c r="E681" s="109">
        <v>481000</v>
      </c>
      <c r="F681" s="429">
        <v>82116</v>
      </c>
      <c r="G681" s="105">
        <v>436000</v>
      </c>
      <c r="H681" s="88"/>
    </row>
    <row r="682" spans="1:9" hidden="1" x14ac:dyDescent="0.2">
      <c r="A682" s="106">
        <v>1036</v>
      </c>
      <c r="B682" s="144" t="s">
        <v>778</v>
      </c>
      <c r="C682" s="145">
        <v>100000</v>
      </c>
      <c r="D682" s="429">
        <v>100000</v>
      </c>
      <c r="E682" s="145">
        <v>100000</v>
      </c>
      <c r="F682" s="430">
        <v>60738</v>
      </c>
      <c r="G682" s="105">
        <v>100000</v>
      </c>
      <c r="H682" s="88"/>
    </row>
    <row r="683" spans="1:9" s="244" customFormat="1" ht="15.75" hidden="1" x14ac:dyDescent="0.25">
      <c r="A683" s="106">
        <v>1037</v>
      </c>
      <c r="B683" s="144" t="s">
        <v>779</v>
      </c>
      <c r="C683" s="145">
        <v>773000</v>
      </c>
      <c r="D683" s="429">
        <v>773000</v>
      </c>
      <c r="E683" s="382">
        <v>773000</v>
      </c>
      <c r="F683" s="431">
        <v>15125.64</v>
      </c>
      <c r="G683" s="105">
        <v>20000</v>
      </c>
      <c r="H683" s="88"/>
    </row>
    <row r="684" spans="1:9" s="98" customFormat="1" hidden="1" x14ac:dyDescent="0.2">
      <c r="A684" s="106">
        <v>1039</v>
      </c>
      <c r="B684" s="144" t="s">
        <v>780</v>
      </c>
      <c r="C684" s="145">
        <v>300000</v>
      </c>
      <c r="D684" s="429">
        <v>570497</v>
      </c>
      <c r="E684" s="432">
        <v>570000</v>
      </c>
      <c r="F684" s="433">
        <v>0</v>
      </c>
      <c r="G684" s="105">
        <v>200000</v>
      </c>
      <c r="H684" s="88"/>
    </row>
    <row r="685" spans="1:9" s="98" customFormat="1" hidden="1" x14ac:dyDescent="0.2">
      <c r="A685" s="106">
        <v>2369</v>
      </c>
      <c r="B685" s="144" t="s">
        <v>781</v>
      </c>
      <c r="C685" s="145">
        <v>370000</v>
      </c>
      <c r="D685" s="429">
        <v>370000</v>
      </c>
      <c r="E685" s="105">
        <v>370000</v>
      </c>
      <c r="F685" s="434">
        <v>400</v>
      </c>
      <c r="G685" s="105">
        <v>370000</v>
      </c>
      <c r="H685" s="88"/>
    </row>
    <row r="686" spans="1:9" s="98" customFormat="1" hidden="1" x14ac:dyDescent="0.2">
      <c r="A686" s="106">
        <v>3721</v>
      </c>
      <c r="B686" s="144" t="s">
        <v>782</v>
      </c>
      <c r="C686" s="145">
        <v>50000</v>
      </c>
      <c r="D686" s="429">
        <v>50000</v>
      </c>
      <c r="E686" s="109">
        <v>50000</v>
      </c>
      <c r="F686" s="429">
        <v>33600</v>
      </c>
      <c r="G686" s="105">
        <v>50000</v>
      </c>
      <c r="H686" s="88"/>
    </row>
    <row r="687" spans="1:9" s="98" customFormat="1" hidden="1" x14ac:dyDescent="0.2">
      <c r="A687" s="106">
        <v>3722</v>
      </c>
      <c r="B687" s="144" t="s">
        <v>783</v>
      </c>
      <c r="C687" s="145">
        <f>SUM(C688:C690)</f>
        <v>24470000</v>
      </c>
      <c r="D687" s="429">
        <f>SUM(D688:D690)</f>
        <v>24350625</v>
      </c>
      <c r="E687" s="145">
        <f>SUM(E688:E690)</f>
        <v>24350625</v>
      </c>
      <c r="F687" s="429">
        <f>SUM(F688:F690)</f>
        <v>14850244.939999999</v>
      </c>
      <c r="G687" s="145">
        <f>SUM(G688:G690)</f>
        <v>27100000</v>
      </c>
      <c r="H687" s="88"/>
    </row>
    <row r="688" spans="1:9" s="98" customFormat="1" hidden="1" x14ac:dyDescent="0.2">
      <c r="A688" s="106"/>
      <c r="B688" s="155" t="s">
        <v>784</v>
      </c>
      <c r="C688" s="121">
        <v>20955000</v>
      </c>
      <c r="D688" s="430">
        <f>C688+130625</f>
        <v>21085625</v>
      </c>
      <c r="E688" s="113">
        <v>21085625</v>
      </c>
      <c r="F688" s="430">
        <v>14100625</v>
      </c>
      <c r="G688" s="114">
        <v>24500000</v>
      </c>
      <c r="H688" s="88"/>
    </row>
    <row r="689" spans="1:8" s="98" customFormat="1" hidden="1" x14ac:dyDescent="0.2">
      <c r="A689" s="106"/>
      <c r="B689" s="155" t="s">
        <v>785</v>
      </c>
      <c r="C689" s="121">
        <v>1990000</v>
      </c>
      <c r="D689" s="430">
        <v>1990000</v>
      </c>
      <c r="E689" s="113">
        <v>1990000</v>
      </c>
      <c r="F689" s="430">
        <v>749619.94</v>
      </c>
      <c r="G689" s="114">
        <f>2140000+100000</f>
        <v>2240000</v>
      </c>
      <c r="H689" s="88"/>
    </row>
    <row r="690" spans="1:8" s="98" customFormat="1" hidden="1" x14ac:dyDescent="0.2">
      <c r="A690" s="106"/>
      <c r="B690" s="147" t="s">
        <v>786</v>
      </c>
      <c r="C690" s="121">
        <v>1525000</v>
      </c>
      <c r="D690" s="430">
        <f>C690-250000</f>
        <v>1275000</v>
      </c>
      <c r="E690" s="113">
        <v>1275000</v>
      </c>
      <c r="F690" s="430">
        <v>0</v>
      </c>
      <c r="G690" s="114">
        <v>360000</v>
      </c>
      <c r="H690" s="88"/>
    </row>
    <row r="691" spans="1:8" s="98" customFormat="1" hidden="1" x14ac:dyDescent="0.2">
      <c r="A691" s="106">
        <v>3733</v>
      </c>
      <c r="B691" s="144" t="s">
        <v>787</v>
      </c>
      <c r="C691" s="145">
        <v>65000</v>
      </c>
      <c r="D691" s="429">
        <v>65000</v>
      </c>
      <c r="E691" s="109">
        <v>40000</v>
      </c>
      <c r="F691" s="429">
        <v>0</v>
      </c>
      <c r="G691" s="105">
        <v>65000</v>
      </c>
      <c r="H691" s="88"/>
    </row>
    <row r="692" spans="1:8" s="98" customFormat="1" hidden="1" x14ac:dyDescent="0.2">
      <c r="A692" s="106">
        <v>3742</v>
      </c>
      <c r="B692" s="146" t="s">
        <v>788</v>
      </c>
      <c r="C692" s="145">
        <v>100000</v>
      </c>
      <c r="D692" s="429">
        <v>100000</v>
      </c>
      <c r="E692" s="382">
        <v>100000</v>
      </c>
      <c r="F692" s="435">
        <v>0</v>
      </c>
      <c r="G692" s="105">
        <v>100000</v>
      </c>
      <c r="H692" s="88"/>
    </row>
    <row r="693" spans="1:8" s="98" customFormat="1" hidden="1" x14ac:dyDescent="0.2">
      <c r="A693" s="106">
        <v>3743</v>
      </c>
      <c r="B693" s="144" t="s">
        <v>789</v>
      </c>
      <c r="C693" s="145">
        <v>2000</v>
      </c>
      <c r="D693" s="429">
        <v>2000</v>
      </c>
      <c r="E693" s="382">
        <v>1430</v>
      </c>
      <c r="F693" s="435">
        <v>0</v>
      </c>
      <c r="G693" s="105">
        <v>2000</v>
      </c>
      <c r="H693" s="88"/>
    </row>
    <row r="694" spans="1:8" s="98" customFormat="1" hidden="1" x14ac:dyDescent="0.2">
      <c r="A694" s="106">
        <v>3745</v>
      </c>
      <c r="B694" s="144" t="s">
        <v>790</v>
      </c>
      <c r="C694" s="145">
        <f>SUM(C695:C698)</f>
        <v>20640000</v>
      </c>
      <c r="D694" s="429">
        <f>SUM(D695:D698)</f>
        <v>20394500</v>
      </c>
      <c r="E694" s="145">
        <f>SUM(E695:E698)</f>
        <v>20394500</v>
      </c>
      <c r="F694" s="429">
        <f>SUM(F695:F698)</f>
        <v>11629207.42</v>
      </c>
      <c r="G694" s="145">
        <f>SUM(G695:G698)</f>
        <v>29115000</v>
      </c>
      <c r="H694" s="88"/>
    </row>
    <row r="695" spans="1:8" s="98" customFormat="1" hidden="1" x14ac:dyDescent="0.2">
      <c r="A695" s="106"/>
      <c r="B695" s="155" t="s">
        <v>791</v>
      </c>
      <c r="C695" s="123">
        <v>150000</v>
      </c>
      <c r="D695" s="434">
        <v>0</v>
      </c>
      <c r="E695" s="123">
        <v>0</v>
      </c>
      <c r="F695" s="434">
        <v>0</v>
      </c>
      <c r="G695" s="114">
        <v>150000</v>
      </c>
      <c r="H695" s="88"/>
    </row>
    <row r="696" spans="1:8" s="98" customFormat="1" hidden="1" x14ac:dyDescent="0.2">
      <c r="A696" s="111"/>
      <c r="B696" s="155" t="s">
        <v>792</v>
      </c>
      <c r="C696" s="121">
        <v>14620000</v>
      </c>
      <c r="D696" s="430">
        <f>C696+104500</f>
        <v>14724500</v>
      </c>
      <c r="E696" s="114">
        <v>14724500</v>
      </c>
      <c r="F696" s="434">
        <v>9851164</v>
      </c>
      <c r="G696" s="114">
        <v>16000000</v>
      </c>
      <c r="H696" s="32"/>
    </row>
    <row r="697" spans="1:8" s="98" customFormat="1" hidden="1" x14ac:dyDescent="0.2">
      <c r="A697" s="111"/>
      <c r="B697" s="155" t="s">
        <v>793</v>
      </c>
      <c r="C697" s="121">
        <v>3570000</v>
      </c>
      <c r="D697" s="430">
        <f>C697-300000+100000</f>
        <v>3370000</v>
      </c>
      <c r="E697" s="113">
        <v>3370000</v>
      </c>
      <c r="F697" s="430">
        <v>844983.42</v>
      </c>
      <c r="G697" s="114">
        <v>3200000</v>
      </c>
      <c r="H697" s="387"/>
    </row>
    <row r="698" spans="1:8" s="98" customFormat="1" ht="24" hidden="1" x14ac:dyDescent="0.2">
      <c r="A698" s="106"/>
      <c r="B698" s="147" t="s">
        <v>794</v>
      </c>
      <c r="C698" s="121">
        <v>2300000</v>
      </c>
      <c r="D698" s="430">
        <v>2300000</v>
      </c>
      <c r="E698" s="114">
        <v>2300000</v>
      </c>
      <c r="F698" s="434">
        <v>933060</v>
      </c>
      <c r="G698" s="114">
        <f>9285000+480000</f>
        <v>9765000</v>
      </c>
      <c r="H698" s="32"/>
    </row>
    <row r="699" spans="1:8" hidden="1" x14ac:dyDescent="0.2">
      <c r="A699" s="106">
        <v>3792</v>
      </c>
      <c r="B699" s="144" t="s">
        <v>795</v>
      </c>
      <c r="C699" s="145">
        <v>150000</v>
      </c>
      <c r="D699" s="429">
        <v>150000</v>
      </c>
      <c r="E699" s="109">
        <v>150000</v>
      </c>
      <c r="F699" s="429">
        <v>9486</v>
      </c>
      <c r="G699" s="105">
        <v>155000</v>
      </c>
      <c r="H699" s="88"/>
    </row>
    <row r="700" spans="1:8" hidden="1" x14ac:dyDescent="0.2">
      <c r="A700" s="106">
        <v>3799</v>
      </c>
      <c r="B700" s="144" t="s">
        <v>796</v>
      </c>
      <c r="C700" s="145">
        <v>80000</v>
      </c>
      <c r="D700" s="429">
        <v>80000</v>
      </c>
      <c r="E700" s="109">
        <v>80000</v>
      </c>
      <c r="F700" s="429">
        <v>0</v>
      </c>
      <c r="G700" s="105">
        <v>0</v>
      </c>
      <c r="H700" s="88"/>
    </row>
    <row r="701" spans="1:8" hidden="1" x14ac:dyDescent="0.2">
      <c r="A701" s="424"/>
      <c r="B701" s="258"/>
      <c r="C701" s="436"/>
      <c r="D701" s="436"/>
      <c r="E701" s="266"/>
      <c r="F701" s="266"/>
      <c r="G701" s="266"/>
      <c r="H701" s="88"/>
    </row>
    <row r="702" spans="1:8" ht="20.25" hidden="1" x14ac:dyDescent="0.2">
      <c r="A702" s="437"/>
      <c r="B702" s="278" t="s">
        <v>797</v>
      </c>
      <c r="C702" s="281">
        <f>SUM(C703,C704,C734,C782,C849,C872,C874,C875,C879)</f>
        <v>272420000</v>
      </c>
      <c r="D702" s="281">
        <f>SUM(D703,D704,D734,D782,D849,D872,D874,D875,D879)</f>
        <v>198055883.74000001</v>
      </c>
      <c r="E702" s="281">
        <f>SUM(E703,E704,E734,E782,E849,E872,E874,E875,E879)</f>
        <v>186143155.44</v>
      </c>
      <c r="F702" s="280">
        <f>SUM(F703,F704,F734,F782,F849,F872,F874,F875,F879)</f>
        <v>96334031.909999996</v>
      </c>
      <c r="G702" s="281">
        <f>SUM(G703,G704,G734,G782,G849,G872,G874,G875,G879)</f>
        <v>222630000</v>
      </c>
    </row>
    <row r="703" spans="1:8" ht="12.75" hidden="1" customHeight="1" x14ac:dyDescent="0.2">
      <c r="A703" s="438">
        <v>3122</v>
      </c>
      <c r="B703" s="439" t="s">
        <v>798</v>
      </c>
      <c r="C703" s="440">
        <v>370000</v>
      </c>
      <c r="D703" s="441">
        <v>370000</v>
      </c>
      <c r="E703" s="442">
        <v>315000</v>
      </c>
      <c r="F703" s="292">
        <v>275040</v>
      </c>
      <c r="G703" s="173">
        <v>376000</v>
      </c>
    </row>
    <row r="704" spans="1:8" ht="12.75" hidden="1" customHeight="1" x14ac:dyDescent="0.2">
      <c r="A704" s="443">
        <v>3412</v>
      </c>
      <c r="B704" s="444" t="s">
        <v>799</v>
      </c>
      <c r="C704" s="445">
        <f>C705+C722</f>
        <v>85713000</v>
      </c>
      <c r="D704" s="445">
        <f>D705+D722</f>
        <v>93169650.74000001</v>
      </c>
      <c r="E704" s="445">
        <f>E705+E722</f>
        <v>92258958.379999995</v>
      </c>
      <c r="F704" s="446">
        <f>F705+F722</f>
        <v>50865083.780000001</v>
      </c>
      <c r="G704" s="447">
        <f>G705+G722</f>
        <v>38471000</v>
      </c>
    </row>
    <row r="705" spans="1:7" ht="12.75" hidden="1" customHeight="1" x14ac:dyDescent="0.2">
      <c r="A705" s="443"/>
      <c r="B705" s="448" t="s">
        <v>800</v>
      </c>
      <c r="C705" s="445">
        <f>C706+C711+C718</f>
        <v>23763000</v>
      </c>
      <c r="D705" s="445">
        <f>D706+D711+D718</f>
        <v>28219650.740000002</v>
      </c>
      <c r="E705" s="445">
        <f>E706+E711+E718</f>
        <v>26508958.380000003</v>
      </c>
      <c r="F705" s="446">
        <f>F706+F711+F718</f>
        <v>19875050.77</v>
      </c>
      <c r="G705" s="447">
        <f>G706+G711+G718</f>
        <v>25637000</v>
      </c>
    </row>
    <row r="706" spans="1:7" ht="12.75" hidden="1" customHeight="1" x14ac:dyDescent="0.2">
      <c r="A706" s="443"/>
      <c r="B706" s="449" t="s">
        <v>801</v>
      </c>
      <c r="C706" s="450">
        <f>SUM(C707:C708)</f>
        <v>2600000</v>
      </c>
      <c r="D706" s="450">
        <f>SUM(D707:D708)</f>
        <v>3700000</v>
      </c>
      <c r="E706" s="450">
        <f>SUM(E707:E708)</f>
        <v>3489307.64</v>
      </c>
      <c r="F706" s="451">
        <f>SUM(F707:F708)</f>
        <v>2282709.0299999998</v>
      </c>
      <c r="G706" s="452">
        <f>SUM(G707:G710)</f>
        <v>1600000</v>
      </c>
    </row>
    <row r="707" spans="1:7" ht="12.75" hidden="1" customHeight="1" x14ac:dyDescent="0.2">
      <c r="A707" s="443"/>
      <c r="B707" s="453" t="s">
        <v>802</v>
      </c>
      <c r="C707" s="450">
        <v>600000</v>
      </c>
      <c r="D707" s="454">
        <f>600000-600000</f>
        <v>0</v>
      </c>
      <c r="E707" s="454">
        <f>600000-600000</f>
        <v>0</v>
      </c>
      <c r="F707" s="296">
        <v>0</v>
      </c>
      <c r="G707" s="113">
        <v>0</v>
      </c>
    </row>
    <row r="708" spans="1:7" ht="12.75" hidden="1" customHeight="1" x14ac:dyDescent="0.2">
      <c r="A708" s="443"/>
      <c r="B708" s="453" t="s">
        <v>803</v>
      </c>
      <c r="C708" s="450">
        <v>2000000</v>
      </c>
      <c r="D708" s="454">
        <f>2000000+1700000</f>
        <v>3700000</v>
      </c>
      <c r="E708" s="455">
        <v>3489307.64</v>
      </c>
      <c r="F708" s="296">
        <v>2282709.0299999998</v>
      </c>
      <c r="G708" s="113">
        <v>0</v>
      </c>
    </row>
    <row r="709" spans="1:7" ht="12.75" hidden="1" customHeight="1" x14ac:dyDescent="0.2">
      <c r="A709" s="443"/>
      <c r="B709" s="456" t="s">
        <v>804</v>
      </c>
      <c r="C709" s="450"/>
      <c r="D709" s="454"/>
      <c r="E709" s="457"/>
      <c r="F709" s="410"/>
      <c r="G709" s="458">
        <v>1300000</v>
      </c>
    </row>
    <row r="710" spans="1:7" ht="12.75" hidden="1" customHeight="1" x14ac:dyDescent="0.2">
      <c r="A710" s="443"/>
      <c r="B710" s="456" t="s">
        <v>805</v>
      </c>
      <c r="C710" s="459"/>
      <c r="D710" s="460"/>
      <c r="E710" s="461"/>
      <c r="F710" s="462"/>
      <c r="G710" s="149">
        <v>300000</v>
      </c>
    </row>
    <row r="711" spans="1:7" ht="12.75" hidden="1" customHeight="1" x14ac:dyDescent="0.2">
      <c r="A711" s="443"/>
      <c r="B711" s="453" t="s">
        <v>806</v>
      </c>
      <c r="C711" s="463">
        <f>SUM(C712:C717)</f>
        <v>450000</v>
      </c>
      <c r="D711" s="464">
        <f>SUM(D712:D717)</f>
        <v>3206650.74</v>
      </c>
      <c r="E711" s="464">
        <f>SUM(E712:E717)</f>
        <v>3206650.74</v>
      </c>
      <c r="F711" s="446">
        <f>SUM(F712:F717)</f>
        <v>3006650.74</v>
      </c>
      <c r="G711" s="447">
        <f>SUM(G712:G717)</f>
        <v>850000</v>
      </c>
    </row>
    <row r="712" spans="1:7" ht="12.75" hidden="1" customHeight="1" x14ac:dyDescent="0.2">
      <c r="A712" s="443"/>
      <c r="B712" s="453" t="s">
        <v>807</v>
      </c>
      <c r="C712" s="452">
        <v>250000</v>
      </c>
      <c r="D712" s="454">
        <f>250000-250000</f>
        <v>0</v>
      </c>
      <c r="E712" s="465">
        <v>0</v>
      </c>
      <c r="F712" s="466">
        <v>0</v>
      </c>
      <c r="G712" s="143">
        <v>0</v>
      </c>
    </row>
    <row r="713" spans="1:7" ht="12.75" hidden="1" customHeight="1" x14ac:dyDescent="0.2">
      <c r="A713" s="443"/>
      <c r="B713" s="453" t="s">
        <v>808</v>
      </c>
      <c r="C713" s="452">
        <v>200000</v>
      </c>
      <c r="D713" s="460">
        <v>200000</v>
      </c>
      <c r="E713" s="461">
        <v>200000</v>
      </c>
      <c r="F713" s="296">
        <v>0</v>
      </c>
      <c r="G713" s="113">
        <v>200000</v>
      </c>
    </row>
    <row r="714" spans="1:7" ht="12.75" hidden="1" customHeight="1" x14ac:dyDescent="0.2">
      <c r="A714" s="443"/>
      <c r="B714" s="453" t="s">
        <v>809</v>
      </c>
      <c r="C714" s="452"/>
      <c r="D714" s="454"/>
      <c r="E714" s="455"/>
      <c r="F714" s="298"/>
      <c r="G714" s="113">
        <v>100000</v>
      </c>
    </row>
    <row r="715" spans="1:7" ht="12.75" hidden="1" customHeight="1" x14ac:dyDescent="0.2">
      <c r="A715" s="443"/>
      <c r="B715" s="467" t="s">
        <v>810</v>
      </c>
      <c r="C715" s="452"/>
      <c r="D715" s="454"/>
      <c r="E715" s="468"/>
      <c r="F715" s="304"/>
      <c r="G715" s="113">
        <v>150000</v>
      </c>
    </row>
    <row r="716" spans="1:7" ht="12.75" hidden="1" customHeight="1" x14ac:dyDescent="0.2">
      <c r="A716" s="443"/>
      <c r="B716" s="453" t="s">
        <v>811</v>
      </c>
      <c r="C716" s="452"/>
      <c r="D716" s="454"/>
      <c r="E716" s="468"/>
      <c r="F716" s="304"/>
      <c r="G716" s="113">
        <v>400000</v>
      </c>
    </row>
    <row r="717" spans="1:7" ht="12.75" hidden="1" customHeight="1" x14ac:dyDescent="0.2">
      <c r="A717" s="443"/>
      <c r="B717" s="453" t="s">
        <v>812</v>
      </c>
      <c r="C717" s="452">
        <v>0</v>
      </c>
      <c r="D717" s="454">
        <v>3006650.74</v>
      </c>
      <c r="E717" s="468">
        <v>3006650.74</v>
      </c>
      <c r="F717" s="304">
        <v>3006650.74</v>
      </c>
      <c r="G717" s="113">
        <v>0</v>
      </c>
    </row>
    <row r="718" spans="1:7" ht="12.75" hidden="1" customHeight="1" x14ac:dyDescent="0.2">
      <c r="A718" s="443"/>
      <c r="B718" s="449" t="s">
        <v>813</v>
      </c>
      <c r="C718" s="445">
        <f>C719+C720</f>
        <v>20713000</v>
      </c>
      <c r="D718" s="469">
        <f>D719+D720</f>
        <v>21313000</v>
      </c>
      <c r="E718" s="469">
        <f>E719+E720</f>
        <v>19813000</v>
      </c>
      <c r="F718" s="470">
        <f>SUM(F719:F721)</f>
        <v>14585691</v>
      </c>
      <c r="G718" s="447">
        <f>SUM(G719:G721)</f>
        <v>23187000</v>
      </c>
    </row>
    <row r="719" spans="1:7" ht="12.75" hidden="1" customHeight="1" x14ac:dyDescent="0.2">
      <c r="A719" s="471"/>
      <c r="B719" s="472" t="s">
        <v>814</v>
      </c>
      <c r="C719" s="452">
        <f>21000000-300000</f>
        <v>20700000</v>
      </c>
      <c r="D719" s="454">
        <f>(21000000-300000)+600000</f>
        <v>21300000</v>
      </c>
      <c r="E719" s="468">
        <v>19800000</v>
      </c>
      <c r="F719" s="304">
        <v>14585691</v>
      </c>
      <c r="G719" s="113">
        <v>23142000</v>
      </c>
    </row>
    <row r="720" spans="1:7" ht="12.75" hidden="1" customHeight="1" x14ac:dyDescent="0.2">
      <c r="A720" s="471"/>
      <c r="B720" s="449" t="s">
        <v>815</v>
      </c>
      <c r="C720" s="452">
        <v>13000</v>
      </c>
      <c r="D720" s="454">
        <v>13000</v>
      </c>
      <c r="E720" s="468">
        <v>13000</v>
      </c>
      <c r="F720" s="304">
        <v>0</v>
      </c>
      <c r="G720" s="113">
        <v>13000</v>
      </c>
    </row>
    <row r="721" spans="1:7" ht="12.75" hidden="1" customHeight="1" x14ac:dyDescent="0.2">
      <c r="A721" s="471"/>
      <c r="B721" s="449" t="s">
        <v>816</v>
      </c>
      <c r="C721" s="452"/>
      <c r="D721" s="454"/>
      <c r="E721" s="468"/>
      <c r="F721" s="304"/>
      <c r="G721" s="113">
        <v>32000</v>
      </c>
    </row>
    <row r="722" spans="1:7" ht="12.75" hidden="1" customHeight="1" x14ac:dyDescent="0.2">
      <c r="A722" s="471"/>
      <c r="B722" s="473" t="s">
        <v>817</v>
      </c>
      <c r="C722" s="447">
        <f>C723+C726+C730</f>
        <v>61950000</v>
      </c>
      <c r="D722" s="469">
        <f>D723+D726+D730</f>
        <v>64950000</v>
      </c>
      <c r="E722" s="469">
        <f>E723+E726+E730</f>
        <v>65750000</v>
      </c>
      <c r="F722" s="470">
        <f>F723+F726+F730</f>
        <v>30990033.010000002</v>
      </c>
      <c r="G722" s="447">
        <f>G723+G726+G730</f>
        <v>12834000</v>
      </c>
    </row>
    <row r="723" spans="1:7" ht="12.75" hidden="1" customHeight="1" x14ac:dyDescent="0.2">
      <c r="A723" s="471"/>
      <c r="B723" s="449" t="s">
        <v>801</v>
      </c>
      <c r="C723" s="450">
        <f>C724</f>
        <v>52000000</v>
      </c>
      <c r="D723" s="454">
        <f>D724</f>
        <v>55000000</v>
      </c>
      <c r="E723" s="468">
        <v>56800000</v>
      </c>
      <c r="F723" s="470">
        <f>SUM(F724:F725)</f>
        <v>25198915.960000001</v>
      </c>
      <c r="G723" s="450">
        <f>SUM(G724:G725)</f>
        <v>800000</v>
      </c>
    </row>
    <row r="724" spans="1:7" ht="12.75" hidden="1" customHeight="1" x14ac:dyDescent="0.2">
      <c r="A724" s="471"/>
      <c r="B724" s="453" t="s">
        <v>818</v>
      </c>
      <c r="C724" s="452">
        <v>52000000</v>
      </c>
      <c r="D724" s="454">
        <f>52000000+3000000</f>
        <v>55000000</v>
      </c>
      <c r="E724" s="468">
        <v>56800000</v>
      </c>
      <c r="F724" s="304">
        <v>25198915.960000001</v>
      </c>
      <c r="G724" s="113">
        <v>0</v>
      </c>
    </row>
    <row r="725" spans="1:7" ht="12.75" hidden="1" customHeight="1" x14ac:dyDescent="0.2">
      <c r="A725" s="471"/>
      <c r="B725" s="474" t="s">
        <v>819</v>
      </c>
      <c r="C725" s="452"/>
      <c r="D725" s="454"/>
      <c r="E725" s="455"/>
      <c r="F725" s="304"/>
      <c r="G725" s="113">
        <v>800000</v>
      </c>
    </row>
    <row r="726" spans="1:7" ht="12.75" hidden="1" customHeight="1" x14ac:dyDescent="0.2">
      <c r="A726" s="471"/>
      <c r="B726" s="449" t="s">
        <v>813</v>
      </c>
      <c r="C726" s="452">
        <f>C727</f>
        <v>9450000</v>
      </c>
      <c r="D726" s="454">
        <f>D727</f>
        <v>9450000</v>
      </c>
      <c r="E726" s="455">
        <v>8450000</v>
      </c>
      <c r="F726" s="470">
        <f>F727</f>
        <v>5573946.25</v>
      </c>
      <c r="G726" s="452">
        <f>SUM(G727:G729)</f>
        <v>9884000</v>
      </c>
    </row>
    <row r="727" spans="1:7" ht="12.75" hidden="1" customHeight="1" x14ac:dyDescent="0.2">
      <c r="A727" s="471"/>
      <c r="B727" s="449" t="s">
        <v>820</v>
      </c>
      <c r="C727" s="452">
        <f>9750000-300000</f>
        <v>9450000</v>
      </c>
      <c r="D727" s="454">
        <f>9750000-300000</f>
        <v>9450000</v>
      </c>
      <c r="E727" s="455">
        <v>8450000</v>
      </c>
      <c r="F727" s="304">
        <v>5573946.25</v>
      </c>
      <c r="G727" s="113">
        <v>9850000</v>
      </c>
    </row>
    <row r="728" spans="1:7" ht="12.75" hidden="1" customHeight="1" x14ac:dyDescent="0.2">
      <c r="A728" s="471"/>
      <c r="B728" s="449" t="s">
        <v>821</v>
      </c>
      <c r="C728" s="450"/>
      <c r="D728" s="454"/>
      <c r="E728" s="455"/>
      <c r="F728" s="304"/>
      <c r="G728" s="113">
        <v>34000</v>
      </c>
    </row>
    <row r="729" spans="1:7" ht="12.75" hidden="1" customHeight="1" x14ac:dyDescent="0.2">
      <c r="A729" s="471"/>
      <c r="B729" s="453" t="s">
        <v>822</v>
      </c>
      <c r="C729" s="452"/>
      <c r="D729" s="454"/>
      <c r="E729" s="455"/>
      <c r="F729" s="304"/>
      <c r="G729" s="113">
        <v>0</v>
      </c>
    </row>
    <row r="730" spans="1:7" ht="12.75" hidden="1" customHeight="1" x14ac:dyDescent="0.2">
      <c r="A730" s="471"/>
      <c r="B730" s="449" t="s">
        <v>823</v>
      </c>
      <c r="C730" s="450">
        <f>C731</f>
        <v>500000</v>
      </c>
      <c r="D730" s="454">
        <f>D731</f>
        <v>500000</v>
      </c>
      <c r="E730" s="455">
        <v>500000</v>
      </c>
      <c r="F730" s="470">
        <f>F731</f>
        <v>217170.8</v>
      </c>
      <c r="G730" s="452">
        <f>SUM(G731:G733)</f>
        <v>2150000</v>
      </c>
    </row>
    <row r="731" spans="1:7" ht="12.75" hidden="1" customHeight="1" x14ac:dyDescent="0.2">
      <c r="A731" s="471"/>
      <c r="B731" s="449" t="s">
        <v>824</v>
      </c>
      <c r="C731" s="450">
        <v>500000</v>
      </c>
      <c r="D731" s="454">
        <v>500000</v>
      </c>
      <c r="E731" s="455">
        <v>500000</v>
      </c>
      <c r="F731" s="304">
        <v>217170.8</v>
      </c>
      <c r="G731" s="113">
        <v>500000</v>
      </c>
    </row>
    <row r="732" spans="1:7" ht="12.75" hidden="1" customHeight="1" x14ac:dyDescent="0.2">
      <c r="A732" s="475"/>
      <c r="B732" s="449" t="s">
        <v>825</v>
      </c>
      <c r="C732" s="450"/>
      <c r="D732" s="454"/>
      <c r="E732" s="455"/>
      <c r="F732" s="304"/>
      <c r="G732" s="113">
        <v>900000</v>
      </c>
    </row>
    <row r="733" spans="1:7" ht="12.75" hidden="1" customHeight="1" x14ac:dyDescent="0.2">
      <c r="A733" s="471"/>
      <c r="B733" s="449" t="s">
        <v>826</v>
      </c>
      <c r="C733" s="452"/>
      <c r="D733" s="454"/>
      <c r="E733" s="455"/>
      <c r="F733" s="304"/>
      <c r="G733" s="113">
        <v>750000</v>
      </c>
    </row>
    <row r="734" spans="1:7" s="2" customFormat="1" ht="12.75" hidden="1" customHeight="1" x14ac:dyDescent="0.2">
      <c r="A734" s="443">
        <v>3612</v>
      </c>
      <c r="B734" s="444" t="s">
        <v>827</v>
      </c>
      <c r="C734" s="445">
        <f>C735+C746</f>
        <v>49543000</v>
      </c>
      <c r="D734" s="469">
        <f>D735+D746</f>
        <v>45394000</v>
      </c>
      <c r="E734" s="469">
        <f>E735+E746</f>
        <v>41541631.149999999</v>
      </c>
      <c r="F734" s="470">
        <f>F735+F746</f>
        <v>22992944.09</v>
      </c>
      <c r="G734" s="445">
        <f>G735+G746</f>
        <v>129014000</v>
      </c>
    </row>
    <row r="735" spans="1:7" ht="12.75" hidden="1" customHeight="1" x14ac:dyDescent="0.2">
      <c r="A735" s="443"/>
      <c r="B735" s="449" t="s">
        <v>801</v>
      </c>
      <c r="C735" s="450">
        <f>SUM(C736:C740)</f>
        <v>4483000</v>
      </c>
      <c r="D735" s="454">
        <f>SUM(D736:D740)</f>
        <v>3333000</v>
      </c>
      <c r="E735" s="454">
        <f>SUM(E736:E740)</f>
        <v>2344298.37</v>
      </c>
      <c r="F735" s="470">
        <f>SUM(F736:F745)</f>
        <v>757778.37</v>
      </c>
      <c r="G735" s="450">
        <f>SUM(G736:G745)</f>
        <v>89954000</v>
      </c>
    </row>
    <row r="736" spans="1:7" ht="12.75" hidden="1" customHeight="1" x14ac:dyDescent="0.2">
      <c r="A736" s="443"/>
      <c r="B736" s="449" t="s">
        <v>828</v>
      </c>
      <c r="C736" s="450">
        <f>3300000-517000</f>
        <v>2783000</v>
      </c>
      <c r="D736" s="454">
        <f>3300000-517000-900000</f>
        <v>1883000</v>
      </c>
      <c r="E736" s="455">
        <v>1050000</v>
      </c>
      <c r="F736" s="476">
        <v>0</v>
      </c>
      <c r="G736" s="477">
        <v>654000</v>
      </c>
    </row>
    <row r="737" spans="1:7" ht="12.75" hidden="1" customHeight="1" x14ac:dyDescent="0.2">
      <c r="A737" s="443"/>
      <c r="B737" s="453" t="s">
        <v>829</v>
      </c>
      <c r="C737" s="452">
        <v>1000000</v>
      </c>
      <c r="D737" s="454">
        <f>1000000-250000</f>
        <v>750000</v>
      </c>
      <c r="E737" s="455">
        <v>651298.37</v>
      </c>
      <c r="F737" s="304">
        <v>651298.37</v>
      </c>
      <c r="G737" s="113">
        <v>0</v>
      </c>
    </row>
    <row r="738" spans="1:7" ht="12.75" hidden="1" customHeight="1" x14ac:dyDescent="0.2">
      <c r="A738" s="443" t="s">
        <v>446</v>
      </c>
      <c r="B738" s="453" t="s">
        <v>830</v>
      </c>
      <c r="C738" s="450">
        <f>8000000-8000000</f>
        <v>0</v>
      </c>
      <c r="D738" s="478">
        <v>107000</v>
      </c>
      <c r="E738" s="479">
        <v>107000</v>
      </c>
      <c r="F738" s="304">
        <v>106480</v>
      </c>
      <c r="G738" s="113">
        <v>0</v>
      </c>
    </row>
    <row r="739" spans="1:7" ht="12.75" hidden="1" customHeight="1" x14ac:dyDescent="0.2">
      <c r="A739" s="443"/>
      <c r="B739" s="449" t="s">
        <v>831</v>
      </c>
      <c r="C739" s="450">
        <v>350000</v>
      </c>
      <c r="D739" s="478">
        <v>293000</v>
      </c>
      <c r="E739" s="479">
        <v>240000</v>
      </c>
      <c r="F739" s="476">
        <v>0</v>
      </c>
      <c r="G739" s="388">
        <v>0</v>
      </c>
    </row>
    <row r="740" spans="1:7" ht="12.75" hidden="1" customHeight="1" x14ac:dyDescent="0.2">
      <c r="A740" s="443"/>
      <c r="B740" s="449" t="s">
        <v>832</v>
      </c>
      <c r="C740" s="450">
        <v>350000</v>
      </c>
      <c r="D740" s="478">
        <v>300000</v>
      </c>
      <c r="E740" s="480">
        <v>296000</v>
      </c>
      <c r="F740" s="304">
        <v>0</v>
      </c>
      <c r="G740" s="113">
        <v>0</v>
      </c>
    </row>
    <row r="741" spans="1:7" ht="12.75" hidden="1" customHeight="1" x14ac:dyDescent="0.2">
      <c r="A741" s="481"/>
      <c r="B741" s="453" t="s">
        <v>833</v>
      </c>
      <c r="C741" s="450"/>
      <c r="D741" s="482"/>
      <c r="E741" s="483"/>
      <c r="F741" s="484"/>
      <c r="G741" s="485">
        <v>14500000</v>
      </c>
    </row>
    <row r="742" spans="1:7" ht="12.75" hidden="1" customHeight="1" x14ac:dyDescent="0.2">
      <c r="A742" s="481"/>
      <c r="B742" s="453" t="s">
        <v>834</v>
      </c>
      <c r="C742" s="450"/>
      <c r="D742" s="482"/>
      <c r="E742" s="486"/>
      <c r="F742" s="484"/>
      <c r="G742" s="487">
        <v>9500000</v>
      </c>
    </row>
    <row r="743" spans="1:7" ht="12.75" hidden="1" customHeight="1" x14ac:dyDescent="0.2">
      <c r="A743" s="481"/>
      <c r="B743" s="453" t="s">
        <v>835</v>
      </c>
      <c r="C743" s="450"/>
      <c r="D743" s="482"/>
      <c r="E743" s="483"/>
      <c r="F743" s="484"/>
      <c r="G743" s="485">
        <v>65000000</v>
      </c>
    </row>
    <row r="744" spans="1:7" s="488" customFormat="1" ht="12.75" hidden="1" customHeight="1" x14ac:dyDescent="0.2">
      <c r="A744" s="489"/>
      <c r="B744" s="456" t="s">
        <v>836</v>
      </c>
      <c r="C744" s="490"/>
      <c r="D744" s="491"/>
      <c r="E744" s="492"/>
      <c r="F744" s="493"/>
      <c r="G744" s="494">
        <v>300000</v>
      </c>
    </row>
    <row r="745" spans="1:7" ht="12.75" hidden="1" customHeight="1" x14ac:dyDescent="0.2">
      <c r="A745" s="481"/>
      <c r="B745" s="453" t="s">
        <v>837</v>
      </c>
      <c r="C745" s="450"/>
      <c r="D745" s="482"/>
      <c r="E745" s="486"/>
      <c r="F745" s="484"/>
      <c r="G745" s="487">
        <v>0</v>
      </c>
    </row>
    <row r="746" spans="1:7" ht="12.75" hidden="1" customHeight="1" x14ac:dyDescent="0.2">
      <c r="A746" s="443"/>
      <c r="B746" s="449" t="s">
        <v>838</v>
      </c>
      <c r="C746" s="114">
        <f>C747+C751+C756+C764+C766+SUM(C776:C781)</f>
        <v>45060000</v>
      </c>
      <c r="D746" s="495">
        <f>D747+D751+D756+D764+D766+SUM(D776:D781)</f>
        <v>42061000</v>
      </c>
      <c r="E746" s="495">
        <f>E747+E751+E756+E764+E766+SUM(E776:E781)</f>
        <v>39197332.780000001</v>
      </c>
      <c r="F746" s="304">
        <f>F747+F751+F756+F764+F766+SUM(F776:F781)</f>
        <v>22235165.719999999</v>
      </c>
      <c r="G746" s="114">
        <f>G747+G751+G756+G764+G766+SUM(G776:G781)</f>
        <v>39060000</v>
      </c>
    </row>
    <row r="747" spans="1:7" ht="12.75" hidden="1" customHeight="1" x14ac:dyDescent="0.2">
      <c r="A747" s="443"/>
      <c r="B747" s="473" t="s">
        <v>839</v>
      </c>
      <c r="C747" s="490">
        <f>SUM(C748:C750)</f>
        <v>7950000</v>
      </c>
      <c r="D747" s="491">
        <f>SUM(D748:D750)</f>
        <v>8077000</v>
      </c>
      <c r="E747" s="491">
        <f>SUM(E748:E750)</f>
        <v>8077000</v>
      </c>
      <c r="F747" s="496">
        <f>SUM(F748:F750)</f>
        <v>3758467.68</v>
      </c>
      <c r="G747" s="497">
        <f>SUM(G748:G750)</f>
        <v>7250000</v>
      </c>
    </row>
    <row r="748" spans="1:7" ht="12.75" hidden="1" customHeight="1" x14ac:dyDescent="0.2">
      <c r="A748" s="471"/>
      <c r="B748" s="453" t="s">
        <v>840</v>
      </c>
      <c r="C748" s="452">
        <v>5750000</v>
      </c>
      <c r="D748" s="454">
        <v>5750000</v>
      </c>
      <c r="E748" s="455">
        <v>5750000</v>
      </c>
      <c r="F748" s="304">
        <v>3431421.48</v>
      </c>
      <c r="G748" s="113">
        <v>5750000</v>
      </c>
    </row>
    <row r="749" spans="1:7" ht="12.75" hidden="1" customHeight="1" x14ac:dyDescent="0.2">
      <c r="A749" s="471"/>
      <c r="B749" s="472" t="s">
        <v>841</v>
      </c>
      <c r="C749" s="452">
        <v>2000000</v>
      </c>
      <c r="D749" s="454">
        <v>2000000</v>
      </c>
      <c r="E749" s="455">
        <v>2000000</v>
      </c>
      <c r="F749" s="304">
        <v>0</v>
      </c>
      <c r="G749" s="113">
        <v>1500000</v>
      </c>
    </row>
    <row r="750" spans="1:7" ht="12.75" hidden="1" customHeight="1" x14ac:dyDescent="0.2">
      <c r="A750" s="471"/>
      <c r="B750" s="472" t="s">
        <v>842</v>
      </c>
      <c r="C750" s="452">
        <v>200000</v>
      </c>
      <c r="D750" s="478">
        <v>327000</v>
      </c>
      <c r="E750" s="479">
        <v>327000</v>
      </c>
      <c r="F750" s="304">
        <v>327046.2</v>
      </c>
      <c r="G750" s="113">
        <v>0</v>
      </c>
    </row>
    <row r="751" spans="1:7" ht="12.75" hidden="1" customHeight="1" x14ac:dyDescent="0.2">
      <c r="A751" s="443"/>
      <c r="B751" s="472" t="s">
        <v>843</v>
      </c>
      <c r="C751" s="497">
        <f>SUM(C752:C753)</f>
        <v>1500000</v>
      </c>
      <c r="D751" s="491">
        <f>SUM(D752:D753)</f>
        <v>1500000</v>
      </c>
      <c r="E751" s="491">
        <f>SUM(E752:E753)</f>
        <v>1500000</v>
      </c>
      <c r="F751" s="496">
        <f>SUM(F752:F753)</f>
        <v>629041</v>
      </c>
      <c r="G751" s="497">
        <f>G752+G753</f>
        <v>3300000</v>
      </c>
    </row>
    <row r="752" spans="1:7" ht="12.75" hidden="1" customHeight="1" x14ac:dyDescent="0.2">
      <c r="A752" s="471"/>
      <c r="B752" s="472" t="s">
        <v>844</v>
      </c>
      <c r="C752" s="452">
        <v>1500000</v>
      </c>
      <c r="D752" s="454">
        <v>1500000</v>
      </c>
      <c r="E752" s="468">
        <v>1500000</v>
      </c>
      <c r="F752" s="304">
        <v>629041</v>
      </c>
      <c r="G752" s="113">
        <v>2000000</v>
      </c>
    </row>
    <row r="753" spans="1:7" ht="12.75" hidden="1" customHeight="1" x14ac:dyDescent="0.2">
      <c r="A753" s="471"/>
      <c r="B753" s="472" t="s">
        <v>845</v>
      </c>
      <c r="C753" s="452">
        <f>SUM(C754:C755)</f>
        <v>0</v>
      </c>
      <c r="D753" s="454">
        <f>SUM(D754:D755)</f>
        <v>0</v>
      </c>
      <c r="E753" s="468">
        <v>0</v>
      </c>
      <c r="F753" s="498">
        <f>SUM(F754:F755)</f>
        <v>0</v>
      </c>
      <c r="G753" s="452">
        <f>SUM(G754:G755)</f>
        <v>1300000</v>
      </c>
    </row>
    <row r="754" spans="1:7" s="488" customFormat="1" ht="12.75" hidden="1" customHeight="1" x14ac:dyDescent="0.2">
      <c r="A754" s="489"/>
      <c r="B754" s="499" t="s">
        <v>846</v>
      </c>
      <c r="C754" s="497"/>
      <c r="D754" s="491"/>
      <c r="E754" s="500"/>
      <c r="F754" s="501"/>
      <c r="G754" s="502">
        <v>300000</v>
      </c>
    </row>
    <row r="755" spans="1:7" s="488" customFormat="1" ht="12.75" hidden="1" customHeight="1" x14ac:dyDescent="0.2">
      <c r="A755" s="489"/>
      <c r="B755" s="499" t="s">
        <v>847</v>
      </c>
      <c r="C755" s="452"/>
      <c r="D755" s="454"/>
      <c r="E755" s="468"/>
      <c r="F755" s="503"/>
      <c r="G755" s="504">
        <v>1000000</v>
      </c>
    </row>
    <row r="756" spans="1:7" s="488" customFormat="1" ht="12.75" hidden="1" customHeight="1" x14ac:dyDescent="0.2">
      <c r="A756" s="471"/>
      <c r="B756" s="472" t="s">
        <v>848</v>
      </c>
      <c r="C756" s="497">
        <f>SUM(C757:C758)</f>
        <v>4100000</v>
      </c>
      <c r="D756" s="491">
        <f>SUM(D757:D758)</f>
        <v>3293365</v>
      </c>
      <c r="E756" s="491">
        <f>SUM(E757:E758)</f>
        <v>3353907.7800000003</v>
      </c>
      <c r="F756" s="496">
        <f>SUM(F757:F758)</f>
        <v>3099279.41</v>
      </c>
      <c r="G756" s="497">
        <f>G757+G758</f>
        <v>3100000</v>
      </c>
    </row>
    <row r="757" spans="1:7" ht="12.75" hidden="1" customHeight="1" x14ac:dyDescent="0.2">
      <c r="A757" s="471"/>
      <c r="B757" s="505" t="s">
        <v>844</v>
      </c>
      <c r="C757" s="459">
        <v>2000000</v>
      </c>
      <c r="D757" s="478">
        <f>2000000-6635</f>
        <v>1993365</v>
      </c>
      <c r="E757" s="506">
        <v>2000000</v>
      </c>
      <c r="F757" s="304">
        <v>1745387.63</v>
      </c>
      <c r="G757" s="507">
        <v>2500000</v>
      </c>
    </row>
    <row r="758" spans="1:7" ht="12.75" hidden="1" customHeight="1" x14ac:dyDescent="0.2">
      <c r="A758" s="471"/>
      <c r="B758" s="508" t="s">
        <v>849</v>
      </c>
      <c r="C758" s="509">
        <f>SUM(C759:C763)</f>
        <v>2100000</v>
      </c>
      <c r="D758" s="454">
        <f>SUM(D759:D763)</f>
        <v>1300000</v>
      </c>
      <c r="E758" s="454">
        <f>SUM(E759:E763)</f>
        <v>1353907.78</v>
      </c>
      <c r="F758" s="498">
        <v>1353891.78</v>
      </c>
      <c r="G758" s="509">
        <f>SUM(G759:G763)</f>
        <v>600000</v>
      </c>
    </row>
    <row r="759" spans="1:7" ht="12.75" hidden="1" customHeight="1" x14ac:dyDescent="0.2">
      <c r="A759" s="489"/>
      <c r="B759" s="453" t="s">
        <v>850</v>
      </c>
      <c r="C759" s="450">
        <v>1300000</v>
      </c>
      <c r="D759" s="454">
        <v>1300000</v>
      </c>
      <c r="E759" s="455">
        <v>1353907.78</v>
      </c>
      <c r="F759" s="498">
        <f>SUM(F760:F763)</f>
        <v>0</v>
      </c>
      <c r="G759" s="452">
        <v>0</v>
      </c>
    </row>
    <row r="760" spans="1:7" s="488" customFormat="1" ht="12.75" hidden="1" customHeight="1" x14ac:dyDescent="0.2">
      <c r="A760" s="489"/>
      <c r="B760" s="453" t="s">
        <v>851</v>
      </c>
      <c r="C760" s="450">
        <v>800000</v>
      </c>
      <c r="D760" s="454">
        <f>800000-800000</f>
        <v>0</v>
      </c>
      <c r="E760" s="468">
        <v>0</v>
      </c>
      <c r="F760" s="304">
        <v>0</v>
      </c>
      <c r="G760" s="113">
        <v>0</v>
      </c>
    </row>
    <row r="761" spans="1:7" s="488" customFormat="1" ht="12.75" hidden="1" customHeight="1" x14ac:dyDescent="0.2">
      <c r="A761" s="489"/>
      <c r="B761" s="453" t="s">
        <v>852</v>
      </c>
      <c r="C761" s="452"/>
      <c r="D761" s="454"/>
      <c r="E761" s="455"/>
      <c r="F761" s="510"/>
      <c r="G761" s="374">
        <v>300000</v>
      </c>
    </row>
    <row r="762" spans="1:7" s="488" customFormat="1" ht="12.75" hidden="1" customHeight="1" x14ac:dyDescent="0.2">
      <c r="A762" s="489"/>
      <c r="B762" s="511" t="s">
        <v>853</v>
      </c>
      <c r="C762" s="452"/>
      <c r="D762" s="454"/>
      <c r="E762" s="455"/>
      <c r="F762" s="510"/>
      <c r="G762" s="393">
        <v>300000</v>
      </c>
    </row>
    <row r="763" spans="1:7" s="488" customFormat="1" ht="12.75" hidden="1" customHeight="1" x14ac:dyDescent="0.2">
      <c r="A763" s="489"/>
      <c r="B763" s="453" t="s">
        <v>854</v>
      </c>
      <c r="C763" s="452"/>
      <c r="D763" s="454"/>
      <c r="E763" s="455"/>
      <c r="F763" s="510"/>
      <c r="G763" s="393">
        <v>0</v>
      </c>
    </row>
    <row r="764" spans="1:7" s="488" customFormat="1" ht="12.75" hidden="1" customHeight="1" x14ac:dyDescent="0.2">
      <c r="A764" s="471"/>
      <c r="B764" s="449" t="s">
        <v>855</v>
      </c>
      <c r="C764" s="497">
        <f>SUM(C765:C765)</f>
        <v>600000</v>
      </c>
      <c r="D764" s="491">
        <f>SUM(D765:D765)</f>
        <v>473000</v>
      </c>
      <c r="E764" s="491">
        <f>SUM(E765:E765)</f>
        <v>473000</v>
      </c>
      <c r="F764" s="512">
        <f>SUM(F765:F765)</f>
        <v>117051.4</v>
      </c>
      <c r="G764" s="513">
        <v>0</v>
      </c>
    </row>
    <row r="765" spans="1:7" ht="12.75" hidden="1" customHeight="1" x14ac:dyDescent="0.2">
      <c r="A765" s="471"/>
      <c r="B765" s="449" t="s">
        <v>856</v>
      </c>
      <c r="C765" s="452">
        <v>600000</v>
      </c>
      <c r="D765" s="454">
        <v>473000</v>
      </c>
      <c r="E765" s="455">
        <v>473000</v>
      </c>
      <c r="F765" s="304">
        <v>117051.4</v>
      </c>
      <c r="G765" s="114">
        <v>0</v>
      </c>
    </row>
    <row r="766" spans="1:7" ht="12.75" hidden="1" customHeight="1" x14ac:dyDescent="0.2">
      <c r="A766" s="471"/>
      <c r="B766" s="472" t="s">
        <v>857</v>
      </c>
      <c r="C766" s="497">
        <f>C767+C768</f>
        <v>5500000</v>
      </c>
      <c r="D766" s="491">
        <f>D767+D768</f>
        <v>3391000</v>
      </c>
      <c r="E766" s="491">
        <f>E767+E768</f>
        <v>3133425</v>
      </c>
      <c r="F766" s="496">
        <f>F767+F768</f>
        <v>1795955.96</v>
      </c>
      <c r="G766" s="490">
        <f>G767+G768</f>
        <v>2500000</v>
      </c>
    </row>
    <row r="767" spans="1:7" ht="12.75" hidden="1" customHeight="1" x14ac:dyDescent="0.2">
      <c r="A767" s="471"/>
      <c r="B767" s="449" t="s">
        <v>858</v>
      </c>
      <c r="C767" s="452">
        <v>1500000</v>
      </c>
      <c r="D767" s="454">
        <v>1891000</v>
      </c>
      <c r="E767" s="455">
        <v>1891000</v>
      </c>
      <c r="F767" s="304">
        <v>853530.95</v>
      </c>
      <c r="G767" s="114">
        <v>1500000</v>
      </c>
    </row>
    <row r="768" spans="1:7" ht="12.75" hidden="1" customHeight="1" x14ac:dyDescent="0.2">
      <c r="A768" s="471"/>
      <c r="B768" s="514" t="s">
        <v>859</v>
      </c>
      <c r="C768" s="452">
        <f>SUM(C769:C775)</f>
        <v>4000000</v>
      </c>
      <c r="D768" s="454">
        <f>SUM(D769:D775)</f>
        <v>1500000</v>
      </c>
      <c r="E768" s="454">
        <f>SUM(E769:E775)</f>
        <v>1242425</v>
      </c>
      <c r="F768" s="498">
        <f>SUM(F769:F775)</f>
        <v>942425.01</v>
      </c>
      <c r="G768" s="450">
        <f>SUM(G769:G775)</f>
        <v>1000000</v>
      </c>
    </row>
    <row r="769" spans="1:7" ht="12.75" hidden="1" customHeight="1" x14ac:dyDescent="0.2">
      <c r="A769" s="489"/>
      <c r="B769" s="514" t="s">
        <v>860</v>
      </c>
      <c r="C769" s="452">
        <v>500000</v>
      </c>
      <c r="D769" s="454">
        <v>0</v>
      </c>
      <c r="E769" s="455">
        <v>0</v>
      </c>
      <c r="F769" s="498">
        <v>0</v>
      </c>
      <c r="G769" s="450">
        <v>0</v>
      </c>
    </row>
    <row r="770" spans="1:7" s="488" customFormat="1" ht="12.75" hidden="1" customHeight="1" x14ac:dyDescent="0.2">
      <c r="A770" s="489"/>
      <c r="B770" s="515" t="s">
        <v>861</v>
      </c>
      <c r="C770" s="450">
        <v>1500000</v>
      </c>
      <c r="D770" s="454">
        <f>1500000-300000</f>
        <v>1200000</v>
      </c>
      <c r="E770" s="455">
        <v>942425</v>
      </c>
      <c r="F770" s="304">
        <v>942425.01</v>
      </c>
      <c r="G770" s="114">
        <v>0</v>
      </c>
    </row>
    <row r="771" spans="1:7" s="488" customFormat="1" ht="12.75" hidden="1" customHeight="1" x14ac:dyDescent="0.2">
      <c r="A771" s="489"/>
      <c r="B771" s="515" t="s">
        <v>862</v>
      </c>
      <c r="C771" s="452">
        <v>500000</v>
      </c>
      <c r="D771" s="454">
        <f t="shared" ref="D771:D772" si="8">500000-400000</f>
        <v>100000</v>
      </c>
      <c r="E771" s="455">
        <v>100000</v>
      </c>
      <c r="F771" s="304">
        <v>0</v>
      </c>
      <c r="G771" s="114">
        <v>0</v>
      </c>
    </row>
    <row r="772" spans="1:7" s="488" customFormat="1" ht="12.75" hidden="1" customHeight="1" x14ac:dyDescent="0.2">
      <c r="A772" s="489"/>
      <c r="B772" s="516" t="s">
        <v>863</v>
      </c>
      <c r="C772" s="450">
        <v>500000</v>
      </c>
      <c r="D772" s="454">
        <f t="shared" si="8"/>
        <v>100000</v>
      </c>
      <c r="E772" s="455">
        <v>100000</v>
      </c>
      <c r="F772" s="304">
        <v>0</v>
      </c>
      <c r="G772" s="114">
        <v>0</v>
      </c>
    </row>
    <row r="773" spans="1:7" s="488" customFormat="1" ht="12.75" hidden="1" customHeight="1" x14ac:dyDescent="0.2">
      <c r="A773" s="489"/>
      <c r="B773" s="515" t="s">
        <v>864</v>
      </c>
      <c r="C773" s="450">
        <v>1000000</v>
      </c>
      <c r="D773" s="454">
        <f>1000000-900000</f>
        <v>100000</v>
      </c>
      <c r="E773" s="455">
        <v>100000</v>
      </c>
      <c r="F773" s="304">
        <v>0</v>
      </c>
      <c r="G773" s="113">
        <v>0</v>
      </c>
    </row>
    <row r="774" spans="1:7" s="488" customFormat="1" ht="12.75" hidden="1" customHeight="1" x14ac:dyDescent="0.2">
      <c r="A774" s="489"/>
      <c r="B774" s="515" t="s">
        <v>865</v>
      </c>
      <c r="C774" s="450"/>
      <c r="D774" s="454"/>
      <c r="E774" s="455"/>
      <c r="F774" s="304"/>
      <c r="G774" s="114">
        <v>500000</v>
      </c>
    </row>
    <row r="775" spans="1:7" s="488" customFormat="1" ht="12.75" hidden="1" customHeight="1" x14ac:dyDescent="0.2">
      <c r="A775" s="489"/>
      <c r="B775" s="517" t="s">
        <v>866</v>
      </c>
      <c r="C775" s="450"/>
      <c r="D775" s="454"/>
      <c r="E775" s="455"/>
      <c r="F775" s="304"/>
      <c r="G775" s="113">
        <v>500000</v>
      </c>
    </row>
    <row r="776" spans="1:7" s="488" customFormat="1" ht="12.75" hidden="1" customHeight="1" x14ac:dyDescent="0.2">
      <c r="A776" s="471"/>
      <c r="B776" s="514" t="s">
        <v>867</v>
      </c>
      <c r="C776" s="450">
        <v>100000</v>
      </c>
      <c r="D776" s="454">
        <f>100000-90000</f>
        <v>10000</v>
      </c>
      <c r="E776" s="455">
        <v>0</v>
      </c>
      <c r="F776" s="304">
        <v>0</v>
      </c>
      <c r="G776" s="114">
        <v>0</v>
      </c>
    </row>
    <row r="777" spans="1:7" s="488" customFormat="1" ht="12.75" hidden="1" customHeight="1" x14ac:dyDescent="0.2">
      <c r="A777" s="471"/>
      <c r="B777" s="449" t="s">
        <v>868</v>
      </c>
      <c r="C777" s="450">
        <v>260000</v>
      </c>
      <c r="D777" s="454">
        <v>260000</v>
      </c>
      <c r="E777" s="455">
        <v>260000</v>
      </c>
      <c r="F777" s="304">
        <v>119984</v>
      </c>
      <c r="G777" s="114">
        <v>260000</v>
      </c>
    </row>
    <row r="778" spans="1:7" ht="12.75" hidden="1" customHeight="1" x14ac:dyDescent="0.2">
      <c r="A778" s="471"/>
      <c r="B778" s="453" t="s">
        <v>869</v>
      </c>
      <c r="C778" s="450">
        <v>2850000</v>
      </c>
      <c r="D778" s="478">
        <f>2850000+6635</f>
        <v>2856635</v>
      </c>
      <c r="E778" s="479">
        <v>2300000</v>
      </c>
      <c r="F778" s="304">
        <v>1247627.56</v>
      </c>
      <c r="G778" s="114">
        <v>2500000</v>
      </c>
    </row>
    <row r="779" spans="1:7" ht="12.75" hidden="1" customHeight="1" x14ac:dyDescent="0.2">
      <c r="A779" s="471"/>
      <c r="B779" s="453" t="s">
        <v>870</v>
      </c>
      <c r="C779" s="450">
        <v>100000</v>
      </c>
      <c r="D779" s="454">
        <v>100000</v>
      </c>
      <c r="E779" s="455">
        <v>100000</v>
      </c>
      <c r="F779" s="304">
        <f>54064+6634.92</f>
        <v>60698.92</v>
      </c>
      <c r="G779" s="114">
        <v>100000</v>
      </c>
    </row>
    <row r="780" spans="1:7" ht="12.75" hidden="1" customHeight="1" x14ac:dyDescent="0.2">
      <c r="A780" s="471"/>
      <c r="B780" s="453" t="s">
        <v>871</v>
      </c>
      <c r="C780" s="450">
        <v>22100000</v>
      </c>
      <c r="D780" s="454">
        <v>22100000</v>
      </c>
      <c r="E780" s="455">
        <v>20000000</v>
      </c>
      <c r="F780" s="304">
        <v>11407059.789999999</v>
      </c>
      <c r="G780" s="114">
        <v>20000000</v>
      </c>
    </row>
    <row r="781" spans="1:7" ht="12.75" hidden="1" customHeight="1" x14ac:dyDescent="0.2">
      <c r="A781" s="518"/>
      <c r="B781" s="514" t="s">
        <v>872</v>
      </c>
      <c r="C781" s="450"/>
      <c r="D781" s="454"/>
      <c r="E781" s="455"/>
      <c r="F781" s="304"/>
      <c r="G781" s="114">
        <v>50000</v>
      </c>
    </row>
    <row r="782" spans="1:7" ht="12.75" hidden="1" customHeight="1" x14ac:dyDescent="0.2">
      <c r="A782" s="519">
        <v>3613</v>
      </c>
      <c r="B782" s="444" t="s">
        <v>873</v>
      </c>
      <c r="C782" s="447">
        <f>SUM(C783,C796,C797,C798,C815,C803,C816,C843)</f>
        <v>104815000</v>
      </c>
      <c r="D782" s="469">
        <f>SUM(D783,D796,D797,D798,D815,D803,D816,D843)</f>
        <v>34680450</v>
      </c>
      <c r="E782" s="469">
        <f>SUM(E783,E796,E797,E798,E815,E803,E816,E843)</f>
        <v>29164602.560000002</v>
      </c>
      <c r="F782" s="301">
        <f>SUM(F783,F796,F797,F798,F815,F803,F816,F843)</f>
        <v>11547335.569999998</v>
      </c>
      <c r="G782" s="105">
        <f>G783+G796+G797+G798+G803+G816+G817</f>
        <v>22809000</v>
      </c>
    </row>
    <row r="783" spans="1:7" ht="12.75" hidden="1" customHeight="1" x14ac:dyDescent="0.2">
      <c r="A783" s="520"/>
      <c r="B783" s="449" t="s">
        <v>874</v>
      </c>
      <c r="C783" s="490">
        <f>SUM(C784:C790)</f>
        <v>81680000</v>
      </c>
      <c r="D783" s="491">
        <f>SUM(D784:D790)</f>
        <v>13287000</v>
      </c>
      <c r="E783" s="491">
        <f>SUM(E784:E790)</f>
        <v>10861152.560000001</v>
      </c>
      <c r="F783" s="521">
        <f>SUM(F784:F795)</f>
        <v>5167417.13</v>
      </c>
      <c r="G783" s="497">
        <f>SUM(G784:G795)</f>
        <v>6843000</v>
      </c>
    </row>
    <row r="784" spans="1:7" s="2" customFormat="1" ht="12.75" hidden="1" customHeight="1" x14ac:dyDescent="0.2">
      <c r="A784" s="443"/>
      <c r="B784" s="453" t="s">
        <v>875</v>
      </c>
      <c r="C784" s="452">
        <f>4000000-500000</f>
        <v>3500000</v>
      </c>
      <c r="D784" s="454">
        <f>4000000-500000+500000</f>
        <v>4000000</v>
      </c>
      <c r="E784" s="455">
        <v>4000000</v>
      </c>
      <c r="F784" s="522">
        <v>5808</v>
      </c>
      <c r="G784" s="523">
        <v>0</v>
      </c>
    </row>
    <row r="785" spans="1:7" ht="12.75" hidden="1" customHeight="1" x14ac:dyDescent="0.2">
      <c r="A785" s="443"/>
      <c r="B785" s="453" t="s">
        <v>876</v>
      </c>
      <c r="C785" s="452"/>
      <c r="D785" s="454"/>
      <c r="E785" s="455"/>
      <c r="F785" s="522"/>
      <c r="G785" s="523">
        <v>750000</v>
      </c>
    </row>
    <row r="786" spans="1:7" ht="12.75" hidden="1" customHeight="1" x14ac:dyDescent="0.2">
      <c r="A786" s="443"/>
      <c r="B786" s="524" t="s">
        <v>877</v>
      </c>
      <c r="C786" s="450">
        <v>68000000</v>
      </c>
      <c r="D786" s="454">
        <f>68000000-13486022-53513978</f>
        <v>1000000</v>
      </c>
      <c r="E786" s="455">
        <v>0</v>
      </c>
      <c r="F786" s="498">
        <v>0</v>
      </c>
      <c r="G786" s="450">
        <v>500000</v>
      </c>
    </row>
    <row r="787" spans="1:7" ht="12.75" hidden="1" customHeight="1" x14ac:dyDescent="0.2">
      <c r="A787" s="443"/>
      <c r="B787" s="525" t="s">
        <v>878</v>
      </c>
      <c r="C787" s="450">
        <v>2000000</v>
      </c>
      <c r="D787" s="454">
        <f>2000000-1500000</f>
        <v>500000</v>
      </c>
      <c r="E787" s="455">
        <v>0</v>
      </c>
      <c r="F787" s="498">
        <v>0</v>
      </c>
      <c r="G787" s="450">
        <v>100000</v>
      </c>
    </row>
    <row r="788" spans="1:7" ht="12.75" hidden="1" customHeight="1" x14ac:dyDescent="0.2">
      <c r="A788" s="443"/>
      <c r="B788" s="525" t="s">
        <v>879</v>
      </c>
      <c r="C788" s="450">
        <v>5500000</v>
      </c>
      <c r="D788" s="454">
        <v>5500000</v>
      </c>
      <c r="E788" s="455">
        <v>5122889.3</v>
      </c>
      <c r="F788" s="304">
        <v>5122889.13</v>
      </c>
      <c r="G788" s="114">
        <v>0</v>
      </c>
    </row>
    <row r="789" spans="1:7" ht="12.75" hidden="1" customHeight="1" x14ac:dyDescent="0.2">
      <c r="A789" s="519"/>
      <c r="B789" s="524" t="s">
        <v>880</v>
      </c>
      <c r="C789" s="450">
        <v>500000</v>
      </c>
      <c r="D789" s="454">
        <v>500000</v>
      </c>
      <c r="E789" s="455">
        <v>730000</v>
      </c>
      <c r="F789" s="304">
        <v>38720</v>
      </c>
      <c r="G789" s="114">
        <v>0</v>
      </c>
    </row>
    <row r="790" spans="1:7" ht="12.75" hidden="1" customHeight="1" x14ac:dyDescent="0.2">
      <c r="A790" s="519"/>
      <c r="B790" s="525" t="s">
        <v>881</v>
      </c>
      <c r="C790" s="450">
        <v>2180000</v>
      </c>
      <c r="D790" s="454">
        <f>2180000-393000</f>
        <v>1787000</v>
      </c>
      <c r="E790" s="455">
        <v>1008263.26</v>
      </c>
      <c r="F790" s="304">
        <v>0</v>
      </c>
      <c r="G790" s="114">
        <v>393000</v>
      </c>
    </row>
    <row r="791" spans="1:7" ht="12.75" hidden="1" customHeight="1" x14ac:dyDescent="0.2">
      <c r="A791" s="519"/>
      <c r="B791" s="449" t="s">
        <v>882</v>
      </c>
      <c r="C791" s="452"/>
      <c r="D791" s="454"/>
      <c r="E791" s="455"/>
      <c r="F791" s="304"/>
      <c r="G791" s="114">
        <v>2300000</v>
      </c>
    </row>
    <row r="792" spans="1:7" ht="12.75" hidden="1" customHeight="1" x14ac:dyDescent="0.2">
      <c r="A792" s="519"/>
      <c r="B792" s="524" t="s">
        <v>883</v>
      </c>
      <c r="C792" s="452"/>
      <c r="D792" s="454"/>
      <c r="E792" s="455"/>
      <c r="F792" s="304"/>
      <c r="G792" s="114">
        <v>100000</v>
      </c>
    </row>
    <row r="793" spans="1:7" ht="12.75" hidden="1" customHeight="1" x14ac:dyDescent="0.2">
      <c r="A793" s="519"/>
      <c r="B793" s="525" t="s">
        <v>884</v>
      </c>
      <c r="C793" s="497"/>
      <c r="D793" s="454"/>
      <c r="E793" s="455"/>
      <c r="F793" s="304"/>
      <c r="G793" s="114">
        <v>0</v>
      </c>
    </row>
    <row r="794" spans="1:7" ht="12.75" hidden="1" customHeight="1" x14ac:dyDescent="0.2">
      <c r="A794" s="519"/>
      <c r="B794" s="449" t="s">
        <v>885</v>
      </c>
      <c r="C794" s="497"/>
      <c r="D794" s="454"/>
      <c r="E794" s="455"/>
      <c r="F794" s="304"/>
      <c r="G794" s="113">
        <v>2000000</v>
      </c>
    </row>
    <row r="795" spans="1:7" ht="12.75" hidden="1" customHeight="1" x14ac:dyDescent="0.2">
      <c r="A795" s="519"/>
      <c r="B795" s="449" t="s">
        <v>886</v>
      </c>
      <c r="C795" s="497"/>
      <c r="D795" s="454"/>
      <c r="E795" s="455"/>
      <c r="F795" s="304"/>
      <c r="G795" s="114">
        <v>700000</v>
      </c>
    </row>
    <row r="796" spans="1:7" ht="12.75" hidden="1" customHeight="1" x14ac:dyDescent="0.2">
      <c r="A796" s="520"/>
      <c r="B796" s="526" t="s">
        <v>887</v>
      </c>
      <c r="C796" s="497">
        <v>30000</v>
      </c>
      <c r="D796" s="491">
        <v>30000</v>
      </c>
      <c r="E796" s="492">
        <v>30000</v>
      </c>
      <c r="F796" s="301">
        <v>0</v>
      </c>
      <c r="G796" s="114">
        <v>30000</v>
      </c>
    </row>
    <row r="797" spans="1:7" ht="12.75" hidden="1" customHeight="1" x14ac:dyDescent="0.2">
      <c r="A797" s="520"/>
      <c r="B797" s="526" t="s">
        <v>888</v>
      </c>
      <c r="C797" s="497">
        <v>50000</v>
      </c>
      <c r="D797" s="491">
        <v>50000</v>
      </c>
      <c r="E797" s="492">
        <v>50000</v>
      </c>
      <c r="F797" s="301">
        <v>1434</v>
      </c>
      <c r="G797" s="114">
        <v>50000</v>
      </c>
    </row>
    <row r="798" spans="1:7" ht="12.75" hidden="1" customHeight="1" x14ac:dyDescent="0.2">
      <c r="A798" s="520"/>
      <c r="B798" s="526" t="s">
        <v>889</v>
      </c>
      <c r="C798" s="497">
        <f>SUM(C799:C802)</f>
        <v>6270000</v>
      </c>
      <c r="D798" s="491">
        <f>SUM(D799:D802)</f>
        <v>6270000</v>
      </c>
      <c r="E798" s="491">
        <f>SUM(E799:E802)</f>
        <v>5100000</v>
      </c>
      <c r="F798" s="301">
        <f>SUM(F799:F802)</f>
        <v>2588757.64</v>
      </c>
      <c r="G798" s="114">
        <f>SUM(G799:G802)</f>
        <v>5100000</v>
      </c>
    </row>
    <row r="799" spans="1:7" ht="12.75" hidden="1" customHeight="1" x14ac:dyDescent="0.2">
      <c r="A799" s="443"/>
      <c r="B799" s="514" t="s">
        <v>890</v>
      </c>
      <c r="C799" s="497">
        <v>970000</v>
      </c>
      <c r="D799" s="454">
        <v>970000</v>
      </c>
      <c r="E799" s="455">
        <v>800000</v>
      </c>
      <c r="F799" s="498">
        <v>389232.65</v>
      </c>
      <c r="G799" s="452">
        <v>800000</v>
      </c>
    </row>
    <row r="800" spans="1:7" ht="12.75" hidden="1" customHeight="1" x14ac:dyDescent="0.2">
      <c r="A800" s="443"/>
      <c r="B800" s="514" t="s">
        <v>891</v>
      </c>
      <c r="C800" s="490">
        <v>2000000</v>
      </c>
      <c r="D800" s="454">
        <v>2000000</v>
      </c>
      <c r="E800" s="468">
        <v>1500000</v>
      </c>
      <c r="F800" s="498">
        <v>624560.66</v>
      </c>
      <c r="G800" s="452">
        <v>1500000</v>
      </c>
    </row>
    <row r="801" spans="1:7" ht="12.75" hidden="1" customHeight="1" x14ac:dyDescent="0.2">
      <c r="A801" s="443"/>
      <c r="B801" s="514" t="s">
        <v>892</v>
      </c>
      <c r="C801" s="497">
        <v>1200000</v>
      </c>
      <c r="D801" s="454">
        <v>1200000</v>
      </c>
      <c r="E801" s="468">
        <v>1100000</v>
      </c>
      <c r="F801" s="498">
        <v>522246.79</v>
      </c>
      <c r="G801" s="452">
        <v>1100000</v>
      </c>
    </row>
    <row r="802" spans="1:7" ht="12.75" hidden="1" customHeight="1" x14ac:dyDescent="0.2">
      <c r="A802" s="443"/>
      <c r="B802" s="514" t="s">
        <v>893</v>
      </c>
      <c r="C802" s="450">
        <v>2100000</v>
      </c>
      <c r="D802" s="454">
        <v>2100000</v>
      </c>
      <c r="E802" s="468">
        <v>1700000</v>
      </c>
      <c r="F802" s="304">
        <v>1052717.54</v>
      </c>
      <c r="G802" s="113">
        <v>1700000</v>
      </c>
    </row>
    <row r="803" spans="1:7" ht="12.75" hidden="1" customHeight="1" x14ac:dyDescent="0.2">
      <c r="A803" s="520"/>
      <c r="B803" s="526" t="s">
        <v>894</v>
      </c>
      <c r="C803" s="490">
        <f>SUM(C804:C815)</f>
        <v>4635000</v>
      </c>
      <c r="D803" s="491">
        <f>SUM(D804:D815)</f>
        <v>4093450</v>
      </c>
      <c r="E803" s="491">
        <f>SUM(E804:E815)</f>
        <v>3553450</v>
      </c>
      <c r="F803" s="301">
        <f>SUM(F804:F815)</f>
        <v>2181359.8199999998</v>
      </c>
      <c r="G803" s="113">
        <f>SUM(G804:G815)</f>
        <v>4250000</v>
      </c>
    </row>
    <row r="804" spans="1:7" ht="12.75" hidden="1" customHeight="1" x14ac:dyDescent="0.2">
      <c r="A804" s="443"/>
      <c r="B804" s="527" t="s">
        <v>895</v>
      </c>
      <c r="C804" s="459">
        <v>100000</v>
      </c>
      <c r="D804" s="454">
        <v>100000</v>
      </c>
      <c r="E804" s="528">
        <v>60000</v>
      </c>
      <c r="F804" s="304">
        <v>0</v>
      </c>
      <c r="G804" s="114">
        <v>0</v>
      </c>
    </row>
    <row r="805" spans="1:7" ht="12.75" hidden="1" customHeight="1" x14ac:dyDescent="0.2">
      <c r="A805" s="443"/>
      <c r="B805" s="508" t="s">
        <v>896</v>
      </c>
      <c r="C805" s="509">
        <v>700000</v>
      </c>
      <c r="D805" s="454">
        <f>700000-550000</f>
        <v>150000</v>
      </c>
      <c r="E805" s="529">
        <v>100000</v>
      </c>
      <c r="F805" s="304">
        <v>0</v>
      </c>
      <c r="G805" s="113">
        <v>200000</v>
      </c>
    </row>
    <row r="806" spans="1:7" ht="12.75" hidden="1" customHeight="1" x14ac:dyDescent="0.2">
      <c r="A806" s="443"/>
      <c r="B806" s="449" t="s">
        <v>897</v>
      </c>
      <c r="C806" s="452">
        <v>50000</v>
      </c>
      <c r="D806" s="454">
        <v>50000</v>
      </c>
      <c r="E806" s="455">
        <v>0</v>
      </c>
      <c r="F806" s="304">
        <v>0</v>
      </c>
      <c r="G806" s="113">
        <v>50000</v>
      </c>
    </row>
    <row r="807" spans="1:7" ht="12.75" hidden="1" customHeight="1" x14ac:dyDescent="0.2">
      <c r="A807" s="443"/>
      <c r="B807" s="514" t="s">
        <v>898</v>
      </c>
      <c r="C807" s="452">
        <v>1200000</v>
      </c>
      <c r="D807" s="454">
        <v>1200000</v>
      </c>
      <c r="E807" s="468">
        <v>1200000</v>
      </c>
      <c r="F807" s="304">
        <v>829202.6</v>
      </c>
      <c r="G807" s="113">
        <v>1300000</v>
      </c>
    </row>
    <row r="808" spans="1:7" ht="12.75" hidden="1" customHeight="1" x14ac:dyDescent="0.2">
      <c r="A808" s="443"/>
      <c r="B808" s="525" t="s">
        <v>899</v>
      </c>
      <c r="C808" s="452">
        <f>100000+200000</f>
        <v>300000</v>
      </c>
      <c r="D808" s="454">
        <f>100000+200000</f>
        <v>300000</v>
      </c>
      <c r="E808" s="455">
        <v>0</v>
      </c>
      <c r="F808" s="304">
        <v>45548.22</v>
      </c>
      <c r="G808" s="113">
        <v>0</v>
      </c>
    </row>
    <row r="809" spans="1:7" ht="12.75" hidden="1" customHeight="1" x14ac:dyDescent="0.2">
      <c r="A809" s="443"/>
      <c r="B809" s="472" t="s">
        <v>900</v>
      </c>
      <c r="C809" s="450">
        <v>100000</v>
      </c>
      <c r="D809" s="454">
        <v>100000</v>
      </c>
      <c r="E809" s="455">
        <v>0</v>
      </c>
      <c r="F809" s="304">
        <v>8712</v>
      </c>
      <c r="G809" s="113">
        <v>100000</v>
      </c>
    </row>
    <row r="810" spans="1:7" ht="12.75" hidden="1" customHeight="1" x14ac:dyDescent="0.2">
      <c r="A810" s="443"/>
      <c r="B810" s="525" t="s">
        <v>901</v>
      </c>
      <c r="C810" s="452">
        <v>100000</v>
      </c>
      <c r="D810" s="454">
        <v>100000</v>
      </c>
      <c r="E810" s="455">
        <v>100000</v>
      </c>
      <c r="F810" s="304">
        <v>0</v>
      </c>
      <c r="G810" s="113">
        <v>250000</v>
      </c>
    </row>
    <row r="811" spans="1:7" ht="12.75" hidden="1" customHeight="1" x14ac:dyDescent="0.2">
      <c r="A811" s="443"/>
      <c r="B811" s="449" t="s">
        <v>902</v>
      </c>
      <c r="C811" s="450">
        <v>600000</v>
      </c>
      <c r="D811" s="454">
        <f>600000-2000</f>
        <v>598000</v>
      </c>
      <c r="E811" s="455">
        <v>598000</v>
      </c>
      <c r="F811" s="304">
        <f>30660+256090+11017</f>
        <v>297767</v>
      </c>
      <c r="G811" s="113">
        <v>700000</v>
      </c>
    </row>
    <row r="812" spans="1:7" ht="12.75" hidden="1" customHeight="1" x14ac:dyDescent="0.2">
      <c r="A812" s="443"/>
      <c r="B812" s="525" t="s">
        <v>903</v>
      </c>
      <c r="C812" s="452">
        <v>1470000</v>
      </c>
      <c r="D812" s="454">
        <v>1480450</v>
      </c>
      <c r="E812" s="455">
        <v>1480450</v>
      </c>
      <c r="F812" s="304">
        <v>990450</v>
      </c>
      <c r="G812" s="113">
        <v>1550000</v>
      </c>
    </row>
    <row r="813" spans="1:7" ht="12.75" hidden="1" customHeight="1" x14ac:dyDescent="0.2">
      <c r="A813" s="481"/>
      <c r="B813" s="514" t="s">
        <v>904</v>
      </c>
      <c r="C813" s="450"/>
      <c r="D813" s="454"/>
      <c r="E813" s="455"/>
      <c r="F813" s="304"/>
      <c r="G813" s="113">
        <v>50000</v>
      </c>
    </row>
    <row r="814" spans="1:7" ht="12.75" hidden="1" customHeight="1" x14ac:dyDescent="0.2">
      <c r="A814" s="520"/>
      <c r="B814" s="449" t="s">
        <v>905</v>
      </c>
      <c r="C814" s="497">
        <v>15000</v>
      </c>
      <c r="D814" s="491">
        <v>15000</v>
      </c>
      <c r="E814" s="491">
        <v>15000</v>
      </c>
      <c r="F814" s="304">
        <v>9680</v>
      </c>
      <c r="G814" s="113">
        <v>15000</v>
      </c>
    </row>
    <row r="815" spans="1:7" ht="12.75" hidden="1" customHeight="1" x14ac:dyDescent="0.2">
      <c r="A815" s="520"/>
      <c r="B815" s="453" t="s">
        <v>906</v>
      </c>
      <c r="C815" s="497">
        <v>0</v>
      </c>
      <c r="D815" s="491">
        <v>0</v>
      </c>
      <c r="E815" s="500">
        <v>0</v>
      </c>
      <c r="F815" s="304">
        <v>0</v>
      </c>
      <c r="G815" s="113">
        <v>35000</v>
      </c>
    </row>
    <row r="816" spans="1:7" ht="12.75" hidden="1" customHeight="1" x14ac:dyDescent="0.2">
      <c r="A816" s="520"/>
      <c r="B816" s="449" t="s">
        <v>907</v>
      </c>
      <c r="C816" s="497">
        <f>SUM(C818,C829)</f>
        <v>10400000</v>
      </c>
      <c r="D816" s="491">
        <f>SUM(D818,D829)</f>
        <v>9600000</v>
      </c>
      <c r="E816" s="491">
        <f>SUM(E818,E829)</f>
        <v>9060000</v>
      </c>
      <c r="F816" s="304">
        <f>SUM(F818,F829)</f>
        <v>1527768.88</v>
      </c>
      <c r="G816" s="113">
        <f>G818+G829+G843</f>
        <v>6050000</v>
      </c>
    </row>
    <row r="817" spans="1:7" ht="12.75" hidden="1" customHeight="1" x14ac:dyDescent="0.2">
      <c r="A817" s="520"/>
      <c r="B817" s="525" t="s">
        <v>908</v>
      </c>
      <c r="C817" s="450">
        <v>0</v>
      </c>
      <c r="D817" s="454">
        <v>0</v>
      </c>
      <c r="E817" s="455">
        <v>0</v>
      </c>
      <c r="F817" s="304">
        <v>0</v>
      </c>
      <c r="G817" s="113">
        <v>486000</v>
      </c>
    </row>
    <row r="818" spans="1:7" ht="12.75" hidden="1" customHeight="1" x14ac:dyDescent="0.2">
      <c r="A818" s="443"/>
      <c r="B818" s="473" t="s">
        <v>909</v>
      </c>
      <c r="C818" s="530">
        <f>C819+C820</f>
        <v>6500000</v>
      </c>
      <c r="D818" s="531">
        <f>D819+D820</f>
        <v>6500000</v>
      </c>
      <c r="E818" s="531">
        <f>E819+E820</f>
        <v>6200000</v>
      </c>
      <c r="F818" s="512">
        <f>F819+F820</f>
        <v>1288855.94</v>
      </c>
      <c r="G818" s="530">
        <f>G819+G820</f>
        <v>2550000</v>
      </c>
    </row>
    <row r="819" spans="1:7" ht="12.75" hidden="1" customHeight="1" x14ac:dyDescent="0.2">
      <c r="A819" s="443"/>
      <c r="B819" s="449" t="s">
        <v>910</v>
      </c>
      <c r="C819" s="452">
        <v>1500000</v>
      </c>
      <c r="D819" s="454">
        <v>1500000</v>
      </c>
      <c r="E819" s="468">
        <v>1500000</v>
      </c>
      <c r="F819" s="304">
        <v>1288855.94</v>
      </c>
      <c r="G819" s="113">
        <v>1500000</v>
      </c>
    </row>
    <row r="820" spans="1:7" ht="12.75" hidden="1" customHeight="1" x14ac:dyDescent="0.2">
      <c r="A820" s="443"/>
      <c r="B820" s="449" t="s">
        <v>911</v>
      </c>
      <c r="C820" s="113">
        <f>SUM(C821:C828)</f>
        <v>5000000</v>
      </c>
      <c r="D820" s="495">
        <f>SUM(D821:D828)</f>
        <v>5000000</v>
      </c>
      <c r="E820" s="495">
        <f>SUM(E821:E828)</f>
        <v>4700000</v>
      </c>
      <c r="F820" s="304">
        <f>SUM(F821:F828)</f>
        <v>0</v>
      </c>
      <c r="G820" s="113">
        <f>SUM(G821:G828)</f>
        <v>1050000</v>
      </c>
    </row>
    <row r="821" spans="1:7" ht="12.75" hidden="1" customHeight="1" x14ac:dyDescent="0.2">
      <c r="A821" s="520"/>
      <c r="B821" s="525" t="s">
        <v>912</v>
      </c>
      <c r="C821" s="490">
        <f>1500000-500000</f>
        <v>1000000</v>
      </c>
      <c r="D821" s="491">
        <f>1500000-500000</f>
        <v>1000000</v>
      </c>
      <c r="E821" s="492">
        <v>1000000</v>
      </c>
      <c r="F821" s="512">
        <v>0</v>
      </c>
      <c r="G821" s="530">
        <v>0</v>
      </c>
    </row>
    <row r="822" spans="1:7" s="488" customFormat="1" ht="12.75" hidden="1" customHeight="1" x14ac:dyDescent="0.2">
      <c r="A822" s="520"/>
      <c r="B822" s="525" t="s">
        <v>913</v>
      </c>
      <c r="C822" s="490">
        <v>500000</v>
      </c>
      <c r="D822" s="491">
        <v>500000</v>
      </c>
      <c r="E822" s="492">
        <v>500000</v>
      </c>
      <c r="F822" s="512">
        <v>0</v>
      </c>
      <c r="G822" s="113">
        <v>0</v>
      </c>
    </row>
    <row r="823" spans="1:7" s="488" customFormat="1" ht="12.75" hidden="1" customHeight="1" x14ac:dyDescent="0.2">
      <c r="A823" s="520"/>
      <c r="B823" s="515" t="s">
        <v>914</v>
      </c>
      <c r="C823" s="497">
        <v>3500000</v>
      </c>
      <c r="D823" s="491">
        <v>3500000</v>
      </c>
      <c r="E823" s="492">
        <v>3200000</v>
      </c>
      <c r="F823" s="512">
        <v>0</v>
      </c>
      <c r="G823" s="113">
        <v>0</v>
      </c>
    </row>
    <row r="824" spans="1:7" s="488" customFormat="1" ht="12.75" hidden="1" customHeight="1" x14ac:dyDescent="0.2">
      <c r="A824" s="520"/>
      <c r="B824" s="532" t="s">
        <v>915</v>
      </c>
      <c r="C824" s="497"/>
      <c r="D824" s="491"/>
      <c r="E824" s="500"/>
      <c r="F824" s="501"/>
      <c r="G824" s="374">
        <v>600000</v>
      </c>
    </row>
    <row r="825" spans="1:7" s="488" customFormat="1" ht="12.75" hidden="1" customHeight="1" x14ac:dyDescent="0.2">
      <c r="A825" s="520"/>
      <c r="B825" s="532" t="s">
        <v>916</v>
      </c>
      <c r="C825" s="497"/>
      <c r="D825" s="491"/>
      <c r="E825" s="500"/>
      <c r="F825" s="501"/>
      <c r="G825" s="374">
        <v>0</v>
      </c>
    </row>
    <row r="826" spans="1:7" s="488" customFormat="1" ht="12.75" hidden="1" customHeight="1" x14ac:dyDescent="0.2">
      <c r="A826" s="520"/>
      <c r="B826" s="532" t="s">
        <v>917</v>
      </c>
      <c r="C826" s="497"/>
      <c r="D826" s="491"/>
      <c r="E826" s="500"/>
      <c r="F826" s="501"/>
      <c r="G826" s="374">
        <v>0</v>
      </c>
    </row>
    <row r="827" spans="1:7" s="488" customFormat="1" ht="12.75" hidden="1" customHeight="1" x14ac:dyDescent="0.2">
      <c r="A827" s="520"/>
      <c r="B827" s="532" t="s">
        <v>918</v>
      </c>
      <c r="C827" s="497"/>
      <c r="D827" s="491"/>
      <c r="E827" s="500"/>
      <c r="F827" s="501"/>
      <c r="G827" s="374">
        <v>200000</v>
      </c>
    </row>
    <row r="828" spans="1:7" s="488" customFormat="1" ht="12.75" hidden="1" customHeight="1" x14ac:dyDescent="0.2">
      <c r="A828" s="520"/>
      <c r="B828" s="532" t="s">
        <v>919</v>
      </c>
      <c r="C828" s="497"/>
      <c r="D828" s="491"/>
      <c r="E828" s="500"/>
      <c r="F828" s="501"/>
      <c r="G828" s="374">
        <v>250000</v>
      </c>
    </row>
    <row r="829" spans="1:7" s="488" customFormat="1" ht="12.75" hidden="1" customHeight="1" x14ac:dyDescent="0.2">
      <c r="A829" s="443"/>
      <c r="B829" s="449" t="s">
        <v>920</v>
      </c>
      <c r="C829" s="497">
        <f>SUM(C830:C831)</f>
        <v>3900000</v>
      </c>
      <c r="D829" s="491">
        <f>SUM(D830:D831)</f>
        <v>3100000</v>
      </c>
      <c r="E829" s="491">
        <f>SUM(E830:E831)</f>
        <v>2860000</v>
      </c>
      <c r="F829" s="496">
        <f>SUM(F830:F831)</f>
        <v>238912.94</v>
      </c>
      <c r="G829" s="497">
        <f>SUM(G830:G831)</f>
        <v>2700000</v>
      </c>
    </row>
    <row r="830" spans="1:7" s="488" customFormat="1" ht="12.75" hidden="1" customHeight="1" x14ac:dyDescent="0.2">
      <c r="A830" s="443"/>
      <c r="B830" s="449" t="s">
        <v>921</v>
      </c>
      <c r="C830" s="450">
        <v>500000</v>
      </c>
      <c r="D830" s="454">
        <v>500000</v>
      </c>
      <c r="E830" s="455">
        <v>500000</v>
      </c>
      <c r="F830" s="498">
        <v>191147.39</v>
      </c>
      <c r="G830" s="452">
        <v>600000</v>
      </c>
    </row>
    <row r="831" spans="1:7" s="488" customFormat="1" ht="12.75" hidden="1" customHeight="1" x14ac:dyDescent="0.2">
      <c r="A831" s="443"/>
      <c r="B831" s="449" t="s">
        <v>922</v>
      </c>
      <c r="C831" s="452">
        <f>SUM(C832:C842)</f>
        <v>3400000</v>
      </c>
      <c r="D831" s="454">
        <f>SUM(D832:D842)</f>
        <v>2600000</v>
      </c>
      <c r="E831" s="454">
        <f>SUM(E832:E842)</f>
        <v>2360000</v>
      </c>
      <c r="F831" s="498">
        <f>SUM(F832:F842)</f>
        <v>47765.55</v>
      </c>
      <c r="G831" s="452">
        <f>SUM(G832:G842)</f>
        <v>2100000</v>
      </c>
    </row>
    <row r="832" spans="1:7" s="488" customFormat="1" ht="12.75" hidden="1" customHeight="1" x14ac:dyDescent="0.2">
      <c r="A832" s="520"/>
      <c r="B832" s="453" t="s">
        <v>923</v>
      </c>
      <c r="C832" s="450">
        <v>100000</v>
      </c>
      <c r="D832" s="454">
        <v>100000</v>
      </c>
      <c r="E832" s="455">
        <v>100000</v>
      </c>
      <c r="F832" s="498">
        <v>0</v>
      </c>
      <c r="G832" s="452">
        <v>0</v>
      </c>
    </row>
    <row r="833" spans="1:7" ht="12.75" hidden="1" customHeight="1" x14ac:dyDescent="0.2">
      <c r="A833" s="520"/>
      <c r="B833" s="453" t="s">
        <v>924</v>
      </c>
      <c r="C833" s="450">
        <v>300000</v>
      </c>
      <c r="D833" s="454">
        <f>300000-100000</f>
        <v>200000</v>
      </c>
      <c r="E833" s="455">
        <v>200000</v>
      </c>
      <c r="F833" s="498">
        <v>23015</v>
      </c>
      <c r="G833" s="452">
        <v>0</v>
      </c>
    </row>
    <row r="834" spans="1:7" ht="12.75" hidden="1" customHeight="1" x14ac:dyDescent="0.2">
      <c r="A834" s="520"/>
      <c r="B834" s="453" t="s">
        <v>925</v>
      </c>
      <c r="C834" s="452">
        <v>100000</v>
      </c>
      <c r="D834" s="454">
        <v>100000</v>
      </c>
      <c r="E834" s="455">
        <v>60000</v>
      </c>
      <c r="F834" s="498">
        <v>0</v>
      </c>
      <c r="G834" s="450">
        <v>500000</v>
      </c>
    </row>
    <row r="835" spans="1:7" ht="12.75" hidden="1" customHeight="1" x14ac:dyDescent="0.2">
      <c r="A835" s="520"/>
      <c r="B835" s="516" t="s">
        <v>926</v>
      </c>
      <c r="C835" s="452">
        <f>350000-300000</f>
        <v>50000</v>
      </c>
      <c r="D835" s="454">
        <f>350000-300000</f>
        <v>50000</v>
      </c>
      <c r="E835" s="455">
        <v>50000</v>
      </c>
      <c r="F835" s="498">
        <v>0</v>
      </c>
      <c r="G835" s="452">
        <v>100000</v>
      </c>
    </row>
    <row r="836" spans="1:7" s="488" customFormat="1" ht="12.75" hidden="1" customHeight="1" x14ac:dyDescent="0.2">
      <c r="A836" s="520"/>
      <c r="B836" s="516" t="s">
        <v>927</v>
      </c>
      <c r="C836" s="452">
        <v>200000</v>
      </c>
      <c r="D836" s="454">
        <f>200000-200000</f>
        <v>0</v>
      </c>
      <c r="E836" s="468">
        <v>0</v>
      </c>
      <c r="F836" s="498">
        <v>0</v>
      </c>
      <c r="G836" s="452">
        <v>0</v>
      </c>
    </row>
    <row r="837" spans="1:7" s="488" customFormat="1" ht="12.75" hidden="1" customHeight="1" x14ac:dyDescent="0.2">
      <c r="A837" s="520"/>
      <c r="B837" s="453" t="s">
        <v>928</v>
      </c>
      <c r="C837" s="452"/>
      <c r="D837" s="454"/>
      <c r="E837" s="468"/>
      <c r="F837" s="498"/>
      <c r="G837" s="452">
        <v>200000</v>
      </c>
    </row>
    <row r="838" spans="1:7" s="488" customFormat="1" ht="12.75" hidden="1" customHeight="1" x14ac:dyDescent="0.2">
      <c r="A838" s="520"/>
      <c r="B838" s="516" t="s">
        <v>929</v>
      </c>
      <c r="C838" s="452">
        <v>1300000</v>
      </c>
      <c r="D838" s="454">
        <v>1300000</v>
      </c>
      <c r="E838" s="468">
        <v>1900000</v>
      </c>
      <c r="F838" s="304">
        <v>0</v>
      </c>
      <c r="G838" s="113">
        <v>0</v>
      </c>
    </row>
    <row r="839" spans="1:7" s="488" customFormat="1" ht="12.75" hidden="1" customHeight="1" x14ac:dyDescent="0.2">
      <c r="A839" s="520"/>
      <c r="B839" s="516" t="s">
        <v>930</v>
      </c>
      <c r="C839" s="452"/>
      <c r="D839" s="454"/>
      <c r="E839" s="468"/>
      <c r="F839" s="304"/>
      <c r="G839" s="114">
        <v>200000</v>
      </c>
    </row>
    <row r="840" spans="1:7" s="488" customFormat="1" ht="12.75" hidden="1" customHeight="1" x14ac:dyDescent="0.2">
      <c r="A840" s="520"/>
      <c r="B840" s="516" t="s">
        <v>931</v>
      </c>
      <c r="C840" s="450">
        <v>300000</v>
      </c>
      <c r="D840" s="454">
        <v>300000</v>
      </c>
      <c r="E840" s="468">
        <v>0</v>
      </c>
      <c r="F840" s="304">
        <v>24750.55</v>
      </c>
      <c r="G840" s="113">
        <v>300000</v>
      </c>
    </row>
    <row r="841" spans="1:7" s="488" customFormat="1" ht="12.75" hidden="1" customHeight="1" x14ac:dyDescent="0.2">
      <c r="A841" s="520"/>
      <c r="B841" s="515" t="s">
        <v>932</v>
      </c>
      <c r="C841" s="450">
        <v>50000</v>
      </c>
      <c r="D841" s="454">
        <v>50000</v>
      </c>
      <c r="E841" s="455">
        <v>50000</v>
      </c>
      <c r="F841" s="304">
        <v>0</v>
      </c>
      <c r="G841" s="114">
        <v>800000</v>
      </c>
    </row>
    <row r="842" spans="1:7" s="488" customFormat="1" ht="12.75" hidden="1" customHeight="1" x14ac:dyDescent="0.2">
      <c r="A842" s="520"/>
      <c r="B842" s="525" t="s">
        <v>933</v>
      </c>
      <c r="C842" s="450">
        <v>1000000</v>
      </c>
      <c r="D842" s="454">
        <f>1000000-500000</f>
        <v>500000</v>
      </c>
      <c r="E842" s="468">
        <v>0</v>
      </c>
      <c r="F842" s="533">
        <v>0</v>
      </c>
      <c r="G842" s="149">
        <v>0</v>
      </c>
    </row>
    <row r="843" spans="1:7" s="488" customFormat="1" ht="12.75" hidden="1" customHeight="1" x14ac:dyDescent="0.2">
      <c r="A843" s="443"/>
      <c r="B843" s="534" t="s">
        <v>934</v>
      </c>
      <c r="C843" s="450">
        <f>SUM(C844:C848)</f>
        <v>1750000</v>
      </c>
      <c r="D843" s="454">
        <f>SUM(D844:D848)</f>
        <v>1350000</v>
      </c>
      <c r="E843" s="454">
        <f>SUM(E844:E848)</f>
        <v>510000</v>
      </c>
      <c r="F843" s="498">
        <f>SUM(F844:F848)</f>
        <v>80598.100000000006</v>
      </c>
      <c r="G843" s="450">
        <f>SUM(G844:G848)</f>
        <v>800000</v>
      </c>
    </row>
    <row r="844" spans="1:7" s="488" customFormat="1" ht="12.75" hidden="1" customHeight="1" x14ac:dyDescent="0.2">
      <c r="A844" s="443"/>
      <c r="B844" s="516" t="s">
        <v>935</v>
      </c>
      <c r="C844" s="450">
        <v>500000</v>
      </c>
      <c r="D844" s="454">
        <f>500000-50000</f>
        <v>450000</v>
      </c>
      <c r="E844" s="468">
        <v>200000</v>
      </c>
      <c r="F844" s="498">
        <v>0</v>
      </c>
      <c r="G844" s="450">
        <v>100000</v>
      </c>
    </row>
    <row r="845" spans="1:7" s="488" customFormat="1" ht="12.75" hidden="1" customHeight="1" x14ac:dyDescent="0.2">
      <c r="A845" s="443"/>
      <c r="B845" s="516" t="s">
        <v>936</v>
      </c>
      <c r="C845" s="452">
        <v>500000</v>
      </c>
      <c r="D845" s="454">
        <f>500000-50000-100000</f>
        <v>350000</v>
      </c>
      <c r="E845" s="455">
        <v>100000</v>
      </c>
      <c r="F845" s="498">
        <v>0</v>
      </c>
      <c r="G845" s="450">
        <v>300000</v>
      </c>
    </row>
    <row r="846" spans="1:7" s="488" customFormat="1" ht="12.75" hidden="1" customHeight="1" x14ac:dyDescent="0.2">
      <c r="A846" s="443"/>
      <c r="B846" s="516" t="s">
        <v>937</v>
      </c>
      <c r="C846" s="452">
        <v>50000</v>
      </c>
      <c r="D846" s="454">
        <v>50000</v>
      </c>
      <c r="E846" s="455">
        <v>50000</v>
      </c>
      <c r="F846" s="498">
        <v>0</v>
      </c>
      <c r="G846" s="450">
        <v>100000</v>
      </c>
    </row>
    <row r="847" spans="1:7" ht="12.75" hidden="1" customHeight="1" x14ac:dyDescent="0.2">
      <c r="A847" s="443"/>
      <c r="B847" s="516" t="s">
        <v>938</v>
      </c>
      <c r="C847" s="450">
        <v>200000</v>
      </c>
      <c r="D847" s="535">
        <f>200000-50000</f>
        <v>150000</v>
      </c>
      <c r="E847" s="455">
        <v>60000</v>
      </c>
      <c r="F847" s="536">
        <v>0</v>
      </c>
      <c r="G847" s="452">
        <v>0</v>
      </c>
    </row>
    <row r="848" spans="1:7" ht="12.75" hidden="1" customHeight="1" x14ac:dyDescent="0.2">
      <c r="A848" s="519"/>
      <c r="B848" s="516" t="s">
        <v>939</v>
      </c>
      <c r="C848" s="450">
        <f>1000000-500000</f>
        <v>500000</v>
      </c>
      <c r="D848" s="454">
        <f>1000000-500000-50000-100000</f>
        <v>350000</v>
      </c>
      <c r="E848" s="455">
        <v>100000</v>
      </c>
      <c r="F848" s="498">
        <v>80598.100000000006</v>
      </c>
      <c r="G848" s="452">
        <v>300000</v>
      </c>
    </row>
    <row r="849" spans="1:110" ht="12.75" hidden="1" customHeight="1" x14ac:dyDescent="0.2">
      <c r="A849" s="519">
        <v>3634</v>
      </c>
      <c r="B849" s="537" t="s">
        <v>940</v>
      </c>
      <c r="C849" s="445">
        <f>SUM(C850:C854)</f>
        <v>30034000</v>
      </c>
      <c r="D849" s="469">
        <f>SUM(D850:D854)</f>
        <v>22594783</v>
      </c>
      <c r="E849" s="469">
        <f>SUM(E850:E854)</f>
        <v>21335963.350000001</v>
      </c>
      <c r="F849" s="470">
        <f>SUM(F850:F854)</f>
        <v>9802375.8000000007</v>
      </c>
      <c r="G849" s="445">
        <f>SUM(G850:G854)</f>
        <v>28550000</v>
      </c>
    </row>
    <row r="850" spans="1:110" ht="12.75" hidden="1" customHeight="1" x14ac:dyDescent="0.2">
      <c r="A850" s="443"/>
      <c r="B850" s="525" t="s">
        <v>941</v>
      </c>
      <c r="C850" s="452">
        <v>500000</v>
      </c>
      <c r="D850" s="454">
        <v>500000</v>
      </c>
      <c r="E850" s="468">
        <v>200000</v>
      </c>
      <c r="F850" s="304">
        <v>97574.11</v>
      </c>
      <c r="G850" s="113">
        <v>200000</v>
      </c>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row>
    <row r="851" spans="1:110" ht="12.75" hidden="1" customHeight="1" x14ac:dyDescent="0.2">
      <c r="A851" s="443"/>
      <c r="B851" s="525" t="s">
        <v>942</v>
      </c>
      <c r="C851" s="450">
        <v>500000</v>
      </c>
      <c r="D851" s="454">
        <v>500000</v>
      </c>
      <c r="E851" s="528">
        <v>380000</v>
      </c>
      <c r="F851" s="498">
        <v>0</v>
      </c>
      <c r="G851" s="459">
        <v>500000</v>
      </c>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row>
    <row r="852" spans="1:110" s="538" customFormat="1" ht="12.75" hidden="1" customHeight="1" x14ac:dyDescent="0.2">
      <c r="A852" s="443"/>
      <c r="B852" s="449" t="s">
        <v>943</v>
      </c>
      <c r="C852" s="450">
        <v>500000</v>
      </c>
      <c r="D852" s="454">
        <v>500000</v>
      </c>
      <c r="E852" s="529">
        <v>200000</v>
      </c>
      <c r="F852" s="498">
        <v>131442.38</v>
      </c>
      <c r="G852" s="509">
        <v>600000</v>
      </c>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row>
    <row r="853" spans="1:110" ht="12.75" hidden="1" customHeight="1" x14ac:dyDescent="0.2">
      <c r="A853" s="443"/>
      <c r="B853" s="525" t="s">
        <v>944</v>
      </c>
      <c r="C853" s="452">
        <v>0</v>
      </c>
      <c r="D853" s="454">
        <v>0</v>
      </c>
      <c r="E853" s="468">
        <v>0</v>
      </c>
      <c r="F853" s="498"/>
      <c r="G853" s="452">
        <v>1000000</v>
      </c>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row>
    <row r="854" spans="1:110" ht="12.75" hidden="1" customHeight="1" x14ac:dyDescent="0.2">
      <c r="A854" s="471"/>
      <c r="B854" s="449" t="s">
        <v>945</v>
      </c>
      <c r="C854" s="452">
        <f>SUM(C855:C862)</f>
        <v>28534000</v>
      </c>
      <c r="D854" s="454">
        <f>SUM(D855:D862)</f>
        <v>21094783</v>
      </c>
      <c r="E854" s="454">
        <f>SUM(E855:E862)</f>
        <v>20555963.350000001</v>
      </c>
      <c r="F854" s="498">
        <f>SUM(F855:F862)</f>
        <v>9573359.3100000005</v>
      </c>
      <c r="G854" s="452">
        <f>SUM(G855:G871)</f>
        <v>26250000</v>
      </c>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row>
    <row r="855" spans="1:110" ht="12.75" hidden="1" customHeight="1" x14ac:dyDescent="0.2">
      <c r="A855" s="471"/>
      <c r="B855" s="525" t="s">
        <v>946</v>
      </c>
      <c r="C855" s="452">
        <v>700000</v>
      </c>
      <c r="D855" s="454">
        <v>700000</v>
      </c>
      <c r="E855" s="468">
        <v>600000</v>
      </c>
      <c r="F855" s="304">
        <v>0</v>
      </c>
      <c r="G855" s="113">
        <v>0</v>
      </c>
    </row>
    <row r="856" spans="1:110" ht="12.75" hidden="1" customHeight="1" x14ac:dyDescent="0.2">
      <c r="A856" s="471"/>
      <c r="B856" s="525" t="s">
        <v>947</v>
      </c>
      <c r="C856" s="452"/>
      <c r="D856" s="454"/>
      <c r="E856" s="468"/>
      <c r="F856" s="304">
        <v>0</v>
      </c>
      <c r="G856" s="113">
        <v>900000</v>
      </c>
    </row>
    <row r="857" spans="1:110" ht="12.75" hidden="1" customHeight="1" x14ac:dyDescent="0.2">
      <c r="A857" s="471"/>
      <c r="B857" s="525" t="s">
        <v>948</v>
      </c>
      <c r="C857" s="452">
        <v>160000</v>
      </c>
      <c r="D857" s="454">
        <v>160000</v>
      </c>
      <c r="E857" s="468">
        <v>50000</v>
      </c>
      <c r="F857" s="304">
        <v>0</v>
      </c>
      <c r="G857" s="113">
        <v>0</v>
      </c>
    </row>
    <row r="858" spans="1:110" ht="12.75" hidden="1" customHeight="1" x14ac:dyDescent="0.2">
      <c r="A858" s="471"/>
      <c r="B858" s="525" t="s">
        <v>949</v>
      </c>
      <c r="C858" s="452">
        <v>14645000</v>
      </c>
      <c r="D858" s="454">
        <f>14645000-3000000-1104217-748000</f>
        <v>9792783</v>
      </c>
      <c r="E858" s="468">
        <v>9700000</v>
      </c>
      <c r="F858" s="304">
        <v>8000</v>
      </c>
      <c r="G858" s="114">
        <v>0</v>
      </c>
    </row>
    <row r="859" spans="1:110" ht="12.75" hidden="1" customHeight="1" x14ac:dyDescent="0.2">
      <c r="A859" s="471"/>
      <c r="B859" s="525" t="s">
        <v>950</v>
      </c>
      <c r="C859" s="452">
        <v>0</v>
      </c>
      <c r="D859" s="454">
        <v>748000</v>
      </c>
      <c r="E859" s="468">
        <v>679297.55</v>
      </c>
      <c r="F859" s="304">
        <v>747662.55</v>
      </c>
      <c r="G859" s="113">
        <v>0</v>
      </c>
    </row>
    <row r="860" spans="1:110" s="2" customFormat="1" ht="12.75" hidden="1" customHeight="1" x14ac:dyDescent="0.2">
      <c r="A860" s="471"/>
      <c r="B860" s="525" t="s">
        <v>951</v>
      </c>
      <c r="C860" s="450">
        <v>8067000</v>
      </c>
      <c r="D860" s="454">
        <f>8067000-1700000-727000</f>
        <v>5640000</v>
      </c>
      <c r="E860" s="468">
        <v>5600000</v>
      </c>
      <c r="F860" s="304">
        <v>4973916.7300000004</v>
      </c>
      <c r="G860" s="113">
        <v>0</v>
      </c>
    </row>
    <row r="861" spans="1:110" s="2" customFormat="1" ht="12.75" hidden="1" customHeight="1" x14ac:dyDescent="0.2">
      <c r="A861" s="471"/>
      <c r="B861" s="525" t="s">
        <v>952</v>
      </c>
      <c r="C861" s="450">
        <v>3372000</v>
      </c>
      <c r="D861" s="454">
        <f>3372000-572000</f>
        <v>2800000</v>
      </c>
      <c r="E861" s="468">
        <v>2672665.7999999998</v>
      </c>
      <c r="F861" s="304">
        <v>2589780.7999999998</v>
      </c>
      <c r="G861" s="114">
        <v>0</v>
      </c>
    </row>
    <row r="862" spans="1:110" s="2" customFormat="1" ht="12.75" hidden="1" customHeight="1" x14ac:dyDescent="0.2">
      <c r="A862" s="471"/>
      <c r="B862" s="525" t="s">
        <v>953</v>
      </c>
      <c r="C862" s="450">
        <v>1590000</v>
      </c>
      <c r="D862" s="454">
        <f>1590000-336000</f>
        <v>1254000</v>
      </c>
      <c r="E862" s="468">
        <v>1254000</v>
      </c>
      <c r="F862" s="304">
        <v>1253999.23</v>
      </c>
      <c r="G862" s="113">
        <v>0</v>
      </c>
    </row>
    <row r="863" spans="1:110" s="2" customFormat="1" ht="12.75" hidden="1" customHeight="1" x14ac:dyDescent="0.2">
      <c r="A863" s="471"/>
      <c r="B863" s="539" t="s">
        <v>954</v>
      </c>
      <c r="C863" s="452"/>
      <c r="D863" s="454"/>
      <c r="E863" s="468"/>
      <c r="F863" s="510"/>
      <c r="G863" s="450">
        <v>200000</v>
      </c>
    </row>
    <row r="864" spans="1:110" s="2" customFormat="1" ht="12.75" hidden="1" customHeight="1" x14ac:dyDescent="0.2">
      <c r="A864" s="471"/>
      <c r="B864" s="540" t="s">
        <v>955</v>
      </c>
      <c r="C864" s="450"/>
      <c r="D864" s="454"/>
      <c r="E864" s="468"/>
      <c r="F864" s="510"/>
      <c r="G864" s="450">
        <v>4750000</v>
      </c>
    </row>
    <row r="865" spans="1:7" s="2" customFormat="1" ht="12.75" hidden="1" customHeight="1" x14ac:dyDescent="0.2">
      <c r="A865" s="471"/>
      <c r="B865" s="540" t="s">
        <v>956</v>
      </c>
      <c r="C865" s="452"/>
      <c r="D865" s="454"/>
      <c r="E865" s="455"/>
      <c r="F865" s="510"/>
      <c r="G865" s="452">
        <v>3300000</v>
      </c>
    </row>
    <row r="866" spans="1:7" s="2" customFormat="1" ht="12.75" hidden="1" customHeight="1" x14ac:dyDescent="0.2">
      <c r="A866" s="471"/>
      <c r="B866" s="540" t="s">
        <v>957</v>
      </c>
      <c r="C866" s="450"/>
      <c r="D866" s="454"/>
      <c r="E866" s="468"/>
      <c r="F866" s="510"/>
      <c r="G866" s="450">
        <v>3750000</v>
      </c>
    </row>
    <row r="867" spans="1:7" s="2" customFormat="1" ht="12.75" hidden="1" customHeight="1" x14ac:dyDescent="0.2">
      <c r="A867" s="471"/>
      <c r="B867" s="540" t="s">
        <v>958</v>
      </c>
      <c r="C867" s="452"/>
      <c r="D867" s="454"/>
      <c r="E867" s="455"/>
      <c r="F867" s="510"/>
      <c r="G867" s="450">
        <v>2050000</v>
      </c>
    </row>
    <row r="868" spans="1:7" s="2" customFormat="1" ht="12.75" hidden="1" customHeight="1" x14ac:dyDescent="0.2">
      <c r="A868" s="471"/>
      <c r="B868" s="540" t="s">
        <v>959</v>
      </c>
      <c r="C868" s="452"/>
      <c r="D868" s="454"/>
      <c r="E868" s="455"/>
      <c r="F868" s="510"/>
      <c r="G868" s="452">
        <v>2000000</v>
      </c>
    </row>
    <row r="869" spans="1:7" s="2" customFormat="1" ht="12.75" hidden="1" customHeight="1" x14ac:dyDescent="0.2">
      <c r="A869" s="471"/>
      <c r="B869" s="540" t="s">
        <v>960</v>
      </c>
      <c r="C869" s="452"/>
      <c r="D869" s="454"/>
      <c r="E869" s="468"/>
      <c r="F869" s="510"/>
      <c r="G869" s="452">
        <v>6000000</v>
      </c>
    </row>
    <row r="870" spans="1:7" s="2" customFormat="1" ht="12.75" hidden="1" customHeight="1" x14ac:dyDescent="0.2">
      <c r="A870" s="471"/>
      <c r="B870" s="540" t="s">
        <v>961</v>
      </c>
      <c r="C870" s="452"/>
      <c r="D870" s="454"/>
      <c r="E870" s="468"/>
      <c r="F870" s="510"/>
      <c r="G870" s="452">
        <v>2000000</v>
      </c>
    </row>
    <row r="871" spans="1:7" s="2" customFormat="1" ht="12.75" hidden="1" customHeight="1" x14ac:dyDescent="0.2">
      <c r="A871" s="471"/>
      <c r="B871" s="540" t="s">
        <v>962</v>
      </c>
      <c r="C871" s="450"/>
      <c r="D871" s="454"/>
      <c r="E871" s="468"/>
      <c r="F871" s="510"/>
      <c r="G871" s="450">
        <v>1300000</v>
      </c>
    </row>
    <row r="872" spans="1:7" s="2" customFormat="1" ht="12.75" hidden="1" customHeight="1" x14ac:dyDescent="0.2">
      <c r="A872" s="443">
        <v>3699</v>
      </c>
      <c r="B872" s="537" t="s">
        <v>963</v>
      </c>
      <c r="C872" s="447">
        <f>C873</f>
        <v>10000</v>
      </c>
      <c r="D872" s="469">
        <f>D873</f>
        <v>10000</v>
      </c>
      <c r="E872" s="469">
        <f>E873</f>
        <v>10000</v>
      </c>
      <c r="F872" s="301">
        <v>0</v>
      </c>
      <c r="G872" s="109">
        <v>0</v>
      </c>
    </row>
    <row r="873" spans="1:7" s="2" customFormat="1" ht="12.75" hidden="1" customHeight="1" x14ac:dyDescent="0.2">
      <c r="A873" s="471"/>
      <c r="B873" s="541" t="s">
        <v>964</v>
      </c>
      <c r="C873" s="450">
        <v>10000</v>
      </c>
      <c r="D873" s="454">
        <v>10000</v>
      </c>
      <c r="E873" s="468">
        <v>10000</v>
      </c>
      <c r="F873" s="304">
        <v>0</v>
      </c>
      <c r="G873" s="114">
        <v>0</v>
      </c>
    </row>
    <row r="874" spans="1:7" s="2" customFormat="1" ht="12.75" hidden="1" customHeight="1" x14ac:dyDescent="0.2">
      <c r="A874" s="443">
        <v>4351</v>
      </c>
      <c r="B874" s="537" t="s">
        <v>965</v>
      </c>
      <c r="C874" s="447">
        <v>10000</v>
      </c>
      <c r="D874" s="469">
        <v>10000</v>
      </c>
      <c r="E874" s="469">
        <v>10000</v>
      </c>
      <c r="F874" s="301">
        <v>3512.87</v>
      </c>
      <c r="G874" s="105">
        <v>10000</v>
      </c>
    </row>
    <row r="875" spans="1:7" s="2" customFormat="1" ht="12.75" hidden="1" customHeight="1" x14ac:dyDescent="0.2">
      <c r="A875" s="443">
        <v>4374</v>
      </c>
      <c r="B875" s="537" t="s">
        <v>753</v>
      </c>
      <c r="C875" s="445">
        <f>C876</f>
        <v>1015000</v>
      </c>
      <c r="D875" s="469">
        <f>D876</f>
        <v>915000</v>
      </c>
      <c r="E875" s="469">
        <f>E876</f>
        <v>915000</v>
      </c>
      <c r="F875" s="470">
        <f>F876</f>
        <v>630565.32999999996</v>
      </c>
      <c r="G875" s="445">
        <f>G876</f>
        <v>850000</v>
      </c>
    </row>
    <row r="876" spans="1:7" ht="12.75" hidden="1" customHeight="1" x14ac:dyDescent="0.2">
      <c r="A876" s="471"/>
      <c r="B876" s="467" t="s">
        <v>966</v>
      </c>
      <c r="C876" s="452">
        <f>SUM(C877,C878)</f>
        <v>1015000</v>
      </c>
      <c r="D876" s="454">
        <f>SUM(D877,D878)</f>
        <v>915000</v>
      </c>
      <c r="E876" s="454">
        <f>SUM(E877,E878)</f>
        <v>915000</v>
      </c>
      <c r="F876" s="498">
        <f>SUM(F877,F878)</f>
        <v>630565.32999999996</v>
      </c>
      <c r="G876" s="452">
        <f>SUM(G877,G878)</f>
        <v>850000</v>
      </c>
    </row>
    <row r="877" spans="1:7" ht="12.75" hidden="1" customHeight="1" x14ac:dyDescent="0.2">
      <c r="A877" s="542"/>
      <c r="B877" s="499" t="s">
        <v>967</v>
      </c>
      <c r="C877" s="452">
        <v>690000</v>
      </c>
      <c r="D877" s="454">
        <v>690000</v>
      </c>
      <c r="E877" s="468">
        <v>690000</v>
      </c>
      <c r="F877" s="304">
        <v>630565.32999999996</v>
      </c>
      <c r="G877" s="113">
        <v>600000</v>
      </c>
    </row>
    <row r="878" spans="1:7" ht="12.75" hidden="1" customHeight="1" x14ac:dyDescent="0.2">
      <c r="A878" s="542"/>
      <c r="B878" s="543" t="s">
        <v>968</v>
      </c>
      <c r="C878" s="452">
        <v>325000</v>
      </c>
      <c r="D878" s="454">
        <f>325000-100000</f>
        <v>225000</v>
      </c>
      <c r="E878" s="468">
        <v>225000</v>
      </c>
      <c r="F878" s="304">
        <v>0</v>
      </c>
      <c r="G878" s="113">
        <v>250000</v>
      </c>
    </row>
    <row r="879" spans="1:7" ht="12.75" hidden="1" customHeight="1" x14ac:dyDescent="0.2">
      <c r="A879" s="443">
        <v>6171</v>
      </c>
      <c r="B879" s="537" t="s">
        <v>969</v>
      </c>
      <c r="C879" s="447">
        <f>SUM(C880:C883)</f>
        <v>910000</v>
      </c>
      <c r="D879" s="469">
        <f>SUM(D880:D883)</f>
        <v>912000</v>
      </c>
      <c r="E879" s="469">
        <f>SUM(E880:E883)</f>
        <v>592000</v>
      </c>
      <c r="F879" s="470">
        <f>SUM(F880:F883)</f>
        <v>217174.47</v>
      </c>
      <c r="G879" s="447">
        <f>SUM(G880:G884)</f>
        <v>2550000</v>
      </c>
    </row>
    <row r="880" spans="1:7" ht="12.75" hidden="1" customHeight="1" x14ac:dyDescent="0.2">
      <c r="A880" s="471"/>
      <c r="B880" s="472" t="s">
        <v>970</v>
      </c>
      <c r="C880" s="452">
        <f>20000+220000</f>
        <v>240000</v>
      </c>
      <c r="D880" s="478">
        <v>140000</v>
      </c>
      <c r="E880" s="480">
        <v>20000</v>
      </c>
      <c r="F880" s="304">
        <v>2000</v>
      </c>
      <c r="G880" s="113">
        <v>50000</v>
      </c>
    </row>
    <row r="881" spans="1:256" ht="12.75" hidden="1" customHeight="1" x14ac:dyDescent="0.2">
      <c r="A881" s="542"/>
      <c r="B881" s="472" t="s">
        <v>971</v>
      </c>
      <c r="C881" s="452">
        <v>70000</v>
      </c>
      <c r="D881" s="478">
        <v>172000</v>
      </c>
      <c r="E881" s="480">
        <v>172000</v>
      </c>
      <c r="F881" s="304">
        <v>215174.47</v>
      </c>
      <c r="G881" s="113">
        <v>0</v>
      </c>
    </row>
    <row r="882" spans="1:256" ht="12.75" hidden="1" customHeight="1" x14ac:dyDescent="0.2">
      <c r="A882" s="542"/>
      <c r="B882" s="474" t="s">
        <v>972</v>
      </c>
      <c r="C882" s="452">
        <v>600000</v>
      </c>
      <c r="D882" s="454">
        <v>600000</v>
      </c>
      <c r="E882" s="468">
        <v>400000</v>
      </c>
      <c r="F882" s="304">
        <v>0</v>
      </c>
      <c r="G882" s="113">
        <v>2000000</v>
      </c>
    </row>
    <row r="883" spans="1:256" ht="12.75" hidden="1" customHeight="1" x14ac:dyDescent="0.2">
      <c r="A883" s="471"/>
      <c r="B883" s="474" t="s">
        <v>973</v>
      </c>
      <c r="C883" s="452">
        <v>0</v>
      </c>
      <c r="D883" s="454">
        <v>0</v>
      </c>
      <c r="E883" s="468">
        <v>0</v>
      </c>
      <c r="F883" s="304">
        <v>0</v>
      </c>
      <c r="G883" s="113">
        <v>300000</v>
      </c>
    </row>
    <row r="884" spans="1:256" ht="12.75" hidden="1" customHeight="1" x14ac:dyDescent="0.2">
      <c r="A884" s="544"/>
      <c r="B884" s="505" t="s">
        <v>974</v>
      </c>
      <c r="C884" s="459">
        <v>0</v>
      </c>
      <c r="D884" s="454">
        <v>0</v>
      </c>
      <c r="E884" s="528">
        <v>0</v>
      </c>
      <c r="F884" s="304">
        <v>0</v>
      </c>
      <c r="G884" s="166">
        <v>200000</v>
      </c>
    </row>
    <row r="885" spans="1:256" s="545" customFormat="1" ht="20.25" hidden="1" x14ac:dyDescent="0.3">
      <c r="A885" s="64"/>
      <c r="B885" s="546" t="s">
        <v>52</v>
      </c>
      <c r="C885" s="281">
        <f>SUM(C886+C891+C896)</f>
        <v>1211750</v>
      </c>
      <c r="D885" s="547">
        <f>SUM(D886+D891+D896)</f>
        <v>637750</v>
      </c>
      <c r="E885" s="281">
        <f>SUM(E886+E891+E896)</f>
        <v>379640</v>
      </c>
      <c r="F885" s="280">
        <f>SUM(F886+F891+F896)</f>
        <v>120303.64</v>
      </c>
      <c r="G885" s="281">
        <f>SUM(G886+G891+G896)</f>
        <v>600000</v>
      </c>
      <c r="H885" s="32"/>
      <c r="IP885" s="98"/>
      <c r="IQ885" s="98"/>
      <c r="IR885" s="98"/>
      <c r="IS885" s="98"/>
      <c r="IT885" s="98"/>
      <c r="IU885" s="98"/>
      <c r="IV885" s="98"/>
    </row>
    <row r="886" spans="1:256" s="545" customFormat="1" hidden="1" x14ac:dyDescent="0.2">
      <c r="A886" s="102">
        <v>2169</v>
      </c>
      <c r="B886" s="103" t="s">
        <v>975</v>
      </c>
      <c r="C886" s="105">
        <f>SUM(C887+C888+C889)</f>
        <v>250000</v>
      </c>
      <c r="D886" s="105">
        <f>SUM(D887+D888+D889+D890)</f>
        <v>250000</v>
      </c>
      <c r="E886" s="105">
        <f>SUM(E887+E888+E889+E890)</f>
        <v>9000</v>
      </c>
      <c r="F886" s="105">
        <f>SUM(F887+F888+F889+F890)</f>
        <v>2553.6400000000003</v>
      </c>
      <c r="G886" s="105">
        <v>250000</v>
      </c>
      <c r="H886" s="88"/>
      <c r="IP886" s="98"/>
      <c r="IQ886" s="98"/>
      <c r="IR886" s="98"/>
      <c r="IS886" s="98"/>
      <c r="IT886" s="98"/>
      <c r="IU886" s="98"/>
      <c r="IV886" s="98"/>
    </row>
    <row r="887" spans="1:256" s="545" customFormat="1" hidden="1" x14ac:dyDescent="0.2">
      <c r="A887" s="102"/>
      <c r="B887" s="306" t="s">
        <v>976</v>
      </c>
      <c r="C887" s="113">
        <v>47000</v>
      </c>
      <c r="D887" s="113">
        <v>47000</v>
      </c>
      <c r="E887" s="113">
        <v>3000</v>
      </c>
      <c r="F887" s="113">
        <v>0</v>
      </c>
      <c r="G887" s="114">
        <v>47000</v>
      </c>
      <c r="H887" s="32"/>
      <c r="IP887" s="98"/>
      <c r="IQ887" s="98"/>
      <c r="IR887" s="98"/>
      <c r="IS887" s="98"/>
      <c r="IT887" s="98"/>
      <c r="IU887" s="98"/>
      <c r="IV887" s="98"/>
    </row>
    <row r="888" spans="1:256" s="545" customFormat="1" hidden="1" x14ac:dyDescent="0.2">
      <c r="A888" s="102"/>
      <c r="B888" s="306" t="s">
        <v>977</v>
      </c>
      <c r="C888" s="113">
        <v>200000</v>
      </c>
      <c r="D888" s="113">
        <v>199000</v>
      </c>
      <c r="E888" s="113">
        <v>5000</v>
      </c>
      <c r="F888" s="113">
        <v>1553.64</v>
      </c>
      <c r="G888" s="114">
        <v>200000</v>
      </c>
      <c r="H888" s="32"/>
      <c r="IP888" s="98"/>
      <c r="IQ888" s="98"/>
      <c r="IR888" s="98"/>
      <c r="IS888" s="98"/>
      <c r="IT888" s="98"/>
      <c r="IU888" s="98"/>
      <c r="IV888" s="98"/>
    </row>
    <row r="889" spans="1:256" s="545" customFormat="1" hidden="1" x14ac:dyDescent="0.2">
      <c r="A889" s="102"/>
      <c r="B889" s="306" t="s">
        <v>978</v>
      </c>
      <c r="C889" s="113">
        <v>3000</v>
      </c>
      <c r="D889" s="113">
        <v>3000</v>
      </c>
      <c r="E889" s="113">
        <v>0</v>
      </c>
      <c r="F889" s="113">
        <v>0</v>
      </c>
      <c r="G889" s="114">
        <v>3000</v>
      </c>
      <c r="H889" s="32"/>
      <c r="IP889" s="98"/>
      <c r="IQ889" s="98"/>
      <c r="IR889" s="98"/>
      <c r="IS889" s="98"/>
      <c r="IT889" s="98"/>
      <c r="IU889" s="98"/>
      <c r="IV889" s="98"/>
    </row>
    <row r="890" spans="1:256" s="545" customFormat="1" hidden="1" x14ac:dyDescent="0.2">
      <c r="A890" s="102"/>
      <c r="B890" s="306" t="s">
        <v>979</v>
      </c>
      <c r="C890" s="113">
        <v>0</v>
      </c>
      <c r="D890" s="113">
        <v>1000</v>
      </c>
      <c r="E890" s="113">
        <v>1000</v>
      </c>
      <c r="F890" s="113">
        <v>1000</v>
      </c>
      <c r="G890" s="114">
        <v>0</v>
      </c>
      <c r="H890" s="32"/>
      <c r="IP890" s="98"/>
      <c r="IQ890" s="98"/>
      <c r="IR890" s="98"/>
      <c r="IS890" s="98"/>
      <c r="IT890" s="98"/>
      <c r="IU890" s="98"/>
      <c r="IV890" s="98"/>
    </row>
    <row r="891" spans="1:256" s="545" customFormat="1" hidden="1" x14ac:dyDescent="0.2">
      <c r="A891" s="106">
        <v>3635</v>
      </c>
      <c r="B891" s="107" t="s">
        <v>980</v>
      </c>
      <c r="C891" s="109">
        <f>SUM(C892+C893+C894+C895)</f>
        <v>387750</v>
      </c>
      <c r="D891" s="109">
        <f>SUM(D892+D893+D894+D895)</f>
        <v>387750</v>
      </c>
      <c r="E891" s="109">
        <f>SUM(E892+E893+E894+E895)</f>
        <v>370640</v>
      </c>
      <c r="F891" s="109">
        <f>SUM(F892+F893+F894+F895)</f>
        <v>117750</v>
      </c>
      <c r="G891" s="109">
        <f>SUM(G892+G893+G894+G895)</f>
        <v>350000</v>
      </c>
      <c r="H891" s="88"/>
      <c r="IP891" s="98"/>
      <c r="IQ891" s="98"/>
      <c r="IR891" s="98"/>
      <c r="IS891" s="98"/>
      <c r="IT891" s="98"/>
      <c r="IU891" s="98"/>
      <c r="IV891" s="98"/>
    </row>
    <row r="892" spans="1:256" s="545" customFormat="1" hidden="1" x14ac:dyDescent="0.2">
      <c r="A892" s="111"/>
      <c r="B892" s="112" t="s">
        <v>981</v>
      </c>
      <c r="C892" s="113">
        <v>20000</v>
      </c>
      <c r="D892" s="113">
        <v>20000</v>
      </c>
      <c r="E892" s="113">
        <v>16940</v>
      </c>
      <c r="F892" s="113">
        <v>0</v>
      </c>
      <c r="G892" s="114">
        <v>50000</v>
      </c>
      <c r="H892" s="88"/>
      <c r="IP892" s="98"/>
      <c r="IQ892" s="98"/>
      <c r="IR892" s="98"/>
      <c r="IS892" s="98"/>
      <c r="IT892" s="98"/>
      <c r="IU892" s="98"/>
      <c r="IV892" s="98"/>
    </row>
    <row r="893" spans="1:256" s="545" customFormat="1" hidden="1" x14ac:dyDescent="0.2">
      <c r="A893" s="111"/>
      <c r="B893" s="112" t="s">
        <v>982</v>
      </c>
      <c r="C893" s="113">
        <v>250000</v>
      </c>
      <c r="D893" s="113">
        <v>250000</v>
      </c>
      <c r="E893" s="113">
        <v>235950</v>
      </c>
      <c r="F893" s="113">
        <v>0</v>
      </c>
      <c r="G893" s="114">
        <v>0</v>
      </c>
      <c r="H893" s="32"/>
      <c r="IP893" s="98"/>
      <c r="IQ893" s="98"/>
      <c r="IR893" s="98"/>
      <c r="IS893" s="98"/>
      <c r="IT893" s="98"/>
      <c r="IU893" s="98"/>
      <c r="IV893" s="98"/>
    </row>
    <row r="894" spans="1:256" s="545" customFormat="1" hidden="1" x14ac:dyDescent="0.2">
      <c r="A894" s="111"/>
      <c r="B894" s="112" t="s">
        <v>983</v>
      </c>
      <c r="C894" s="113">
        <v>0</v>
      </c>
      <c r="D894" s="113">
        <v>0</v>
      </c>
      <c r="E894" s="266">
        <v>0</v>
      </c>
      <c r="F894" s="266">
        <v>0</v>
      </c>
      <c r="G894" s="114">
        <v>300000</v>
      </c>
      <c r="H894" s="32"/>
      <c r="IP894" s="98"/>
      <c r="IQ894" s="98"/>
      <c r="IR894" s="98"/>
      <c r="IS894" s="98"/>
      <c r="IT894" s="98"/>
      <c r="IU894" s="98"/>
      <c r="IV894" s="98"/>
    </row>
    <row r="895" spans="1:256" s="545" customFormat="1" hidden="1" x14ac:dyDescent="0.2">
      <c r="A895" s="548"/>
      <c r="B895" s="112" t="s">
        <v>984</v>
      </c>
      <c r="C895" s="266">
        <v>117750</v>
      </c>
      <c r="D895" s="266">
        <v>117750</v>
      </c>
      <c r="E895" s="266">
        <v>117750</v>
      </c>
      <c r="F895" s="266">
        <v>117750</v>
      </c>
      <c r="G895" s="143">
        <v>0</v>
      </c>
      <c r="H895" s="32"/>
      <c r="IP895" s="98"/>
      <c r="IQ895" s="98"/>
      <c r="IR895" s="98"/>
      <c r="IS895" s="98"/>
      <c r="IT895" s="98"/>
      <c r="IU895" s="98"/>
      <c r="IV895" s="98"/>
    </row>
    <row r="896" spans="1:256" s="545" customFormat="1" ht="15.75" hidden="1" x14ac:dyDescent="0.25">
      <c r="A896" s="549"/>
      <c r="B896" s="64" t="s">
        <v>985</v>
      </c>
      <c r="C896" s="287">
        <v>574000</v>
      </c>
      <c r="D896" s="287">
        <v>0</v>
      </c>
      <c r="E896" s="287">
        <v>0</v>
      </c>
      <c r="F896" s="231">
        <v>0</v>
      </c>
      <c r="G896" s="287">
        <v>0</v>
      </c>
      <c r="H896" s="32"/>
      <c r="IP896" s="98"/>
      <c r="IQ896" s="98"/>
      <c r="IR896" s="98"/>
      <c r="IS896" s="98"/>
      <c r="IT896" s="98"/>
      <c r="IU896" s="98"/>
      <c r="IV896" s="98"/>
    </row>
    <row r="897" spans="1:256" s="545" customFormat="1" hidden="1" x14ac:dyDescent="0.2">
      <c r="A897" s="424">
        <v>3699</v>
      </c>
      <c r="B897" s="103" t="s">
        <v>986</v>
      </c>
      <c r="C897" s="105">
        <v>574000</v>
      </c>
      <c r="D897" s="105">
        <v>0</v>
      </c>
      <c r="E897" s="105">
        <v>0</v>
      </c>
      <c r="F897" s="105">
        <v>0</v>
      </c>
      <c r="G897" s="105">
        <v>0</v>
      </c>
      <c r="H897" s="88"/>
      <c r="IP897" s="98"/>
      <c r="IQ897" s="98"/>
      <c r="IR897" s="98"/>
      <c r="IS897" s="98"/>
      <c r="IT897" s="98"/>
      <c r="IU897" s="98"/>
      <c r="IV897" s="98"/>
    </row>
    <row r="898" spans="1:256" s="550" customFormat="1" hidden="1" x14ac:dyDescent="0.2">
      <c r="A898" s="421"/>
      <c r="B898" s="107"/>
      <c r="C898" s="266"/>
      <c r="D898" s="266"/>
      <c r="E898" s="266"/>
      <c r="F898" s="266"/>
      <c r="G898" s="266"/>
      <c r="H898" s="88"/>
      <c r="IP898" s="1"/>
      <c r="IQ898" s="1"/>
      <c r="IR898" s="1"/>
      <c r="IS898" s="1"/>
      <c r="IT898" s="1"/>
      <c r="IU898" s="1"/>
      <c r="IV898" s="1"/>
    </row>
    <row r="899" spans="1:256" s="244" customFormat="1" ht="20.25" hidden="1" x14ac:dyDescent="0.3">
      <c r="A899" s="312"/>
      <c r="B899" s="93" t="s">
        <v>54</v>
      </c>
      <c r="C899" s="551">
        <f>SUM(C900:C906,C908:C910,C913,C919)</f>
        <v>39215960</v>
      </c>
      <c r="D899" s="551">
        <f>SUM(D900:D906,D908:D910,D913,D919)</f>
        <v>110513968.37</v>
      </c>
      <c r="E899" s="551">
        <f>SUM(E900:E906,E908:E910,E913,E919)</f>
        <v>104362912.75</v>
      </c>
      <c r="F899" s="552">
        <f>SUM(F900:F906,F908:F910,F913,F919)</f>
        <v>111132121.87</v>
      </c>
      <c r="G899" s="551">
        <f>SUM(G900:G906,G908:G910,G913,G919)</f>
        <v>36184308.620000005</v>
      </c>
      <c r="H899" s="88"/>
    </row>
    <row r="900" spans="1:256" s="553" customFormat="1" ht="15.75" hidden="1" x14ac:dyDescent="0.2">
      <c r="A900" s="554" t="s">
        <v>987</v>
      </c>
      <c r="B900" s="390" t="s">
        <v>988</v>
      </c>
      <c r="C900" s="555">
        <v>50000</v>
      </c>
      <c r="D900" s="555">
        <v>50000</v>
      </c>
      <c r="E900" s="555">
        <v>50000</v>
      </c>
      <c r="F900" s="555">
        <v>50000</v>
      </c>
      <c r="G900" s="105">
        <v>10000</v>
      </c>
      <c r="H900" s="88"/>
    </row>
    <row r="901" spans="1:256" s="553" customFormat="1" ht="48.75" hidden="1" x14ac:dyDescent="0.2">
      <c r="A901" s="556" t="s">
        <v>989</v>
      </c>
      <c r="B901" s="370" t="s">
        <v>990</v>
      </c>
      <c r="C901" s="105">
        <f>12860.75+242500</f>
        <v>255360.75</v>
      </c>
      <c r="D901" s="105">
        <f>12860.75+242500</f>
        <v>255360.75</v>
      </c>
      <c r="E901" s="105">
        <f>12860.75+242500</f>
        <v>255360.75</v>
      </c>
      <c r="F901" s="105">
        <f>7186.9+120577.86</f>
        <v>127764.76</v>
      </c>
      <c r="G901" s="105">
        <f>6808.62+242500</f>
        <v>249308.62</v>
      </c>
      <c r="H901" s="32"/>
    </row>
    <row r="902" spans="1:256" s="98" customFormat="1" ht="12.75" hidden="1" customHeight="1" x14ac:dyDescent="0.3">
      <c r="A902" s="106">
        <v>3113</v>
      </c>
      <c r="B902" s="107" t="s">
        <v>991</v>
      </c>
      <c r="C902" s="109">
        <v>0</v>
      </c>
      <c r="D902" s="109">
        <f>26198.73+1237.11</f>
        <v>27435.84</v>
      </c>
      <c r="E902" s="109">
        <f>26198.73+1237.11</f>
        <v>27435.84</v>
      </c>
      <c r="F902" s="109">
        <f>26198.73+1237.11</f>
        <v>27435.84</v>
      </c>
      <c r="G902" s="105">
        <v>0</v>
      </c>
      <c r="H902" s="88"/>
      <c r="N902" s="557"/>
    </row>
    <row r="903" spans="1:256" s="98" customFormat="1" ht="12.75" hidden="1" customHeight="1" x14ac:dyDescent="0.3">
      <c r="A903" s="106">
        <v>3311</v>
      </c>
      <c r="B903" s="107" t="s">
        <v>992</v>
      </c>
      <c r="C903" s="109">
        <v>0</v>
      </c>
      <c r="D903" s="109">
        <v>291160.94</v>
      </c>
      <c r="E903" s="109">
        <v>291160.94</v>
      </c>
      <c r="F903" s="109">
        <v>291160.94</v>
      </c>
      <c r="G903" s="105">
        <v>0</v>
      </c>
      <c r="H903" s="88"/>
      <c r="N903" s="557"/>
    </row>
    <row r="904" spans="1:256" s="98" customFormat="1" ht="12.75" hidden="1" customHeight="1" x14ac:dyDescent="0.3">
      <c r="A904" s="106">
        <v>3392</v>
      </c>
      <c r="B904" s="107" t="s">
        <v>993</v>
      </c>
      <c r="C904" s="109">
        <v>0</v>
      </c>
      <c r="D904" s="109">
        <v>214337.64</v>
      </c>
      <c r="E904" s="109">
        <v>214337.64</v>
      </c>
      <c r="F904" s="109">
        <v>214337.64</v>
      </c>
      <c r="G904" s="105">
        <v>0</v>
      </c>
      <c r="H904" s="88"/>
      <c r="N904" s="557"/>
    </row>
    <row r="905" spans="1:256" s="98" customFormat="1" ht="12.75" hidden="1" customHeight="1" x14ac:dyDescent="0.3">
      <c r="A905" s="106">
        <v>3634</v>
      </c>
      <c r="B905" s="107" t="s">
        <v>994</v>
      </c>
      <c r="C905" s="109">
        <v>0</v>
      </c>
      <c r="D905" s="109">
        <v>7703155</v>
      </c>
      <c r="E905" s="109">
        <v>7703155</v>
      </c>
      <c r="F905" s="109">
        <v>7703693</v>
      </c>
      <c r="G905" s="105">
        <v>8000000</v>
      </c>
      <c r="H905" s="88"/>
      <c r="N905" s="558"/>
    </row>
    <row r="906" spans="1:256" s="553" customFormat="1" ht="15.75" hidden="1" x14ac:dyDescent="0.2">
      <c r="A906" s="102">
        <v>3639</v>
      </c>
      <c r="B906" s="103" t="s">
        <v>995</v>
      </c>
      <c r="C906" s="105">
        <f>C907</f>
        <v>150000</v>
      </c>
      <c r="D906" s="105">
        <f>D907</f>
        <v>150000</v>
      </c>
      <c r="E906" s="105">
        <f>E907</f>
        <v>100000</v>
      </c>
      <c r="F906" s="105">
        <f>F907</f>
        <v>47016</v>
      </c>
      <c r="G906" s="105">
        <f>G907</f>
        <v>150000</v>
      </c>
      <c r="H906" s="88"/>
    </row>
    <row r="907" spans="1:256" s="553" customFormat="1" ht="12.75" hidden="1" customHeight="1" x14ac:dyDescent="0.2">
      <c r="A907" s="106"/>
      <c r="B907" s="306" t="s">
        <v>996</v>
      </c>
      <c r="C907" s="114">
        <f>150*1000</f>
        <v>150000</v>
      </c>
      <c r="D907" s="114">
        <v>150000</v>
      </c>
      <c r="E907" s="113">
        <v>100000</v>
      </c>
      <c r="F907" s="113">
        <v>47016</v>
      </c>
      <c r="G907" s="114">
        <v>150000</v>
      </c>
      <c r="H907" s="88"/>
    </row>
    <row r="908" spans="1:256" hidden="1" x14ac:dyDescent="0.2">
      <c r="A908" s="106">
        <v>6171</v>
      </c>
      <c r="B908" s="559" t="s">
        <v>997</v>
      </c>
      <c r="C908" s="105">
        <v>200000</v>
      </c>
      <c r="D908" s="105">
        <v>200000</v>
      </c>
      <c r="E908" s="109">
        <v>100000</v>
      </c>
      <c r="F908" s="109">
        <v>3509</v>
      </c>
      <c r="G908" s="105">
        <v>150000</v>
      </c>
      <c r="H908" s="32"/>
    </row>
    <row r="909" spans="1:256" hidden="1" x14ac:dyDescent="0.2">
      <c r="A909" s="106">
        <v>6310</v>
      </c>
      <c r="B909" s="107" t="s">
        <v>998</v>
      </c>
      <c r="C909" s="109">
        <v>350000</v>
      </c>
      <c r="D909" s="109">
        <v>350000</v>
      </c>
      <c r="E909" s="109">
        <v>320000</v>
      </c>
      <c r="F909" s="109">
        <v>217186.23</v>
      </c>
      <c r="G909" s="105">
        <v>320000</v>
      </c>
      <c r="H909" s="88"/>
    </row>
    <row r="910" spans="1:256" hidden="1" x14ac:dyDescent="0.2">
      <c r="A910" s="106">
        <v>6399</v>
      </c>
      <c r="B910" s="107" t="s">
        <v>999</v>
      </c>
      <c r="C910" s="109">
        <f>SUM(C911:C912)</f>
        <v>28000000</v>
      </c>
      <c r="D910" s="109">
        <f>SUM(D911:D912)</f>
        <v>23831976</v>
      </c>
      <c r="E910" s="109">
        <f>SUM(E911:E912)</f>
        <v>25015870</v>
      </c>
      <c r="F910" s="109">
        <f>SUM(F911:F912)</f>
        <v>25015870</v>
      </c>
      <c r="G910" s="109">
        <f>SUM(G911:G912)</f>
        <v>26000000</v>
      </c>
      <c r="H910" s="88"/>
    </row>
    <row r="911" spans="1:256" hidden="1" x14ac:dyDescent="0.2">
      <c r="A911" s="111"/>
      <c r="B911" s="112" t="s">
        <v>1000</v>
      </c>
      <c r="C911" s="113">
        <v>25000000</v>
      </c>
      <c r="D911" s="109">
        <v>22015870</v>
      </c>
      <c r="E911" s="109">
        <v>22015870</v>
      </c>
      <c r="F911" s="109">
        <v>22015870</v>
      </c>
      <c r="G911" s="113">
        <v>23000000</v>
      </c>
      <c r="H911" s="88"/>
    </row>
    <row r="912" spans="1:256" hidden="1" x14ac:dyDescent="0.2">
      <c r="A912" s="111"/>
      <c r="B912" s="112" t="s">
        <v>1001</v>
      </c>
      <c r="C912" s="113">
        <v>3000000</v>
      </c>
      <c r="D912" s="113">
        <v>1816106</v>
      </c>
      <c r="E912" s="114">
        <v>3000000</v>
      </c>
      <c r="F912" s="114">
        <v>3000000</v>
      </c>
      <c r="G912" s="114">
        <v>3000000</v>
      </c>
      <c r="H912" s="88"/>
    </row>
    <row r="913" spans="1:14" s="98" customFormat="1" ht="12.75" hidden="1" customHeight="1" x14ac:dyDescent="0.3">
      <c r="A913" s="106">
        <v>6402</v>
      </c>
      <c r="B913" s="107" t="s">
        <v>1002</v>
      </c>
      <c r="C913" s="109">
        <f>SUM(C914:C918)</f>
        <v>0</v>
      </c>
      <c r="D913" s="109">
        <f>SUM(D914:D918)</f>
        <v>60592.58</v>
      </c>
      <c r="E913" s="109">
        <f>SUM(E914:E918)</f>
        <v>60592.58</v>
      </c>
      <c r="F913" s="109">
        <f>SUM(F914:F918)</f>
        <v>60592.58</v>
      </c>
      <c r="G913" s="109">
        <f>SUM(G914:G918)</f>
        <v>0</v>
      </c>
      <c r="H913" s="88"/>
      <c r="N913" s="558"/>
    </row>
    <row r="914" spans="1:14" s="2" customFormat="1" ht="12.75" hidden="1" customHeight="1" x14ac:dyDescent="0.3">
      <c r="A914" s="115"/>
      <c r="B914" s="159" t="s">
        <v>1003</v>
      </c>
      <c r="C914" s="113">
        <v>0</v>
      </c>
      <c r="D914" s="113">
        <v>2283</v>
      </c>
      <c r="E914" s="113">
        <v>2283</v>
      </c>
      <c r="F914" s="113">
        <v>2283</v>
      </c>
      <c r="G914" s="114">
        <v>0</v>
      </c>
      <c r="H914" s="88"/>
      <c r="N914" s="558"/>
    </row>
    <row r="915" spans="1:14" s="2" customFormat="1" ht="12.75" hidden="1" customHeight="1" x14ac:dyDescent="0.3">
      <c r="A915" s="115"/>
      <c r="B915" s="159" t="s">
        <v>1004</v>
      </c>
      <c r="C915" s="113">
        <v>0</v>
      </c>
      <c r="D915" s="113">
        <v>7004</v>
      </c>
      <c r="E915" s="113">
        <v>7004</v>
      </c>
      <c r="F915" s="113">
        <v>7004</v>
      </c>
      <c r="G915" s="114">
        <v>0</v>
      </c>
      <c r="H915" s="88"/>
      <c r="N915" s="558"/>
    </row>
    <row r="916" spans="1:14" s="2" customFormat="1" ht="12.75" hidden="1" customHeight="1" x14ac:dyDescent="0.3">
      <c r="A916" s="115"/>
      <c r="B916" s="159" t="s">
        <v>1005</v>
      </c>
      <c r="C916" s="113">
        <v>0</v>
      </c>
      <c r="D916" s="113">
        <v>31176</v>
      </c>
      <c r="E916" s="113">
        <v>31176</v>
      </c>
      <c r="F916" s="113">
        <v>31176</v>
      </c>
      <c r="G916" s="114">
        <v>0</v>
      </c>
      <c r="H916" s="88"/>
      <c r="N916" s="558"/>
    </row>
    <row r="917" spans="1:14" s="2" customFormat="1" ht="12.75" hidden="1" customHeight="1" x14ac:dyDescent="0.3">
      <c r="A917" s="115"/>
      <c r="B917" s="159" t="s">
        <v>1006</v>
      </c>
      <c r="C917" s="113">
        <v>0</v>
      </c>
      <c r="D917" s="113">
        <v>5607</v>
      </c>
      <c r="E917" s="113">
        <v>5607</v>
      </c>
      <c r="F917" s="113">
        <v>5607</v>
      </c>
      <c r="G917" s="114">
        <v>0</v>
      </c>
      <c r="H917" s="88"/>
      <c r="N917" s="558"/>
    </row>
    <row r="918" spans="1:14" s="2" customFormat="1" ht="12.75" hidden="1" customHeight="1" x14ac:dyDescent="0.3">
      <c r="A918" s="115"/>
      <c r="B918" s="159" t="s">
        <v>1007</v>
      </c>
      <c r="C918" s="113">
        <v>0</v>
      </c>
      <c r="D918" s="113">
        <v>14522.58</v>
      </c>
      <c r="E918" s="113">
        <v>14522.58</v>
      </c>
      <c r="F918" s="113">
        <v>14522.58</v>
      </c>
      <c r="G918" s="114">
        <v>0</v>
      </c>
      <c r="H918" s="88"/>
      <c r="N918" s="558"/>
    </row>
    <row r="919" spans="1:14" s="244" customFormat="1" ht="15.75" hidden="1" x14ac:dyDescent="0.25">
      <c r="A919" s="106">
        <v>6409</v>
      </c>
      <c r="B919" s="107" t="s">
        <v>1008</v>
      </c>
      <c r="C919" s="109">
        <f>SUM(C920:C921)</f>
        <v>10210599.25</v>
      </c>
      <c r="D919" s="109">
        <f>SUM(D920:D921)</f>
        <v>77379949.620000005</v>
      </c>
      <c r="E919" s="109">
        <f>SUM(E920:E921)</f>
        <v>70225000</v>
      </c>
      <c r="F919" s="109">
        <f>SUM(F920:F921)</f>
        <v>77373555.88000001</v>
      </c>
      <c r="G919" s="109">
        <f>SUM(G920:G921)</f>
        <v>1305000</v>
      </c>
      <c r="H919" s="88"/>
    </row>
    <row r="920" spans="1:14" s="98" customFormat="1" hidden="1" x14ac:dyDescent="0.2">
      <c r="A920" s="111"/>
      <c r="B920" s="112" t="s">
        <v>1009</v>
      </c>
      <c r="C920" s="113">
        <f>10000*1000-0.75+600</f>
        <v>10000599.25</v>
      </c>
      <c r="D920" s="113">
        <v>77154949.620000005</v>
      </c>
      <c r="E920" s="113">
        <v>70000000</v>
      </c>
      <c r="F920" s="113">
        <v>77154949.620000005</v>
      </c>
      <c r="G920" s="114">
        <v>1000000</v>
      </c>
      <c r="H920" s="88"/>
    </row>
    <row r="921" spans="1:14" s="98" customFormat="1" ht="36.75" hidden="1" x14ac:dyDescent="0.2">
      <c r="A921" s="560"/>
      <c r="B921" s="561" t="s">
        <v>1010</v>
      </c>
      <c r="C921" s="241">
        <v>210000</v>
      </c>
      <c r="D921" s="241">
        <v>225000</v>
      </c>
      <c r="E921" s="266">
        <v>225000</v>
      </c>
      <c r="F921" s="113">
        <v>218606.26</v>
      </c>
      <c r="G921" s="114">
        <f>(5+80+50+80+30+5+60)*1000-5000</f>
        <v>305000</v>
      </c>
      <c r="H921" s="32"/>
    </row>
    <row r="922" spans="1:14" s="98" customFormat="1" ht="23.25" hidden="1" x14ac:dyDescent="0.35">
      <c r="A922" s="562"/>
      <c r="B922" s="563" t="s">
        <v>55</v>
      </c>
      <c r="C922" s="363">
        <f>SUM(C266+C354+C481+C486+C492+C503+C507+C511+C604+C608+C625+C633+C673+C679+C702+C885+C899)</f>
        <v>870089265</v>
      </c>
      <c r="D922" s="363">
        <f>SUM(D266+D354+D481+D486+D492+D503+D507+D511+D604+D608+D625+D633+D673+D679+D702+D885+D899)</f>
        <v>866332786.38999999</v>
      </c>
      <c r="E922" s="363">
        <f>SUM(E266+E354+E481+E486+E492+E503+E507+E511+E604+E608+E625+E633+E673+E679+E702+E885+E899)</f>
        <v>772802863.4000001</v>
      </c>
      <c r="F922" s="363">
        <f>SUM(F266+F354+F481+F486+F492+F503+F507+F511+F604+F608+F625+F633+F673+F679+F702+F885+F899)</f>
        <v>495324827.22000003</v>
      </c>
      <c r="G922" s="363">
        <f>SUM(G266+G354+G481+G486+G492+G503+G507+G511+G604+G608+G625+G633+G673+G679+G702+G885+G899)</f>
        <v>886320745.25</v>
      </c>
      <c r="H922" s="32"/>
    </row>
    <row r="923" spans="1:14" hidden="1" x14ac:dyDescent="0.2">
      <c r="B923" s="564"/>
      <c r="F923" s="1"/>
    </row>
    <row r="924" spans="1:14" x14ac:dyDescent="0.2">
      <c r="F924" s="1"/>
    </row>
    <row r="925" spans="1:14" s="98" customFormat="1" x14ac:dyDescent="0.2">
      <c r="A925" s="1"/>
      <c r="B925" s="1"/>
      <c r="C925" s="1"/>
      <c r="D925" s="1"/>
      <c r="E925" s="1"/>
      <c r="F925" s="2"/>
      <c r="G925" s="1"/>
      <c r="H925" s="1"/>
    </row>
    <row r="926" spans="1:14" s="98" customFormat="1" x14ac:dyDescent="0.2">
      <c r="A926" s="1"/>
      <c r="B926" s="1"/>
      <c r="C926" s="1"/>
      <c r="D926" s="1"/>
      <c r="E926" s="1"/>
      <c r="F926" s="2"/>
      <c r="G926" s="1"/>
      <c r="H926" s="1"/>
    </row>
  </sheetData>
  <sheetProtection selectLockedCells="1" selectUnlockedCells="1"/>
  <pageMargins left="0" right="0" top="0.39375000000000004" bottom="0.39375000000000004" header="0.51180555555555562" footer="0"/>
  <pageSetup paperSize="9" scale="67" firstPageNumber="0" fitToHeight="0" orientation="landscape" horizontalDpi="300" verticalDpi="300"/>
  <headerFooter>
    <oddFooter>&amp;C&amp;P</oddFooter>
  </headerFooter>
  <rowBreaks count="2" manualBreakCount="2">
    <brk id="50" max="16383" man="1"/>
    <brk id="263" max="16383" man="1"/>
  </rowBreaks>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1:IS973"/>
  <sheetViews>
    <sheetView workbookViewId="0">
      <pane ySplit="1" topLeftCell="A2" activePane="bottomLeft" state="frozen"/>
      <selection activeCell="B915" sqref="B915"/>
      <selection pane="bottomLeft"/>
    </sheetView>
  </sheetViews>
  <sheetFormatPr defaultColWidth="9.5703125" defaultRowHeight="12.75" x14ac:dyDescent="0.2"/>
  <cols>
    <col min="1" max="1" width="11.85546875" style="1" customWidth="1"/>
    <col min="2" max="2" width="91.85546875" style="1" customWidth="1"/>
    <col min="3" max="4" width="26.85546875" style="1" customWidth="1"/>
    <col min="5" max="6" width="10.5703125" style="1" customWidth="1"/>
    <col min="7" max="7" width="12.140625" style="1" customWidth="1"/>
    <col min="8" max="16384" width="9.5703125" style="1"/>
  </cols>
  <sheetData>
    <row r="1" spans="1:8" ht="49.5" customHeight="1" x14ac:dyDescent="0.2">
      <c r="A1" s="565" t="s">
        <v>1</v>
      </c>
      <c r="B1" s="566" t="s">
        <v>1011</v>
      </c>
      <c r="C1" s="567" t="s">
        <v>1012</v>
      </c>
      <c r="D1" s="567" t="s">
        <v>1013</v>
      </c>
      <c r="E1" s="567" t="s">
        <v>1014</v>
      </c>
      <c r="F1" s="567" t="s">
        <v>1015</v>
      </c>
      <c r="G1" s="567" t="s">
        <v>1016</v>
      </c>
    </row>
    <row r="2" spans="1:8" ht="22.5" customHeight="1" x14ac:dyDescent="0.3">
      <c r="A2" s="568"/>
      <c r="B2" s="569" t="s">
        <v>56</v>
      </c>
      <c r="C2" s="570"/>
      <c r="D2" s="571"/>
      <c r="E2" s="572"/>
      <c r="F2" s="573"/>
      <c r="G2" s="570"/>
      <c r="H2" s="574"/>
    </row>
    <row r="3" spans="1:8" s="98" customFormat="1" ht="22.5" customHeight="1" x14ac:dyDescent="0.25">
      <c r="A3" s="575"/>
      <c r="B3" s="576" t="s">
        <v>57</v>
      </c>
      <c r="C3" s="577">
        <v>520342400</v>
      </c>
      <c r="D3" s="577"/>
      <c r="E3" s="577"/>
      <c r="F3" s="577"/>
      <c r="G3" s="577"/>
      <c r="H3" s="578"/>
    </row>
    <row r="4" spans="1:8" s="98" customFormat="1" ht="22.5" customHeight="1" x14ac:dyDescent="0.25">
      <c r="A4" s="579"/>
      <c r="B4" s="575" t="s">
        <v>10</v>
      </c>
      <c r="C4" s="577">
        <v>153980616.31999999</v>
      </c>
      <c r="D4" s="580"/>
      <c r="E4" s="580"/>
      <c r="F4" s="580"/>
      <c r="G4" s="577"/>
    </row>
    <row r="5" spans="1:8" s="98" customFormat="1" ht="22.5" customHeight="1" x14ac:dyDescent="0.25">
      <c r="A5" s="579"/>
      <c r="B5" s="575" t="s">
        <v>11</v>
      </c>
      <c r="C5" s="577">
        <v>87239000</v>
      </c>
      <c r="D5" s="580"/>
      <c r="E5" s="580"/>
      <c r="F5" s="580"/>
      <c r="G5" s="577"/>
    </row>
    <row r="6" spans="1:8" s="98" customFormat="1" ht="22.5" customHeight="1" x14ac:dyDescent="0.25">
      <c r="A6" s="579"/>
      <c r="B6" s="575" t="s">
        <v>196</v>
      </c>
      <c r="C6" s="577">
        <v>66897844.799999997</v>
      </c>
      <c r="D6" s="580"/>
      <c r="E6" s="580"/>
      <c r="F6" s="580"/>
      <c r="G6" s="577"/>
    </row>
    <row r="7" spans="1:8" s="98" customFormat="1" ht="22.5" customHeight="1" x14ac:dyDescent="0.3">
      <c r="A7" s="581"/>
      <c r="B7" s="581" t="s">
        <v>13</v>
      </c>
      <c r="C7" s="582">
        <f>SUM(C3+C4+C5+C6)</f>
        <v>828459861.11999989</v>
      </c>
      <c r="D7" s="582"/>
      <c r="E7" s="582"/>
      <c r="F7" s="582"/>
      <c r="G7" s="582"/>
    </row>
    <row r="8" spans="1:8" s="98" customFormat="1" ht="22.5" customHeight="1" x14ac:dyDescent="0.25">
      <c r="A8" s="583"/>
      <c r="B8" s="584" t="s">
        <v>14</v>
      </c>
      <c r="C8" s="585">
        <v>172017736.08000001</v>
      </c>
      <c r="D8" s="585"/>
      <c r="E8" s="585"/>
      <c r="F8" s="585"/>
      <c r="G8" s="585"/>
    </row>
    <row r="9" spans="1:8" s="85" customFormat="1" ht="24" customHeight="1" x14ac:dyDescent="0.4">
      <c r="A9" s="586"/>
      <c r="B9" s="587" t="s">
        <v>15</v>
      </c>
      <c r="C9" s="588">
        <f>SUM(C7+C8)</f>
        <v>1000477597.1999999</v>
      </c>
      <c r="D9" s="588"/>
      <c r="E9" s="588"/>
      <c r="F9" s="588"/>
      <c r="G9" s="588"/>
    </row>
    <row r="10" spans="1:8" s="98" customFormat="1" ht="24" customHeight="1" x14ac:dyDescent="0.3">
      <c r="A10" s="589"/>
      <c r="B10" s="590" t="s">
        <v>257</v>
      </c>
      <c r="C10" s="591"/>
      <c r="D10" s="592"/>
      <c r="E10" s="591"/>
      <c r="F10" s="591"/>
      <c r="G10" s="591"/>
    </row>
    <row r="11" spans="1:8" s="593" customFormat="1" ht="22.5" customHeight="1" x14ac:dyDescent="0.2">
      <c r="A11" s="594"/>
      <c r="B11" s="594" t="s">
        <v>17</v>
      </c>
      <c r="C11" s="595">
        <f>C30-C12</f>
        <v>760881693</v>
      </c>
      <c r="D11" s="595"/>
      <c r="E11" s="595"/>
      <c r="F11" s="595"/>
      <c r="G11" s="595"/>
    </row>
    <row r="12" spans="1:8" s="593" customFormat="1" ht="22.5" customHeight="1" x14ac:dyDescent="0.2">
      <c r="A12" s="596"/>
      <c r="B12" s="597" t="s">
        <v>18</v>
      </c>
      <c r="C12" s="598">
        <v>239595904.19999999</v>
      </c>
      <c r="D12" s="598"/>
      <c r="E12" s="598"/>
      <c r="F12" s="598"/>
      <c r="G12" s="598"/>
    </row>
    <row r="13" spans="1:8" s="12" customFormat="1" ht="22.5" customHeight="1" x14ac:dyDescent="0.25">
      <c r="A13" s="599"/>
      <c r="B13" s="600" t="s">
        <v>258</v>
      </c>
      <c r="C13" s="601">
        <f>2095000+47752000+1050000+25037044.2</f>
        <v>75934044.200000003</v>
      </c>
      <c r="D13" s="601"/>
      <c r="E13" s="601"/>
      <c r="F13" s="601"/>
      <c r="G13" s="601"/>
    </row>
    <row r="14" spans="1:8" s="12" customFormat="1" ht="22.5" customHeight="1" x14ac:dyDescent="0.25">
      <c r="A14" s="599"/>
      <c r="B14" s="600" t="s">
        <v>1017</v>
      </c>
      <c r="C14" s="601">
        <f>4800000+57873000+30785000+8007000+10003000+8566000+2150000+55211250+18780000+460000</f>
        <v>196635250</v>
      </c>
      <c r="D14" s="601"/>
      <c r="E14" s="601"/>
      <c r="F14" s="601"/>
      <c r="G14" s="601"/>
    </row>
    <row r="15" spans="1:8" s="12" customFormat="1" ht="22.5" customHeight="1" x14ac:dyDescent="0.25">
      <c r="A15" s="602"/>
      <c r="B15" s="600" t="s">
        <v>31</v>
      </c>
      <c r="C15" s="601">
        <v>15000</v>
      </c>
      <c r="D15" s="601"/>
      <c r="E15" s="601"/>
      <c r="F15" s="601"/>
      <c r="G15" s="601"/>
    </row>
    <row r="16" spans="1:8" s="603" customFormat="1" ht="22.5" customHeight="1" x14ac:dyDescent="0.25">
      <c r="A16" s="600"/>
      <c r="B16" s="600" t="s">
        <v>1018</v>
      </c>
      <c r="C16" s="604">
        <v>13200772</v>
      </c>
      <c r="D16" s="604"/>
      <c r="E16" s="604"/>
      <c r="F16" s="604"/>
      <c r="G16" s="604"/>
    </row>
    <row r="17" spans="1:253" s="603" customFormat="1" ht="22.5" customHeight="1" x14ac:dyDescent="0.25">
      <c r="A17" s="602"/>
      <c r="B17" s="600" t="s">
        <v>33</v>
      </c>
      <c r="C17" s="601">
        <v>10220291</v>
      </c>
      <c r="D17" s="601"/>
      <c r="E17" s="601"/>
      <c r="F17" s="601"/>
      <c r="G17" s="601"/>
    </row>
    <row r="18" spans="1:253" s="603" customFormat="1" ht="22.5" customHeight="1" x14ac:dyDescent="0.25">
      <c r="A18" s="602"/>
      <c r="B18" s="600" t="s">
        <v>34</v>
      </c>
      <c r="C18" s="601">
        <v>162000</v>
      </c>
      <c r="D18" s="601"/>
      <c r="E18" s="601"/>
      <c r="F18" s="601"/>
      <c r="G18" s="601"/>
    </row>
    <row r="19" spans="1:253" s="603" customFormat="1" ht="22.5" customHeight="1" x14ac:dyDescent="0.25">
      <c r="A19" s="605"/>
      <c r="B19" s="600" t="s">
        <v>624</v>
      </c>
      <c r="C19" s="601">
        <v>250000</v>
      </c>
      <c r="D19" s="601"/>
      <c r="E19" s="601"/>
      <c r="F19" s="601"/>
      <c r="G19" s="601"/>
    </row>
    <row r="20" spans="1:253" s="606" customFormat="1" ht="22.5" customHeight="1" x14ac:dyDescent="0.25">
      <c r="A20" s="607"/>
      <c r="B20" s="608" t="s">
        <v>36</v>
      </c>
      <c r="C20" s="601">
        <f>48246000+47038000+22384120</f>
        <v>117668120</v>
      </c>
      <c r="D20" s="601"/>
      <c r="E20" s="601"/>
      <c r="F20" s="601"/>
      <c r="G20" s="601"/>
    </row>
    <row r="21" spans="1:253" s="12" customFormat="1" ht="22.5" customHeight="1" x14ac:dyDescent="0.25">
      <c r="A21" s="600"/>
      <c r="B21" s="600" t="s">
        <v>710</v>
      </c>
      <c r="C21" s="604">
        <v>28556700</v>
      </c>
      <c r="D21" s="604"/>
      <c r="E21" s="604"/>
      <c r="F21" s="604"/>
      <c r="G21" s="604"/>
    </row>
    <row r="22" spans="1:253" s="12" customFormat="1" ht="22.5" customHeight="1" x14ac:dyDescent="0.25">
      <c r="A22" s="600"/>
      <c r="B22" s="600" t="s">
        <v>713</v>
      </c>
      <c r="C22" s="601">
        <v>31499210</v>
      </c>
      <c r="D22" s="601"/>
      <c r="E22" s="601"/>
      <c r="F22" s="601"/>
      <c r="G22" s="601"/>
    </row>
    <row r="23" spans="1:253" s="12" customFormat="1" ht="22.5" customHeight="1" x14ac:dyDescent="0.25">
      <c r="A23" s="600"/>
      <c r="B23" s="600" t="s">
        <v>729</v>
      </c>
      <c r="C23" s="609">
        <v>166253060</v>
      </c>
      <c r="D23" s="609"/>
      <c r="E23" s="609"/>
      <c r="F23" s="609"/>
      <c r="G23" s="609"/>
    </row>
    <row r="24" spans="1:253" s="12" customFormat="1" ht="22.5" customHeight="1" x14ac:dyDescent="0.25">
      <c r="A24" s="600"/>
      <c r="B24" s="600" t="s">
        <v>43</v>
      </c>
      <c r="C24" s="609">
        <f>1300000+14623250</f>
        <v>15923250</v>
      </c>
      <c r="D24" s="609"/>
      <c r="E24" s="609"/>
      <c r="F24" s="609"/>
      <c r="G24" s="609"/>
    </row>
    <row r="25" spans="1:253" s="12" customFormat="1" ht="22.5" customHeight="1" x14ac:dyDescent="0.25">
      <c r="A25" s="600"/>
      <c r="B25" s="600" t="s">
        <v>771</v>
      </c>
      <c r="C25" s="601">
        <v>18717400</v>
      </c>
      <c r="D25" s="601"/>
      <c r="E25" s="601"/>
      <c r="F25" s="601"/>
      <c r="G25" s="601"/>
    </row>
    <row r="26" spans="1:253" s="12" customFormat="1" ht="22.5" customHeight="1" x14ac:dyDescent="0.25">
      <c r="A26" s="600"/>
      <c r="B26" s="600" t="s">
        <v>1019</v>
      </c>
      <c r="C26" s="604">
        <f>87247000+300000</f>
        <v>87547000</v>
      </c>
      <c r="D26" s="604"/>
      <c r="E26" s="604"/>
      <c r="F26" s="604"/>
      <c r="G26" s="604"/>
    </row>
    <row r="27" spans="1:253" s="12" customFormat="1" ht="22.5" customHeight="1" x14ac:dyDescent="0.25">
      <c r="A27" s="600"/>
      <c r="B27" s="600" t="s">
        <v>797</v>
      </c>
      <c r="C27" s="601">
        <v>151698000</v>
      </c>
      <c r="D27" s="601"/>
      <c r="E27" s="601"/>
      <c r="F27" s="601"/>
      <c r="G27" s="601"/>
    </row>
    <row r="28" spans="1:253" s="610" customFormat="1" ht="22.5" customHeight="1" x14ac:dyDescent="0.25">
      <c r="A28" s="600"/>
      <c r="B28" s="600" t="s">
        <v>1020</v>
      </c>
      <c r="C28" s="604">
        <f>550000+595000</f>
        <v>1145000</v>
      </c>
      <c r="D28" s="604"/>
      <c r="E28" s="604"/>
      <c r="F28" s="604"/>
      <c r="G28" s="604"/>
      <c r="IM28" s="603"/>
      <c r="IN28" s="603"/>
      <c r="IO28" s="603"/>
      <c r="IP28" s="603"/>
      <c r="IQ28" s="603"/>
      <c r="IR28" s="603"/>
      <c r="IS28" s="603"/>
    </row>
    <row r="29" spans="1:253" s="603" customFormat="1" ht="22.5" customHeight="1" x14ac:dyDescent="0.25">
      <c r="A29" s="611"/>
      <c r="B29" s="611" t="s">
        <v>54</v>
      </c>
      <c r="C29" s="612">
        <v>85052500</v>
      </c>
      <c r="D29" s="612"/>
      <c r="E29" s="612"/>
      <c r="F29" s="612"/>
      <c r="G29" s="612"/>
    </row>
    <row r="30" spans="1:253" s="98" customFormat="1" ht="23.25" x14ac:dyDescent="0.35">
      <c r="A30" s="613"/>
      <c r="B30" s="613" t="s">
        <v>55</v>
      </c>
      <c r="C30" s="614">
        <f>SUM(C13+C14+C15+C16+C17+C18+C19+C20+C21+C22+C23+C24+C25+C26+C27+C28+C29)</f>
        <v>1000477597.2</v>
      </c>
      <c r="D30" s="615"/>
      <c r="E30" s="615"/>
      <c r="F30" s="616"/>
      <c r="G30" s="614"/>
    </row>
    <row r="31" spans="1:253" ht="22.5" customHeight="1" x14ac:dyDescent="0.3">
      <c r="A31" s="617"/>
      <c r="B31" s="618" t="s">
        <v>56</v>
      </c>
      <c r="C31" s="619"/>
      <c r="D31" s="619"/>
      <c r="E31" s="619"/>
      <c r="F31" s="619"/>
      <c r="G31" s="620"/>
    </row>
    <row r="32" spans="1:253" s="244" customFormat="1" ht="16.5" customHeight="1" x14ac:dyDescent="0.25">
      <c r="A32" s="621"/>
      <c r="B32" s="622" t="s">
        <v>57</v>
      </c>
      <c r="C32" s="623">
        <f>SUM(C33:C44,C48:C53,C60:C63)</f>
        <v>520342400</v>
      </c>
      <c r="D32" s="623"/>
      <c r="E32" s="623"/>
      <c r="F32" s="623"/>
      <c r="G32" s="624"/>
    </row>
    <row r="33" spans="1:7" s="98" customFormat="1" ht="12.75" customHeight="1" x14ac:dyDescent="0.2">
      <c r="A33" s="625">
        <v>1111</v>
      </c>
      <c r="B33" s="626" t="s">
        <v>1021</v>
      </c>
      <c r="C33" s="572">
        <f>(42800000*0.161362/100)*1000-4062936</f>
        <v>65000000</v>
      </c>
      <c r="D33" s="572"/>
      <c r="E33" s="572"/>
      <c r="F33" s="572"/>
      <c r="G33" s="627"/>
    </row>
    <row r="34" spans="1:7" s="98" customFormat="1" ht="12.75" customHeight="1" x14ac:dyDescent="0.2">
      <c r="A34" s="628">
        <v>1111</v>
      </c>
      <c r="B34" s="629" t="s">
        <v>1022</v>
      </c>
      <c r="C34" s="630">
        <f>(2500000*0.24754/100)*1000-188500</f>
        <v>6000000</v>
      </c>
      <c r="D34" s="630"/>
      <c r="E34" s="630"/>
      <c r="F34" s="630"/>
      <c r="G34" s="631"/>
    </row>
    <row r="35" spans="1:7" s="98" customFormat="1" ht="12.75" customHeight="1" x14ac:dyDescent="0.2">
      <c r="A35" s="628">
        <v>1112</v>
      </c>
      <c r="B35" s="629" t="s">
        <v>1023</v>
      </c>
      <c r="C35" s="632">
        <f>(2800000*0.161362/100)*1000-518136</f>
        <v>4000000</v>
      </c>
      <c r="D35" s="632"/>
      <c r="E35" s="632"/>
      <c r="F35" s="632"/>
      <c r="G35" s="633"/>
    </row>
    <row r="36" spans="1:7" s="98" customFormat="1" ht="12.75" customHeight="1" x14ac:dyDescent="0.2">
      <c r="A36" s="628">
        <v>1113</v>
      </c>
      <c r="B36" s="629" t="s">
        <v>1024</v>
      </c>
      <c r="C36" s="632">
        <f>(9000000*0.161362/100)*1000-1522580</f>
        <v>13000000</v>
      </c>
      <c r="D36" s="632"/>
      <c r="E36" s="632"/>
      <c r="F36" s="632"/>
      <c r="G36" s="633"/>
    </row>
    <row r="37" spans="1:7" s="98" customFormat="1" ht="12.75" customHeight="1" x14ac:dyDescent="0.2">
      <c r="A37" s="628">
        <v>1121</v>
      </c>
      <c r="B37" s="629" t="s">
        <v>1025</v>
      </c>
      <c r="C37" s="632">
        <f>(63100000*0.161362/100)*1000-1819422</f>
        <v>100000000</v>
      </c>
      <c r="D37" s="632"/>
      <c r="E37" s="632"/>
      <c r="F37" s="632"/>
      <c r="G37" s="633"/>
    </row>
    <row r="38" spans="1:7" s="98" customFormat="1" ht="25.5" customHeight="1" x14ac:dyDescent="0.2">
      <c r="A38" s="628">
        <v>1122</v>
      </c>
      <c r="B38" s="634" t="s">
        <v>1026</v>
      </c>
      <c r="C38" s="635">
        <v>40000000</v>
      </c>
      <c r="D38" s="635"/>
      <c r="E38" s="635"/>
      <c r="F38" s="635"/>
      <c r="G38" s="636"/>
    </row>
    <row r="39" spans="1:7" s="98" customFormat="1" ht="12.75" customHeight="1" x14ac:dyDescent="0.2">
      <c r="A39" s="628">
        <v>1211</v>
      </c>
      <c r="B39" s="629" t="s">
        <v>1027</v>
      </c>
      <c r="C39" s="632">
        <f>(152800000*0.161362/100)*1000-1561136</f>
        <v>245000000.00000003</v>
      </c>
      <c r="D39" s="632"/>
      <c r="E39" s="632"/>
      <c r="F39" s="632"/>
      <c r="G39" s="633"/>
    </row>
    <row r="40" spans="1:7" s="98" customFormat="1" ht="25.5" x14ac:dyDescent="0.2">
      <c r="A40" s="628">
        <v>1334</v>
      </c>
      <c r="B40" s="634" t="s">
        <v>1028</v>
      </c>
      <c r="C40" s="637">
        <v>50000</v>
      </c>
      <c r="D40" s="637"/>
      <c r="E40" s="637"/>
      <c r="F40" s="637"/>
      <c r="G40" s="633"/>
    </row>
    <row r="41" spans="1:7" s="98" customFormat="1" ht="12.75" customHeight="1" x14ac:dyDescent="0.2">
      <c r="A41" s="628">
        <v>1335</v>
      </c>
      <c r="B41" s="629" t="s">
        <v>1029</v>
      </c>
      <c r="C41" s="637">
        <v>5000</v>
      </c>
      <c r="D41" s="637"/>
      <c r="E41" s="637"/>
      <c r="F41" s="637"/>
      <c r="G41" s="633"/>
    </row>
    <row r="42" spans="1:7" s="98" customFormat="1" ht="12.75" customHeight="1" x14ac:dyDescent="0.2">
      <c r="A42" s="628">
        <v>1336</v>
      </c>
      <c r="B42" s="629" t="s">
        <v>1030</v>
      </c>
      <c r="C42" s="637">
        <v>8400</v>
      </c>
      <c r="D42" s="637"/>
      <c r="E42" s="637"/>
      <c r="F42" s="637"/>
      <c r="G42" s="638"/>
    </row>
    <row r="43" spans="1:7" s="98" customFormat="1" ht="12.75" customHeight="1" x14ac:dyDescent="0.2">
      <c r="A43" s="628">
        <v>1341</v>
      </c>
      <c r="B43" s="629" t="s">
        <v>1031</v>
      </c>
      <c r="C43" s="637">
        <v>600000</v>
      </c>
      <c r="D43" s="637"/>
      <c r="E43" s="637"/>
      <c r="F43" s="637"/>
      <c r="G43" s="639"/>
    </row>
    <row r="44" spans="1:7" s="98" customFormat="1" ht="12.75" customHeight="1" x14ac:dyDescent="0.2">
      <c r="A44" s="628">
        <v>1343</v>
      </c>
      <c r="B44" s="629" t="s">
        <v>1032</v>
      </c>
      <c r="C44" s="640">
        <f>SUM(C45:C47)</f>
        <v>270000</v>
      </c>
      <c r="D44" s="640"/>
      <c r="E44" s="640"/>
      <c r="F44" s="640"/>
      <c r="G44" s="641"/>
    </row>
    <row r="45" spans="1:7" ht="12.75" customHeight="1" x14ac:dyDescent="0.2">
      <c r="A45" s="642" t="s">
        <v>1033</v>
      </c>
      <c r="B45" s="643" t="s">
        <v>1034</v>
      </c>
      <c r="C45" s="644">
        <v>120000</v>
      </c>
      <c r="D45" s="644"/>
      <c r="E45" s="644"/>
      <c r="F45" s="644"/>
      <c r="G45" s="645"/>
    </row>
    <row r="46" spans="1:7" ht="12.75" customHeight="1" x14ac:dyDescent="0.2">
      <c r="A46" s="646"/>
      <c r="B46" s="643" t="s">
        <v>1035</v>
      </c>
      <c r="C46" s="644">
        <v>65000</v>
      </c>
      <c r="D46" s="644"/>
      <c r="E46" s="644"/>
      <c r="F46" s="644"/>
      <c r="G46" s="645"/>
    </row>
    <row r="47" spans="1:7" ht="12.75" customHeight="1" x14ac:dyDescent="0.2">
      <c r="A47" s="646"/>
      <c r="B47" s="643" t="s">
        <v>1036</v>
      </c>
      <c r="C47" s="644">
        <v>85000</v>
      </c>
      <c r="D47" s="644"/>
      <c r="E47" s="644"/>
      <c r="F47" s="644"/>
      <c r="G47" s="647"/>
    </row>
    <row r="48" spans="1:7" ht="25.5" x14ac:dyDescent="0.2">
      <c r="A48" s="648">
        <v>1345</v>
      </c>
      <c r="B48" s="634" t="s">
        <v>1037</v>
      </c>
      <c r="C48" s="637">
        <v>12500000</v>
      </c>
      <c r="D48" s="637"/>
      <c r="E48" s="637"/>
      <c r="F48" s="637"/>
      <c r="G48" s="638"/>
    </row>
    <row r="49" spans="1:29" s="98" customFormat="1" ht="24.75" x14ac:dyDescent="0.2">
      <c r="A49" s="628">
        <v>1346</v>
      </c>
      <c r="B49" s="634" t="s">
        <v>1038</v>
      </c>
      <c r="C49" s="637">
        <v>121000</v>
      </c>
      <c r="D49" s="637"/>
      <c r="E49" s="637"/>
      <c r="F49" s="637"/>
      <c r="G49" s="639"/>
    </row>
    <row r="50" spans="1:29" s="98" customFormat="1" ht="12.75" customHeight="1" x14ac:dyDescent="0.2">
      <c r="A50" s="628">
        <v>1353</v>
      </c>
      <c r="B50" s="629" t="s">
        <v>1039</v>
      </c>
      <c r="C50" s="637">
        <v>550000</v>
      </c>
      <c r="D50" s="637"/>
      <c r="E50" s="637"/>
      <c r="F50" s="637"/>
      <c r="G50" s="633"/>
    </row>
    <row r="51" spans="1:29" s="98" customFormat="1" ht="12.75" customHeight="1" x14ac:dyDescent="0.2">
      <c r="A51" s="628">
        <v>1356</v>
      </c>
      <c r="B51" s="629" t="s">
        <v>1040</v>
      </c>
      <c r="C51" s="635">
        <v>250000</v>
      </c>
      <c r="D51" s="635"/>
      <c r="E51" s="635"/>
      <c r="F51" s="635"/>
      <c r="G51" s="633"/>
    </row>
    <row r="52" spans="1:29" s="98" customFormat="1" ht="12.75" customHeight="1" x14ac:dyDescent="0.2">
      <c r="A52" s="628">
        <v>1359</v>
      </c>
      <c r="B52" s="629" t="s">
        <v>1041</v>
      </c>
      <c r="C52" s="635">
        <v>0</v>
      </c>
      <c r="D52" s="635"/>
      <c r="E52" s="635"/>
      <c r="F52" s="635"/>
      <c r="G52" s="633"/>
    </row>
    <row r="53" spans="1:29" s="98" customFormat="1" ht="12.75" customHeight="1" x14ac:dyDescent="0.2">
      <c r="A53" s="628">
        <v>1361</v>
      </c>
      <c r="B53" s="629" t="s">
        <v>1042</v>
      </c>
      <c r="C53" s="640">
        <f>SUM(C54:C59)</f>
        <v>8488000</v>
      </c>
      <c r="D53" s="640"/>
      <c r="E53" s="640"/>
      <c r="F53" s="640"/>
      <c r="G53" s="641"/>
    </row>
    <row r="54" spans="1:29" ht="12.75" customHeight="1" x14ac:dyDescent="0.2">
      <c r="A54" s="646"/>
      <c r="B54" s="643" t="s">
        <v>1043</v>
      </c>
      <c r="C54" s="644">
        <v>5400000</v>
      </c>
      <c r="D54" s="644"/>
      <c r="E54" s="644"/>
      <c r="F54" s="644"/>
      <c r="G54" s="645"/>
    </row>
    <row r="55" spans="1:29" ht="27.75" customHeight="1" x14ac:dyDescent="0.2">
      <c r="A55" s="649" t="s">
        <v>1044</v>
      </c>
      <c r="B55" s="650" t="s">
        <v>1045</v>
      </c>
      <c r="C55" s="644">
        <v>400000</v>
      </c>
      <c r="D55" s="644"/>
      <c r="E55" s="644"/>
      <c r="F55" s="644"/>
      <c r="G55" s="651"/>
    </row>
    <row r="56" spans="1:29" ht="12.75" customHeight="1" x14ac:dyDescent="0.2">
      <c r="A56" s="646"/>
      <c r="B56" s="643" t="s">
        <v>1046</v>
      </c>
      <c r="C56" s="644">
        <v>1000000</v>
      </c>
      <c r="D56" s="644"/>
      <c r="E56" s="644"/>
      <c r="F56" s="644"/>
      <c r="G56" s="645"/>
    </row>
    <row r="57" spans="1:29" s="126" customFormat="1" ht="12.75" customHeight="1" x14ac:dyDescent="0.2">
      <c r="A57" s="642" t="s">
        <v>1047</v>
      </c>
      <c r="B57" s="643" t="s">
        <v>1048</v>
      </c>
      <c r="C57" s="652">
        <v>1500000</v>
      </c>
      <c r="D57" s="652"/>
      <c r="E57" s="652"/>
      <c r="F57" s="652"/>
      <c r="G57" s="651"/>
      <c r="H57" s="130"/>
      <c r="I57" s="130"/>
      <c r="J57" s="130"/>
      <c r="K57" s="130"/>
      <c r="L57" s="130"/>
      <c r="M57" s="130"/>
      <c r="N57" s="130"/>
      <c r="O57" s="130"/>
      <c r="P57" s="130"/>
      <c r="Q57" s="130"/>
      <c r="R57" s="130"/>
      <c r="S57" s="130"/>
      <c r="T57" s="130"/>
      <c r="U57" s="130"/>
      <c r="V57" s="130"/>
      <c r="W57" s="130"/>
      <c r="X57" s="130"/>
      <c r="Y57" s="130"/>
      <c r="Z57" s="130"/>
      <c r="AA57" s="130"/>
      <c r="AB57" s="130"/>
      <c r="AC57" s="130"/>
    </row>
    <row r="58" spans="1:29" ht="12.75" customHeight="1" x14ac:dyDescent="0.2">
      <c r="A58" s="646"/>
      <c r="B58" s="643" t="s">
        <v>1049</v>
      </c>
      <c r="C58" s="652">
        <v>182000</v>
      </c>
      <c r="D58" s="652"/>
      <c r="E58" s="652"/>
      <c r="F58" s="652"/>
      <c r="G58" s="647"/>
    </row>
    <row r="59" spans="1:29" ht="12.75" customHeight="1" x14ac:dyDescent="0.2">
      <c r="A59" s="646"/>
      <c r="B59" s="643" t="s">
        <v>1050</v>
      </c>
      <c r="C59" s="644">
        <v>6000</v>
      </c>
      <c r="D59" s="644"/>
      <c r="E59" s="644"/>
      <c r="F59" s="644"/>
      <c r="G59" s="645"/>
    </row>
    <row r="60" spans="1:29" ht="12.75" customHeight="1" x14ac:dyDescent="0.2">
      <c r="A60" s="642" t="s">
        <v>1051</v>
      </c>
      <c r="B60" s="629" t="s">
        <v>1052</v>
      </c>
      <c r="C60" s="637">
        <v>2500000</v>
      </c>
      <c r="D60" s="637"/>
      <c r="E60" s="637"/>
      <c r="F60" s="637"/>
      <c r="G60" s="633"/>
    </row>
    <row r="61" spans="1:29" ht="12.75" customHeight="1" x14ac:dyDescent="0.2">
      <c r="A61" s="642" t="s">
        <v>1053</v>
      </c>
      <c r="B61" s="629" t="s">
        <v>1054</v>
      </c>
      <c r="C61" s="637">
        <v>0</v>
      </c>
      <c r="D61" s="637"/>
      <c r="E61" s="637"/>
      <c r="F61" s="637"/>
      <c r="G61" s="633"/>
    </row>
    <row r="62" spans="1:29" ht="12.75" customHeight="1" x14ac:dyDescent="0.2">
      <c r="A62" s="642" t="s">
        <v>1055</v>
      </c>
      <c r="B62" s="629" t="s">
        <v>1056</v>
      </c>
      <c r="C62" s="637">
        <v>11000000</v>
      </c>
      <c r="D62" s="637"/>
      <c r="E62" s="637"/>
      <c r="F62" s="637"/>
      <c r="G62" s="633"/>
    </row>
    <row r="63" spans="1:29" s="98" customFormat="1" ht="12.75" customHeight="1" x14ac:dyDescent="0.2">
      <c r="A63" s="628">
        <v>1511</v>
      </c>
      <c r="B63" s="629" t="s">
        <v>1057</v>
      </c>
      <c r="C63" s="635">
        <v>11000000</v>
      </c>
      <c r="D63" s="635"/>
      <c r="E63" s="635"/>
      <c r="F63" s="635"/>
      <c r="G63" s="633"/>
    </row>
    <row r="64" spans="1:29" s="98" customFormat="1" ht="12.75" customHeight="1" x14ac:dyDescent="0.2">
      <c r="A64" s="653"/>
      <c r="B64" s="654"/>
      <c r="C64" s="655"/>
      <c r="D64" s="655"/>
      <c r="E64" s="655"/>
      <c r="F64" s="655"/>
      <c r="G64" s="656"/>
    </row>
    <row r="65" spans="1:58" s="244" customFormat="1" ht="16.5" customHeight="1" x14ac:dyDescent="0.25">
      <c r="A65" s="621"/>
      <c r="B65" s="657" t="s">
        <v>10</v>
      </c>
      <c r="C65" s="658">
        <f>SUM(C66,C75:C78,C90:C91,C102:C103,C116:C119,C133:C133)</f>
        <v>153980616.31999999</v>
      </c>
      <c r="D65" s="658"/>
      <c r="E65" s="658"/>
      <c r="F65" s="658"/>
      <c r="G65" s="659"/>
    </row>
    <row r="66" spans="1:58" s="98" customFormat="1" ht="12.75" customHeight="1" x14ac:dyDescent="0.2">
      <c r="A66" s="660">
        <v>2111</v>
      </c>
      <c r="B66" s="626" t="s">
        <v>1058</v>
      </c>
      <c r="C66" s="661">
        <f>SUM(C67:C74)</f>
        <v>14425500</v>
      </c>
      <c r="D66" s="661"/>
      <c r="E66" s="661"/>
      <c r="F66" s="661"/>
      <c r="G66" s="662"/>
    </row>
    <row r="67" spans="1:58" ht="12.75" customHeight="1" x14ac:dyDescent="0.2">
      <c r="A67" s="663"/>
      <c r="B67" s="643" t="s">
        <v>1059</v>
      </c>
      <c r="C67" s="644">
        <v>800000</v>
      </c>
      <c r="D67" s="644"/>
      <c r="E67" s="644"/>
      <c r="F67" s="644"/>
      <c r="G67" s="645"/>
    </row>
    <row r="68" spans="1:58" ht="12.75" customHeight="1" x14ac:dyDescent="0.2">
      <c r="A68" s="664"/>
      <c r="B68" s="643" t="s">
        <v>1060</v>
      </c>
      <c r="C68" s="644">
        <v>869000</v>
      </c>
      <c r="D68" s="644"/>
      <c r="E68" s="644"/>
      <c r="F68" s="644"/>
      <c r="G68" s="645"/>
    </row>
    <row r="69" spans="1:58" s="665" customFormat="1" ht="12.75" customHeight="1" x14ac:dyDescent="0.2">
      <c r="A69" s="664"/>
      <c r="B69" s="643" t="s">
        <v>1061</v>
      </c>
      <c r="C69" s="644">
        <v>5555000</v>
      </c>
      <c r="D69" s="644"/>
      <c r="E69" s="644"/>
      <c r="F69" s="644"/>
      <c r="G69" s="645"/>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row>
    <row r="70" spans="1:58" s="665" customFormat="1" ht="12.75" customHeight="1" x14ac:dyDescent="0.2">
      <c r="A70" s="664"/>
      <c r="B70" s="643" t="s">
        <v>1062</v>
      </c>
      <c r="C70" s="644">
        <v>1850000</v>
      </c>
      <c r="D70" s="644"/>
      <c r="E70" s="644"/>
      <c r="F70" s="644"/>
      <c r="G70" s="645"/>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row>
    <row r="71" spans="1:58" s="665" customFormat="1" ht="12.75" customHeight="1" x14ac:dyDescent="0.2">
      <c r="A71" s="664"/>
      <c r="B71" s="643" t="s">
        <v>1063</v>
      </c>
      <c r="C71" s="644">
        <v>2600000</v>
      </c>
      <c r="D71" s="644"/>
      <c r="E71" s="644"/>
      <c r="F71" s="644"/>
      <c r="G71" s="645"/>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row>
    <row r="72" spans="1:58" ht="12.75" customHeight="1" x14ac:dyDescent="0.2">
      <c r="A72" s="664"/>
      <c r="B72" s="643" t="s">
        <v>1064</v>
      </c>
      <c r="C72" s="644">
        <v>2700000</v>
      </c>
      <c r="D72" s="644"/>
      <c r="E72" s="644"/>
      <c r="F72" s="644"/>
      <c r="G72" s="645"/>
    </row>
    <row r="73" spans="1:58" ht="12.75" customHeight="1" x14ac:dyDescent="0.2">
      <c r="A73" s="664"/>
      <c r="B73" s="643" t="s">
        <v>1065</v>
      </c>
      <c r="C73" s="644">
        <v>51000</v>
      </c>
      <c r="D73" s="644"/>
      <c r="E73" s="644"/>
      <c r="F73" s="644"/>
      <c r="G73" s="645"/>
    </row>
    <row r="74" spans="1:58" ht="12.75" customHeight="1" x14ac:dyDescent="0.2">
      <c r="A74" s="664"/>
      <c r="B74" s="643" t="s">
        <v>1066</v>
      </c>
      <c r="C74" s="644">
        <v>500</v>
      </c>
      <c r="D74" s="644"/>
      <c r="E74" s="644"/>
      <c r="F74" s="644"/>
      <c r="G74" s="645"/>
    </row>
    <row r="75" spans="1:58" s="666" customFormat="1" x14ac:dyDescent="0.2">
      <c r="A75" s="663">
        <v>2119</v>
      </c>
      <c r="B75" s="634" t="s">
        <v>1067</v>
      </c>
      <c r="C75" s="637">
        <v>4041000</v>
      </c>
      <c r="D75" s="637"/>
      <c r="E75" s="637"/>
      <c r="F75" s="637"/>
      <c r="G75" s="636"/>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c r="AL75" s="98"/>
      <c r="AM75" s="98"/>
      <c r="AN75" s="98"/>
      <c r="AO75" s="98"/>
      <c r="AP75" s="98"/>
      <c r="AQ75" s="98"/>
      <c r="AR75" s="98"/>
      <c r="AS75" s="98"/>
      <c r="AT75" s="98"/>
      <c r="AU75" s="98"/>
      <c r="AV75" s="98"/>
      <c r="AW75" s="98"/>
      <c r="AX75" s="98"/>
      <c r="AY75" s="98"/>
      <c r="AZ75" s="98"/>
      <c r="BA75" s="98"/>
      <c r="BB75" s="98"/>
      <c r="BC75" s="98"/>
      <c r="BD75" s="98"/>
      <c r="BE75" s="98"/>
      <c r="BF75" s="98"/>
    </row>
    <row r="76" spans="1:58" s="98" customFormat="1" ht="12.75" customHeight="1" x14ac:dyDescent="0.2">
      <c r="A76" s="663">
        <v>2122</v>
      </c>
      <c r="B76" s="629" t="s">
        <v>1068</v>
      </c>
      <c r="C76" s="667">
        <f>3482748.36+196380+4788</f>
        <v>3683916.36</v>
      </c>
      <c r="D76" s="667"/>
      <c r="E76" s="667"/>
      <c r="F76" s="667"/>
      <c r="G76" s="633"/>
    </row>
    <row r="77" spans="1:58" s="98" customFormat="1" ht="27" customHeight="1" x14ac:dyDescent="0.2">
      <c r="A77" s="663">
        <v>2131</v>
      </c>
      <c r="B77" s="634" t="s">
        <v>1069</v>
      </c>
      <c r="C77" s="637">
        <v>1150000</v>
      </c>
      <c r="D77" s="637"/>
      <c r="E77" s="637"/>
      <c r="F77" s="637"/>
      <c r="G77" s="639"/>
    </row>
    <row r="78" spans="1:58" s="98" customFormat="1" ht="12.75" customHeight="1" x14ac:dyDescent="0.2">
      <c r="A78" s="663">
        <v>2132</v>
      </c>
      <c r="B78" s="629" t="s">
        <v>1070</v>
      </c>
      <c r="C78" s="635">
        <f>SUM(C79:C89)</f>
        <v>98533661.960000008</v>
      </c>
      <c r="D78" s="635"/>
      <c r="E78" s="635"/>
      <c r="F78" s="635"/>
      <c r="G78" s="636"/>
    </row>
    <row r="79" spans="1:58" ht="12.75" customHeight="1" x14ac:dyDescent="0.2">
      <c r="A79" s="664"/>
      <c r="B79" s="643" t="s">
        <v>1071</v>
      </c>
      <c r="C79" s="644">
        <v>750000</v>
      </c>
      <c r="D79" s="644"/>
      <c r="E79" s="644"/>
      <c r="F79" s="644"/>
      <c r="G79" s="645"/>
    </row>
    <row r="80" spans="1:58" ht="12.75" customHeight="1" x14ac:dyDescent="0.2">
      <c r="A80" s="664"/>
      <c r="B80" s="643" t="s">
        <v>1072</v>
      </c>
      <c r="C80" s="644">
        <v>0</v>
      </c>
      <c r="D80" s="644"/>
      <c r="E80" s="644"/>
      <c r="F80" s="644"/>
      <c r="G80" s="645"/>
    </row>
    <row r="81" spans="1:58" ht="12.75" customHeight="1" x14ac:dyDescent="0.2">
      <c r="A81" s="664"/>
      <c r="B81" s="643" t="s">
        <v>1073</v>
      </c>
      <c r="C81" s="644">
        <v>600000</v>
      </c>
      <c r="D81" s="644"/>
      <c r="E81" s="644"/>
      <c r="F81" s="644"/>
      <c r="G81" s="645"/>
    </row>
    <row r="82" spans="1:58" s="665" customFormat="1" ht="12.75" customHeight="1" x14ac:dyDescent="0.2">
      <c r="A82" s="664"/>
      <c r="B82" s="643" t="s">
        <v>1074</v>
      </c>
      <c r="C82" s="644">
        <v>300000</v>
      </c>
      <c r="D82" s="644"/>
      <c r="E82" s="644"/>
      <c r="F82" s="644"/>
      <c r="G82" s="645"/>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row>
    <row r="83" spans="1:58" s="665" customFormat="1" ht="25.5" customHeight="1" x14ac:dyDescent="0.2">
      <c r="A83" s="664"/>
      <c r="B83" s="650" t="s">
        <v>1075</v>
      </c>
      <c r="C83" s="644">
        <v>60721000</v>
      </c>
      <c r="D83" s="644"/>
      <c r="E83" s="644"/>
      <c r="F83" s="644"/>
      <c r="G83" s="645"/>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row>
    <row r="84" spans="1:58" x14ac:dyDescent="0.2">
      <c r="A84" s="664"/>
      <c r="B84" s="650" t="s">
        <v>1076</v>
      </c>
      <c r="C84" s="644">
        <v>110123.96</v>
      </c>
      <c r="D84" s="644"/>
      <c r="E84" s="644"/>
      <c r="F84" s="644"/>
      <c r="G84" s="645"/>
    </row>
    <row r="85" spans="1:58" ht="12.75" customHeight="1" x14ac:dyDescent="0.2">
      <c r="A85" s="664"/>
      <c r="B85" s="643" t="s">
        <v>1077</v>
      </c>
      <c r="C85" s="644">
        <v>470000</v>
      </c>
      <c r="D85" s="644"/>
      <c r="E85" s="644"/>
      <c r="F85" s="644"/>
      <c r="G85" s="645"/>
    </row>
    <row r="86" spans="1:58" s="665" customFormat="1" ht="36.75" customHeight="1" x14ac:dyDescent="0.2">
      <c r="A86" s="664"/>
      <c r="B86" s="668" t="s">
        <v>1078</v>
      </c>
      <c r="C86" s="644">
        <v>16666000</v>
      </c>
      <c r="D86" s="644"/>
      <c r="E86" s="644"/>
      <c r="F86" s="644"/>
      <c r="G86" s="645"/>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row>
    <row r="87" spans="1:58" s="665" customFormat="1" ht="12.75" customHeight="1" x14ac:dyDescent="0.2">
      <c r="A87" s="664"/>
      <c r="B87" s="643" t="s">
        <v>1079</v>
      </c>
      <c r="C87" s="644">
        <v>18881538</v>
      </c>
      <c r="D87" s="644"/>
      <c r="E87" s="644"/>
      <c r="F87" s="644"/>
      <c r="G87" s="645"/>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row>
    <row r="88" spans="1:58" s="665" customFormat="1" ht="12.75" customHeight="1" x14ac:dyDescent="0.2">
      <c r="A88" s="664"/>
      <c r="B88" s="643" t="s">
        <v>1080</v>
      </c>
      <c r="C88" s="644">
        <v>20000</v>
      </c>
      <c r="D88" s="644"/>
      <c r="E88" s="644"/>
      <c r="F88" s="644"/>
      <c r="G88" s="645"/>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row>
    <row r="89" spans="1:58" ht="12.75" customHeight="1" x14ac:dyDescent="0.2">
      <c r="A89" s="664"/>
      <c r="B89" s="643" t="s">
        <v>1081</v>
      </c>
      <c r="C89" s="644">
        <v>15000</v>
      </c>
      <c r="D89" s="644"/>
      <c r="E89" s="644"/>
      <c r="F89" s="644"/>
      <c r="G89" s="645"/>
    </row>
    <row r="90" spans="1:58" s="98" customFormat="1" ht="12.75" customHeight="1" x14ac:dyDescent="0.2">
      <c r="A90" s="663">
        <v>2141</v>
      </c>
      <c r="B90" s="629" t="s">
        <v>118</v>
      </c>
      <c r="C90" s="637">
        <v>10000</v>
      </c>
      <c r="D90" s="637"/>
      <c r="E90" s="637"/>
      <c r="F90" s="637"/>
      <c r="G90" s="633"/>
    </row>
    <row r="91" spans="1:58" s="98" customFormat="1" ht="12.75" customHeight="1" x14ac:dyDescent="0.2">
      <c r="A91" s="663">
        <v>2212</v>
      </c>
      <c r="B91" s="629" t="s">
        <v>1082</v>
      </c>
      <c r="C91" s="635">
        <f>SUM(C92:C101)</f>
        <v>11537000</v>
      </c>
      <c r="D91" s="635"/>
      <c r="E91" s="635"/>
      <c r="F91" s="635"/>
      <c r="G91" s="636"/>
    </row>
    <row r="92" spans="1:58" ht="12.75" customHeight="1" x14ac:dyDescent="0.2">
      <c r="A92" s="642" t="s">
        <v>1083</v>
      </c>
      <c r="B92" s="643" t="s">
        <v>1084</v>
      </c>
      <c r="C92" s="644">
        <v>12000</v>
      </c>
      <c r="D92" s="644"/>
      <c r="E92" s="644"/>
      <c r="F92" s="644"/>
      <c r="G92" s="645"/>
    </row>
    <row r="93" spans="1:58" ht="12.75" customHeight="1" x14ac:dyDescent="0.2">
      <c r="A93" s="664"/>
      <c r="B93" s="643" t="s">
        <v>121</v>
      </c>
      <c r="C93" s="644">
        <v>55000</v>
      </c>
      <c r="D93" s="644"/>
      <c r="E93" s="644"/>
      <c r="F93" s="644"/>
      <c r="G93" s="645"/>
    </row>
    <row r="94" spans="1:58" ht="12.75" customHeight="1" x14ac:dyDescent="0.2">
      <c r="A94" s="664"/>
      <c r="B94" s="643" t="s">
        <v>1085</v>
      </c>
      <c r="C94" s="669">
        <v>2500000</v>
      </c>
      <c r="D94" s="669"/>
      <c r="E94" s="669"/>
      <c r="F94" s="669"/>
      <c r="G94" s="645"/>
    </row>
    <row r="95" spans="1:58" ht="12.75" customHeight="1" x14ac:dyDescent="0.2">
      <c r="A95" s="664"/>
      <c r="B95" s="643" t="s">
        <v>1086</v>
      </c>
      <c r="C95" s="669">
        <v>7500000</v>
      </c>
      <c r="D95" s="669"/>
      <c r="E95" s="669"/>
      <c r="F95" s="669"/>
      <c r="G95" s="670"/>
    </row>
    <row r="96" spans="1:58" s="665" customFormat="1" ht="12.75" customHeight="1" x14ac:dyDescent="0.2">
      <c r="A96" s="664"/>
      <c r="B96" s="643" t="s">
        <v>1087</v>
      </c>
      <c r="C96" s="644">
        <v>400000</v>
      </c>
      <c r="D96" s="644"/>
      <c r="E96" s="644"/>
      <c r="F96" s="644"/>
      <c r="G96" s="670"/>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row>
    <row r="97" spans="1:58" s="665" customFormat="1" ht="12.75" customHeight="1" x14ac:dyDescent="0.2">
      <c r="A97" s="664"/>
      <c r="B97" s="643" t="s">
        <v>1088</v>
      </c>
      <c r="C97" s="644">
        <v>50000</v>
      </c>
      <c r="D97" s="644"/>
      <c r="E97" s="644"/>
      <c r="F97" s="644"/>
      <c r="G97" s="645"/>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row>
    <row r="98" spans="1:58" ht="12.75" customHeight="1" x14ac:dyDescent="0.2">
      <c r="A98" s="664"/>
      <c r="B98" s="643" t="s">
        <v>126</v>
      </c>
      <c r="C98" s="644">
        <v>0</v>
      </c>
      <c r="D98" s="644"/>
      <c r="E98" s="644"/>
      <c r="F98" s="644"/>
      <c r="G98" s="645"/>
    </row>
    <row r="99" spans="1:58" ht="12.75" customHeight="1" x14ac:dyDescent="0.2">
      <c r="A99" s="664"/>
      <c r="B99" s="643" t="s">
        <v>1089</v>
      </c>
      <c r="C99" s="644">
        <v>650000</v>
      </c>
      <c r="D99" s="644"/>
      <c r="E99" s="644"/>
      <c r="F99" s="644"/>
      <c r="G99" s="645"/>
    </row>
    <row r="100" spans="1:58" ht="12.75" customHeight="1" x14ac:dyDescent="0.2">
      <c r="A100" s="664"/>
      <c r="B100" s="643" t="s">
        <v>1090</v>
      </c>
      <c r="C100" s="644">
        <v>350000</v>
      </c>
      <c r="D100" s="644"/>
      <c r="E100" s="644"/>
      <c r="F100" s="644"/>
      <c r="G100" s="670"/>
    </row>
    <row r="101" spans="1:58" s="126" customFormat="1" ht="12.75" customHeight="1" x14ac:dyDescent="0.2">
      <c r="A101" s="642" t="s">
        <v>1083</v>
      </c>
      <c r="B101" s="643" t="s">
        <v>1091</v>
      </c>
      <c r="C101" s="644">
        <v>20000</v>
      </c>
      <c r="D101" s="644"/>
      <c r="E101" s="644"/>
      <c r="F101" s="644"/>
      <c r="G101" s="645"/>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row>
    <row r="102" spans="1:58" s="98" customFormat="1" ht="24.75" x14ac:dyDescent="0.2">
      <c r="A102" s="663">
        <v>2222</v>
      </c>
      <c r="B102" s="634" t="s">
        <v>1092</v>
      </c>
      <c r="C102" s="637">
        <v>0</v>
      </c>
      <c r="D102" s="637"/>
      <c r="E102" s="637"/>
      <c r="F102" s="637"/>
      <c r="G102" s="633"/>
    </row>
    <row r="103" spans="1:58" ht="12.75" customHeight="1" x14ac:dyDescent="0.2">
      <c r="A103" s="663">
        <v>2229</v>
      </c>
      <c r="B103" s="629" t="s">
        <v>1093</v>
      </c>
      <c r="C103" s="635">
        <f>SUM(C104:C115)</f>
        <v>1000000</v>
      </c>
      <c r="D103" s="635"/>
      <c r="E103" s="635"/>
      <c r="F103" s="635"/>
      <c r="G103" s="645"/>
      <c r="I103" s="150"/>
    </row>
    <row r="104" spans="1:58" ht="12.75" customHeight="1" x14ac:dyDescent="0.2">
      <c r="A104" s="664"/>
      <c r="B104" s="643" t="s">
        <v>1094</v>
      </c>
      <c r="C104" s="644">
        <v>0</v>
      </c>
      <c r="D104" s="644"/>
      <c r="E104" s="644"/>
      <c r="F104" s="644"/>
      <c r="G104" s="645"/>
      <c r="I104" s="150"/>
    </row>
    <row r="105" spans="1:58" ht="12.75" customHeight="1" x14ac:dyDescent="0.2">
      <c r="A105" s="664"/>
      <c r="B105" s="643" t="s">
        <v>1095</v>
      </c>
      <c r="C105" s="644">
        <v>0</v>
      </c>
      <c r="D105" s="644"/>
      <c r="E105" s="644"/>
      <c r="F105" s="644"/>
      <c r="G105" s="645"/>
      <c r="I105" s="150"/>
    </row>
    <row r="106" spans="1:58" ht="12.75" customHeight="1" x14ac:dyDescent="0.2">
      <c r="A106" s="664"/>
      <c r="B106" s="643" t="s">
        <v>1096</v>
      </c>
      <c r="C106" s="644">
        <v>0</v>
      </c>
      <c r="D106" s="644"/>
      <c r="E106" s="644"/>
      <c r="F106" s="644"/>
      <c r="G106" s="645"/>
      <c r="I106" s="150"/>
    </row>
    <row r="107" spans="1:58" ht="12.75" customHeight="1" x14ac:dyDescent="0.2">
      <c r="A107" s="664"/>
      <c r="B107" s="643" t="s">
        <v>1097</v>
      </c>
      <c r="C107" s="644">
        <v>0</v>
      </c>
      <c r="D107" s="644"/>
      <c r="E107" s="644"/>
      <c r="F107" s="644"/>
      <c r="G107" s="645"/>
      <c r="I107" s="150"/>
    </row>
    <row r="108" spans="1:58" ht="12.75" customHeight="1" x14ac:dyDescent="0.2">
      <c r="A108" s="664"/>
      <c r="B108" s="643" t="s">
        <v>1098</v>
      </c>
      <c r="C108" s="644">
        <v>0</v>
      </c>
      <c r="D108" s="644"/>
      <c r="E108" s="644"/>
      <c r="F108" s="644"/>
      <c r="G108" s="645"/>
      <c r="I108" s="150"/>
    </row>
    <row r="109" spans="1:58" ht="12.75" customHeight="1" x14ac:dyDescent="0.2">
      <c r="A109" s="664"/>
      <c r="B109" s="643" t="s">
        <v>1099</v>
      </c>
      <c r="C109" s="644">
        <v>1000000</v>
      </c>
      <c r="D109" s="644"/>
      <c r="E109" s="644"/>
      <c r="F109" s="644"/>
      <c r="G109" s="645"/>
      <c r="I109" s="150"/>
    </row>
    <row r="110" spans="1:58" ht="12.75" customHeight="1" x14ac:dyDescent="0.2">
      <c r="A110" s="664"/>
      <c r="B110" s="643" t="s">
        <v>1100</v>
      </c>
      <c r="C110" s="644">
        <v>0</v>
      </c>
      <c r="D110" s="644"/>
      <c r="E110" s="644"/>
      <c r="F110" s="644"/>
      <c r="G110" s="645"/>
      <c r="I110" s="150"/>
    </row>
    <row r="111" spans="1:58" ht="12.75" customHeight="1" x14ac:dyDescent="0.2">
      <c r="A111" s="664"/>
      <c r="B111" s="643" t="s">
        <v>1101</v>
      </c>
      <c r="C111" s="644">
        <v>0</v>
      </c>
      <c r="D111" s="644"/>
      <c r="E111" s="644"/>
      <c r="F111" s="644"/>
      <c r="G111" s="645"/>
      <c r="I111" s="150"/>
    </row>
    <row r="112" spans="1:58" ht="12.75" customHeight="1" x14ac:dyDescent="0.2">
      <c r="A112" s="664"/>
      <c r="B112" s="643" t="s">
        <v>1102</v>
      </c>
      <c r="C112" s="644">
        <v>0</v>
      </c>
      <c r="D112" s="644"/>
      <c r="E112" s="644"/>
      <c r="F112" s="644"/>
      <c r="G112" s="645"/>
      <c r="I112" s="150"/>
    </row>
    <row r="113" spans="1:58" ht="12.75" customHeight="1" x14ac:dyDescent="0.2">
      <c r="A113" s="664"/>
      <c r="B113" s="643" t="s">
        <v>1103</v>
      </c>
      <c r="C113" s="644">
        <v>0</v>
      </c>
      <c r="D113" s="644"/>
      <c r="E113" s="644"/>
      <c r="F113" s="644"/>
      <c r="G113" s="645"/>
      <c r="I113" s="150"/>
    </row>
    <row r="114" spans="1:58" ht="12.75" customHeight="1" x14ac:dyDescent="0.2">
      <c r="A114" s="664"/>
      <c r="B114" s="643" t="s">
        <v>1104</v>
      </c>
      <c r="C114" s="644">
        <v>0</v>
      </c>
      <c r="D114" s="644"/>
      <c r="E114" s="644"/>
      <c r="F114" s="644"/>
      <c r="G114" s="645"/>
      <c r="I114" s="150"/>
    </row>
    <row r="115" spans="1:58" ht="12.75" customHeight="1" x14ac:dyDescent="0.2">
      <c r="A115" s="664"/>
      <c r="B115" s="643" t="s">
        <v>1105</v>
      </c>
      <c r="C115" s="644">
        <v>0</v>
      </c>
      <c r="D115" s="644"/>
      <c r="E115" s="644"/>
      <c r="F115" s="644"/>
      <c r="G115" s="645"/>
      <c r="I115" s="150"/>
    </row>
    <row r="116" spans="1:58" ht="12.75" customHeight="1" x14ac:dyDescent="0.2">
      <c r="A116" s="663">
        <v>2310</v>
      </c>
      <c r="B116" s="629" t="s">
        <v>1106</v>
      </c>
      <c r="C116" s="637">
        <v>0</v>
      </c>
      <c r="D116" s="637"/>
      <c r="E116" s="637"/>
      <c r="F116" s="637"/>
      <c r="G116" s="633"/>
    </row>
    <row r="117" spans="1:58" ht="12.75" customHeight="1" x14ac:dyDescent="0.2">
      <c r="A117" s="663">
        <v>2321</v>
      </c>
      <c r="B117" s="629" t="s">
        <v>1107</v>
      </c>
      <c r="C117" s="637">
        <v>100000</v>
      </c>
      <c r="D117" s="637"/>
      <c r="E117" s="637"/>
      <c r="F117" s="637"/>
      <c r="G117" s="671"/>
    </row>
    <row r="118" spans="1:58" s="665" customFormat="1" ht="12.75" customHeight="1" x14ac:dyDescent="0.2">
      <c r="A118" s="663">
        <v>2322</v>
      </c>
      <c r="B118" s="629" t="s">
        <v>146</v>
      </c>
      <c r="C118" s="637">
        <v>20000</v>
      </c>
      <c r="D118" s="637"/>
      <c r="E118" s="637"/>
      <c r="F118" s="637"/>
      <c r="G118" s="633"/>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row>
    <row r="119" spans="1:58" s="98" customFormat="1" ht="12.75" customHeight="1" x14ac:dyDescent="0.2">
      <c r="A119" s="663">
        <v>2324</v>
      </c>
      <c r="B119" s="629" t="s">
        <v>147</v>
      </c>
      <c r="C119" s="635">
        <f>SUM(C120:C132)</f>
        <v>4270000</v>
      </c>
      <c r="D119" s="635"/>
      <c r="E119" s="635"/>
      <c r="F119" s="635"/>
      <c r="G119" s="636"/>
    </row>
    <row r="120" spans="1:58" s="98" customFormat="1" ht="12.75" customHeight="1" x14ac:dyDescent="0.2">
      <c r="A120" s="663"/>
      <c r="B120" s="629" t="s">
        <v>1108</v>
      </c>
      <c r="C120" s="644">
        <v>0</v>
      </c>
      <c r="D120" s="644"/>
      <c r="E120" s="644"/>
      <c r="F120" s="644"/>
      <c r="G120" s="636"/>
    </row>
    <row r="121" spans="1:58" s="98" customFormat="1" ht="12.75" customHeight="1" x14ac:dyDescent="0.2">
      <c r="A121" s="642" t="s">
        <v>1109</v>
      </c>
      <c r="B121" s="672" t="s">
        <v>1110</v>
      </c>
      <c r="C121" s="644">
        <v>12000</v>
      </c>
      <c r="D121" s="644"/>
      <c r="E121" s="644"/>
      <c r="F121" s="644"/>
      <c r="G121" s="633"/>
    </row>
    <row r="122" spans="1:58" s="98" customFormat="1" ht="12.75" customHeight="1" x14ac:dyDescent="0.2">
      <c r="A122" s="663"/>
      <c r="B122" s="672" t="s">
        <v>1111</v>
      </c>
      <c r="C122" s="644">
        <v>30000</v>
      </c>
      <c r="D122" s="644"/>
      <c r="E122" s="644"/>
      <c r="F122" s="644"/>
      <c r="G122" s="671"/>
    </row>
    <row r="123" spans="1:58" s="98" customFormat="1" ht="12.75" customHeight="1" x14ac:dyDescent="0.2">
      <c r="A123" s="663"/>
      <c r="B123" s="672" t="s">
        <v>1112</v>
      </c>
      <c r="C123" s="644">
        <v>200000</v>
      </c>
      <c r="D123" s="644"/>
      <c r="E123" s="644"/>
      <c r="F123" s="644"/>
      <c r="G123" s="670"/>
    </row>
    <row r="124" spans="1:58" s="666" customFormat="1" ht="12.75" customHeight="1" x14ac:dyDescent="0.2">
      <c r="A124" s="663"/>
      <c r="B124" s="672" t="s">
        <v>1113</v>
      </c>
      <c r="C124" s="644">
        <v>300000</v>
      </c>
      <c r="D124" s="644"/>
      <c r="E124" s="644"/>
      <c r="F124" s="644"/>
      <c r="G124" s="633"/>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row>
    <row r="125" spans="1:58" s="666" customFormat="1" ht="12.75" customHeight="1" x14ac:dyDescent="0.2">
      <c r="A125" s="663"/>
      <c r="B125" s="672" t="s">
        <v>1114</v>
      </c>
      <c r="C125" s="644">
        <v>15000</v>
      </c>
      <c r="D125" s="644"/>
      <c r="E125" s="644"/>
      <c r="F125" s="644"/>
      <c r="G125" s="633"/>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row>
    <row r="126" spans="1:58" ht="12.75" customHeight="1" x14ac:dyDescent="0.2">
      <c r="A126" s="673"/>
      <c r="B126" s="674" t="s">
        <v>1115</v>
      </c>
      <c r="C126" s="644">
        <v>25000</v>
      </c>
      <c r="D126" s="644"/>
      <c r="E126" s="644"/>
      <c r="F126" s="644"/>
      <c r="G126" s="645"/>
    </row>
    <row r="127" spans="1:58" s="158" customFormat="1" ht="12.75" customHeight="1" x14ac:dyDescent="0.2">
      <c r="A127" s="664"/>
      <c r="B127" s="643" t="s">
        <v>1116</v>
      </c>
      <c r="C127" s="644">
        <v>600000</v>
      </c>
      <c r="D127" s="644"/>
      <c r="E127" s="644"/>
      <c r="F127" s="644"/>
      <c r="G127" s="675"/>
    </row>
    <row r="128" spans="1:58" s="158" customFormat="1" ht="12.75" customHeight="1" x14ac:dyDescent="0.2">
      <c r="A128" s="664"/>
      <c r="B128" s="643" t="s">
        <v>1117</v>
      </c>
      <c r="C128" s="644">
        <v>3000000</v>
      </c>
      <c r="D128" s="644"/>
      <c r="E128" s="644"/>
      <c r="F128" s="644"/>
      <c r="G128" s="675"/>
    </row>
    <row r="129" spans="1:46" s="158" customFormat="1" ht="12.75" customHeight="1" x14ac:dyDescent="0.2">
      <c r="A129" s="664"/>
      <c r="B129" s="643" t="s">
        <v>1118</v>
      </c>
      <c r="C129" s="644">
        <v>3000</v>
      </c>
      <c r="D129" s="644"/>
      <c r="E129" s="644"/>
      <c r="F129" s="644"/>
      <c r="G129" s="675"/>
    </row>
    <row r="130" spans="1:46" s="158" customFormat="1" ht="12.75" customHeight="1" x14ac:dyDescent="0.2">
      <c r="A130" s="664"/>
      <c r="B130" s="643" t="s">
        <v>1119</v>
      </c>
      <c r="C130" s="644">
        <v>70000</v>
      </c>
      <c r="D130" s="644"/>
      <c r="E130" s="644"/>
      <c r="F130" s="644"/>
      <c r="G130" s="670"/>
    </row>
    <row r="131" spans="1:46" s="158" customFormat="1" ht="12.75" customHeight="1" x14ac:dyDescent="0.2">
      <c r="A131" s="642" t="s">
        <v>1120</v>
      </c>
      <c r="B131" s="643" t="s">
        <v>1121</v>
      </c>
      <c r="C131" s="644">
        <v>15000</v>
      </c>
      <c r="D131" s="644"/>
      <c r="E131" s="644"/>
      <c r="F131" s="644"/>
      <c r="G131" s="675"/>
    </row>
    <row r="132" spans="1:46" s="158" customFormat="1" ht="12.75" customHeight="1" x14ac:dyDescent="0.2">
      <c r="A132" s="664"/>
      <c r="B132" s="643" t="s">
        <v>1122</v>
      </c>
      <c r="C132" s="644">
        <v>0</v>
      </c>
      <c r="D132" s="644"/>
      <c r="E132" s="644"/>
      <c r="F132" s="644"/>
      <c r="G132" s="675"/>
    </row>
    <row r="133" spans="1:46" s="98" customFormat="1" ht="12.75" customHeight="1" x14ac:dyDescent="0.2">
      <c r="A133" s="663">
        <v>2329</v>
      </c>
      <c r="B133" s="629" t="s">
        <v>164</v>
      </c>
      <c r="C133" s="635">
        <f>SUM(C134:C149)</f>
        <v>15209538</v>
      </c>
      <c r="D133" s="635"/>
      <c r="E133" s="635"/>
      <c r="F133" s="635"/>
      <c r="G133" s="635"/>
    </row>
    <row r="134" spans="1:46" ht="12.75" customHeight="1" x14ac:dyDescent="0.2">
      <c r="A134" s="664"/>
      <c r="B134" s="643" t="s">
        <v>1123</v>
      </c>
      <c r="C134" s="644">
        <v>5000</v>
      </c>
      <c r="D134" s="644"/>
      <c r="E134" s="644"/>
      <c r="F134" s="644"/>
      <c r="G134" s="645"/>
    </row>
    <row r="135" spans="1:46" s="665" customFormat="1" ht="12.75" customHeight="1" x14ac:dyDescent="0.2">
      <c r="A135" s="664"/>
      <c r="B135" s="643" t="s">
        <v>1124</v>
      </c>
      <c r="C135" s="644">
        <v>500000</v>
      </c>
      <c r="D135" s="644"/>
      <c r="E135" s="644"/>
      <c r="F135" s="644"/>
      <c r="G135" s="645"/>
      <c r="H135" s="1" t="s">
        <v>1125</v>
      </c>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row>
    <row r="136" spans="1:46" s="665" customFormat="1" ht="12.75" customHeight="1" x14ac:dyDescent="0.2">
      <c r="A136" s="664"/>
      <c r="B136" s="643" t="s">
        <v>1126</v>
      </c>
      <c r="C136" s="644">
        <v>20000</v>
      </c>
      <c r="D136" s="644"/>
      <c r="E136" s="644"/>
      <c r="F136" s="644"/>
      <c r="G136" s="645"/>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row>
    <row r="137" spans="1:46" ht="12.75" customHeight="1" x14ac:dyDescent="0.2">
      <c r="A137" s="664"/>
      <c r="B137" s="643" t="s">
        <v>1127</v>
      </c>
      <c r="C137" s="644">
        <v>200000</v>
      </c>
      <c r="D137" s="644"/>
      <c r="E137" s="644"/>
      <c r="F137" s="644"/>
      <c r="G137" s="645"/>
    </row>
    <row r="138" spans="1:46" ht="12.75" customHeight="1" x14ac:dyDescent="0.2">
      <c r="A138" s="664"/>
      <c r="B138" s="643" t="s">
        <v>1128</v>
      </c>
      <c r="C138" s="644">
        <v>50000</v>
      </c>
      <c r="D138" s="644"/>
      <c r="E138" s="644"/>
      <c r="F138" s="644"/>
      <c r="G138" s="645"/>
    </row>
    <row r="139" spans="1:46" ht="12.75" customHeight="1" x14ac:dyDescent="0.2">
      <c r="A139" s="664"/>
      <c r="B139" s="643" t="s">
        <v>1129</v>
      </c>
      <c r="C139" s="644">
        <v>40000</v>
      </c>
      <c r="D139" s="644"/>
      <c r="E139" s="644"/>
      <c r="F139" s="644"/>
      <c r="G139" s="645"/>
    </row>
    <row r="140" spans="1:46" s="665" customFormat="1" ht="12.75" customHeight="1" x14ac:dyDescent="0.2">
      <c r="A140" s="664"/>
      <c r="B140" s="643" t="s">
        <v>1130</v>
      </c>
      <c r="C140" s="644">
        <v>0</v>
      </c>
      <c r="D140" s="644"/>
      <c r="E140" s="644"/>
      <c r="F140" s="644"/>
      <c r="G140" s="645"/>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row>
    <row r="141" spans="1:46" ht="12.75" customHeight="1" x14ac:dyDescent="0.2">
      <c r="A141" s="664"/>
      <c r="B141" s="643" t="s">
        <v>1131</v>
      </c>
      <c r="C141" s="652">
        <v>5500000</v>
      </c>
      <c r="D141" s="652"/>
      <c r="E141" s="652"/>
      <c r="F141" s="652"/>
      <c r="G141" s="645"/>
    </row>
    <row r="142" spans="1:46" ht="24.75" x14ac:dyDescent="0.2">
      <c r="A142" s="664"/>
      <c r="B142" s="650" t="s">
        <v>1132</v>
      </c>
      <c r="C142" s="644">
        <v>7500000</v>
      </c>
      <c r="D142" s="644"/>
      <c r="E142" s="644"/>
      <c r="F142" s="644"/>
      <c r="G142" s="645"/>
    </row>
    <row r="143" spans="1:46" ht="24.75" x14ac:dyDescent="0.2">
      <c r="A143" s="664"/>
      <c r="B143" s="650" t="s">
        <v>1133</v>
      </c>
      <c r="C143" s="652">
        <v>1144538</v>
      </c>
      <c r="D143" s="652"/>
      <c r="E143" s="652"/>
      <c r="F143" s="652"/>
      <c r="G143" s="645"/>
    </row>
    <row r="144" spans="1:46" x14ac:dyDescent="0.2">
      <c r="A144" s="676"/>
      <c r="B144" s="677" t="s">
        <v>1134</v>
      </c>
      <c r="C144" s="678">
        <v>0</v>
      </c>
      <c r="D144" s="678"/>
      <c r="E144" s="678"/>
      <c r="F144" s="678"/>
      <c r="G144" s="645"/>
    </row>
    <row r="145" spans="1:46" x14ac:dyDescent="0.2">
      <c r="A145" s="660"/>
      <c r="B145" s="679" t="s">
        <v>1135</v>
      </c>
      <c r="C145" s="644">
        <v>0</v>
      </c>
      <c r="D145" s="644"/>
      <c r="E145" s="644"/>
      <c r="F145" s="644"/>
      <c r="G145" s="645"/>
    </row>
    <row r="146" spans="1:46" x14ac:dyDescent="0.2">
      <c r="A146" s="663"/>
      <c r="B146" s="672" t="s">
        <v>1136</v>
      </c>
      <c r="C146" s="644">
        <v>250000</v>
      </c>
      <c r="D146" s="644"/>
      <c r="E146" s="644"/>
      <c r="F146" s="644"/>
      <c r="G146" s="645"/>
    </row>
    <row r="147" spans="1:46" ht="12.75" customHeight="1" x14ac:dyDescent="0.2">
      <c r="A147" s="664"/>
      <c r="B147" s="643" t="s">
        <v>1137</v>
      </c>
      <c r="C147" s="644">
        <v>0</v>
      </c>
      <c r="D147" s="644"/>
      <c r="E147" s="644"/>
      <c r="F147" s="644"/>
      <c r="G147" s="645"/>
    </row>
    <row r="148" spans="1:46" ht="12.75" customHeight="1" x14ac:dyDescent="0.2">
      <c r="A148" s="664"/>
      <c r="B148" s="643" t="s">
        <v>1138</v>
      </c>
      <c r="C148" s="644">
        <v>0</v>
      </c>
      <c r="D148" s="644"/>
      <c r="E148" s="644"/>
      <c r="F148" s="644"/>
      <c r="G148" s="645"/>
    </row>
    <row r="149" spans="1:46" ht="12.75" customHeight="1" x14ac:dyDescent="0.2">
      <c r="A149" s="664"/>
      <c r="B149" s="643" t="s">
        <v>1139</v>
      </c>
      <c r="C149" s="644">
        <v>0</v>
      </c>
      <c r="D149" s="644"/>
      <c r="E149" s="644"/>
      <c r="F149" s="644"/>
      <c r="G149" s="645"/>
    </row>
    <row r="150" spans="1:46" ht="12.75" customHeight="1" x14ac:dyDescent="0.2">
      <c r="A150" s="680"/>
      <c r="B150" s="681"/>
      <c r="C150" s="682"/>
      <c r="D150" s="682"/>
      <c r="E150" s="682"/>
      <c r="F150" s="682"/>
      <c r="G150" s="683"/>
    </row>
    <row r="151" spans="1:46" s="244" customFormat="1" ht="16.5" customHeight="1" x14ac:dyDescent="0.25">
      <c r="A151" s="621"/>
      <c r="B151" s="657" t="s">
        <v>11</v>
      </c>
      <c r="C151" s="684">
        <f>SUM(C152,C153,C154,C161:C163,C166)</f>
        <v>87239000</v>
      </c>
      <c r="D151" s="684"/>
      <c r="E151" s="684"/>
      <c r="F151" s="684"/>
      <c r="G151" s="685"/>
    </row>
    <row r="152" spans="1:46" s="98" customFormat="1" ht="24.75" x14ac:dyDescent="0.2">
      <c r="A152" s="660">
        <v>3111</v>
      </c>
      <c r="B152" s="686" t="s">
        <v>1140</v>
      </c>
      <c r="C152" s="687">
        <v>69855000</v>
      </c>
      <c r="D152" s="687"/>
      <c r="E152" s="687"/>
      <c r="F152" s="687"/>
      <c r="G152" s="639"/>
    </row>
    <row r="153" spans="1:46" s="98" customFormat="1" x14ac:dyDescent="0.2">
      <c r="A153" s="660">
        <v>3111</v>
      </c>
      <c r="B153" s="688" t="s">
        <v>1141</v>
      </c>
      <c r="C153" s="637">
        <v>600000</v>
      </c>
      <c r="D153" s="637"/>
      <c r="E153" s="637"/>
      <c r="F153" s="637"/>
      <c r="G153" s="639"/>
    </row>
    <row r="154" spans="1:46" s="98" customFormat="1" ht="12.75" customHeight="1" x14ac:dyDescent="0.2">
      <c r="A154" s="663">
        <v>3112</v>
      </c>
      <c r="B154" s="629" t="s">
        <v>178</v>
      </c>
      <c r="C154" s="635">
        <f>SUM(C155:C160)</f>
        <v>13384000</v>
      </c>
      <c r="D154" s="635"/>
      <c r="E154" s="635"/>
      <c r="F154" s="635"/>
      <c r="G154" s="689"/>
    </row>
    <row r="155" spans="1:46" s="666" customFormat="1" ht="12.75" customHeight="1" x14ac:dyDescent="0.2">
      <c r="A155" s="663"/>
      <c r="B155" s="690" t="s">
        <v>1142</v>
      </c>
      <c r="C155" s="652">
        <v>4081000</v>
      </c>
      <c r="D155" s="652"/>
      <c r="E155" s="652"/>
      <c r="F155" s="652"/>
      <c r="G155" s="689"/>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row>
    <row r="156" spans="1:46" s="666" customFormat="1" ht="12.75" customHeight="1" x14ac:dyDescent="0.2">
      <c r="A156" s="663"/>
      <c r="B156" s="643" t="s">
        <v>1143</v>
      </c>
      <c r="C156" s="644">
        <v>5103000</v>
      </c>
      <c r="D156" s="644"/>
      <c r="E156" s="644"/>
      <c r="F156" s="644"/>
      <c r="G156" s="689"/>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row>
    <row r="157" spans="1:46" s="666" customFormat="1" ht="12.75" customHeight="1" x14ac:dyDescent="0.2">
      <c r="A157" s="663"/>
      <c r="B157" s="690" t="s">
        <v>1144</v>
      </c>
      <c r="C157" s="644">
        <v>0</v>
      </c>
      <c r="D157" s="644"/>
      <c r="E157" s="644"/>
      <c r="F157" s="644"/>
      <c r="G157" s="689"/>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row>
    <row r="158" spans="1:46" s="666" customFormat="1" ht="12.75" customHeight="1" x14ac:dyDescent="0.2">
      <c r="A158" s="663"/>
      <c r="B158" s="690" t="s">
        <v>1145</v>
      </c>
      <c r="C158" s="644">
        <v>4200000</v>
      </c>
      <c r="D158" s="644"/>
      <c r="E158" s="644"/>
      <c r="F158" s="644"/>
      <c r="G158" s="691"/>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row>
    <row r="159" spans="1:46" s="666" customFormat="1" ht="12.75" customHeight="1" x14ac:dyDescent="0.2">
      <c r="A159" s="663"/>
      <c r="B159" s="690" t="s">
        <v>1146</v>
      </c>
      <c r="C159" s="644">
        <v>0</v>
      </c>
      <c r="D159" s="644"/>
      <c r="E159" s="644"/>
      <c r="F159" s="644"/>
      <c r="G159" s="691"/>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row>
    <row r="160" spans="1:46" s="666" customFormat="1" ht="12.75" customHeight="1" x14ac:dyDescent="0.2">
      <c r="A160" s="663"/>
      <c r="B160" s="690" t="s">
        <v>1147</v>
      </c>
      <c r="C160" s="644">
        <v>0</v>
      </c>
      <c r="D160" s="644"/>
      <c r="E160" s="644"/>
      <c r="F160" s="644"/>
      <c r="G160" s="691"/>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row>
    <row r="161" spans="1:9" s="98" customFormat="1" ht="12.75" customHeight="1" x14ac:dyDescent="0.2">
      <c r="A161" s="663">
        <v>3113</v>
      </c>
      <c r="B161" s="629" t="s">
        <v>1148</v>
      </c>
      <c r="C161" s="637">
        <v>0</v>
      </c>
      <c r="D161" s="637"/>
      <c r="E161" s="637"/>
      <c r="F161" s="637"/>
      <c r="G161" s="691"/>
    </row>
    <row r="162" spans="1:9" s="98" customFormat="1" ht="12.75" customHeight="1" x14ac:dyDescent="0.2">
      <c r="A162" s="663">
        <v>3119</v>
      </c>
      <c r="B162" s="629" t="s">
        <v>1149</v>
      </c>
      <c r="C162" s="637">
        <v>0</v>
      </c>
      <c r="D162" s="637"/>
      <c r="E162" s="637"/>
      <c r="F162" s="637"/>
      <c r="G162" s="691"/>
    </row>
    <row r="163" spans="1:9" s="98" customFormat="1" x14ac:dyDescent="0.2">
      <c r="A163" s="663">
        <v>3121</v>
      </c>
      <c r="B163" s="634" t="s">
        <v>1150</v>
      </c>
      <c r="C163" s="637">
        <f>C164+C165</f>
        <v>0</v>
      </c>
      <c r="D163" s="637"/>
      <c r="E163" s="637"/>
      <c r="F163" s="637"/>
      <c r="G163" s="633"/>
    </row>
    <row r="164" spans="1:9" s="98" customFormat="1" x14ac:dyDescent="0.2">
      <c r="A164" s="663"/>
      <c r="B164" s="634" t="s">
        <v>1151</v>
      </c>
      <c r="C164" s="644">
        <v>0</v>
      </c>
      <c r="D164" s="644"/>
      <c r="E164" s="644"/>
      <c r="F164" s="644"/>
      <c r="G164" s="633"/>
    </row>
    <row r="165" spans="1:9" s="98" customFormat="1" x14ac:dyDescent="0.2">
      <c r="A165" s="663"/>
      <c r="B165" s="634" t="s">
        <v>1152</v>
      </c>
      <c r="C165" s="644">
        <v>0</v>
      </c>
      <c r="D165" s="644"/>
      <c r="E165" s="644"/>
      <c r="F165" s="644"/>
      <c r="G165" s="633"/>
    </row>
    <row r="166" spans="1:9" s="98" customFormat="1" ht="12.75" customHeight="1" x14ac:dyDescent="0.2">
      <c r="A166" s="663">
        <v>3129</v>
      </c>
      <c r="B166" s="629" t="s">
        <v>191</v>
      </c>
      <c r="C166" s="635">
        <f>SUM(C167:C173)</f>
        <v>3400000</v>
      </c>
      <c r="D166" s="635"/>
      <c r="E166" s="635"/>
      <c r="F166" s="635"/>
      <c r="G166" s="689"/>
    </row>
    <row r="167" spans="1:9" s="98" customFormat="1" ht="12.75" customHeight="1" x14ac:dyDescent="0.2">
      <c r="A167" s="692"/>
      <c r="B167" s="690" t="s">
        <v>1153</v>
      </c>
      <c r="C167" s="644">
        <v>2200000</v>
      </c>
      <c r="D167" s="644"/>
      <c r="E167" s="644"/>
      <c r="F167" s="644"/>
      <c r="G167" s="691"/>
      <c r="I167" s="150"/>
    </row>
    <row r="168" spans="1:9" s="98" customFormat="1" ht="12.75" customHeight="1" x14ac:dyDescent="0.2">
      <c r="A168" s="692"/>
      <c r="B168" s="693" t="s">
        <v>1154</v>
      </c>
      <c r="C168" s="644">
        <v>0</v>
      </c>
      <c r="D168" s="644"/>
      <c r="E168" s="644"/>
      <c r="F168" s="644"/>
      <c r="G168" s="691"/>
      <c r="I168" s="150"/>
    </row>
    <row r="169" spans="1:9" s="98" customFormat="1" ht="12.75" customHeight="1" x14ac:dyDescent="0.2">
      <c r="A169" s="692"/>
      <c r="B169" s="693" t="s">
        <v>1155</v>
      </c>
      <c r="C169" s="644">
        <v>0</v>
      </c>
      <c r="D169" s="644"/>
      <c r="E169" s="644"/>
      <c r="F169" s="644"/>
      <c r="G169" s="691"/>
      <c r="I169" s="150"/>
    </row>
    <row r="170" spans="1:9" s="98" customFormat="1" ht="12" customHeight="1" x14ac:dyDescent="0.2">
      <c r="A170" s="663"/>
      <c r="B170" s="643" t="s">
        <v>1156</v>
      </c>
      <c r="C170" s="652">
        <v>0</v>
      </c>
      <c r="D170" s="652"/>
      <c r="E170" s="652"/>
      <c r="F170" s="652"/>
      <c r="G170" s="689"/>
    </row>
    <row r="171" spans="1:9" s="98" customFormat="1" x14ac:dyDescent="0.2">
      <c r="A171" s="692"/>
      <c r="B171" s="690" t="s">
        <v>1157</v>
      </c>
      <c r="C171" s="694">
        <v>0</v>
      </c>
      <c r="D171" s="694"/>
      <c r="E171" s="694"/>
      <c r="F171" s="694"/>
      <c r="G171" s="689"/>
    </row>
    <row r="172" spans="1:9" s="98" customFormat="1" ht="12" customHeight="1" x14ac:dyDescent="0.2">
      <c r="A172" s="692"/>
      <c r="B172" s="643" t="s">
        <v>1158</v>
      </c>
      <c r="C172" s="695">
        <v>1200000</v>
      </c>
      <c r="D172" s="695"/>
      <c r="E172" s="695"/>
      <c r="F172" s="695"/>
      <c r="G172" s="696"/>
    </row>
    <row r="173" spans="1:9" s="98" customFormat="1" x14ac:dyDescent="0.2">
      <c r="A173" s="697"/>
      <c r="B173" s="643" t="s">
        <v>1159</v>
      </c>
      <c r="C173" s="695">
        <v>0</v>
      </c>
      <c r="D173" s="695"/>
      <c r="E173" s="695"/>
      <c r="F173" s="695"/>
      <c r="G173" s="698"/>
    </row>
    <row r="174" spans="1:9" s="98" customFormat="1" x14ac:dyDescent="0.2">
      <c r="A174" s="699"/>
      <c r="B174" s="700"/>
      <c r="C174" s="682"/>
      <c r="D174" s="682"/>
      <c r="E174" s="682"/>
      <c r="F174" s="682"/>
      <c r="G174" s="583"/>
    </row>
    <row r="175" spans="1:9" s="244" customFormat="1" ht="16.5" customHeight="1" x14ac:dyDescent="0.25">
      <c r="A175" s="621"/>
      <c r="B175" s="701" t="s">
        <v>196</v>
      </c>
      <c r="C175" s="702">
        <f>SUM(C176,C180,C181,C190,C200,C208,C209,C214,C224)</f>
        <v>66897844.799999997</v>
      </c>
      <c r="D175" s="702"/>
      <c r="E175" s="702"/>
      <c r="F175" s="702"/>
      <c r="G175" s="702"/>
    </row>
    <row r="176" spans="1:9" s="98" customFormat="1" ht="12.75" customHeight="1" x14ac:dyDescent="0.2">
      <c r="A176" s="703">
        <v>4111</v>
      </c>
      <c r="B176" s="704" t="s">
        <v>197</v>
      </c>
      <c r="C176" s="705">
        <f>SUM(C177:C179)</f>
        <v>0</v>
      </c>
      <c r="D176" s="705"/>
      <c r="E176" s="705"/>
      <c r="F176" s="705"/>
      <c r="G176" s="706"/>
    </row>
    <row r="177" spans="1:9" s="98" customFormat="1" ht="12.75" customHeight="1" x14ac:dyDescent="0.2">
      <c r="A177" s="707" t="s">
        <v>1160</v>
      </c>
      <c r="B177" s="708" t="s">
        <v>1161</v>
      </c>
      <c r="C177" s="709">
        <v>0</v>
      </c>
      <c r="D177" s="709"/>
      <c r="E177" s="709"/>
      <c r="F177" s="709"/>
      <c r="G177" s="710"/>
    </row>
    <row r="178" spans="1:9" s="98" customFormat="1" ht="12.75" customHeight="1" x14ac:dyDescent="0.2">
      <c r="A178" s="707" t="s">
        <v>1162</v>
      </c>
      <c r="B178" s="708" t="s">
        <v>1163</v>
      </c>
      <c r="C178" s="709">
        <v>0</v>
      </c>
      <c r="D178" s="709"/>
      <c r="E178" s="709"/>
      <c r="F178" s="709"/>
      <c r="G178" s="710"/>
    </row>
    <row r="179" spans="1:9" s="98" customFormat="1" ht="12.75" customHeight="1" x14ac:dyDescent="0.2">
      <c r="A179" s="707" t="s">
        <v>1164</v>
      </c>
      <c r="B179" s="708" t="s">
        <v>1165</v>
      </c>
      <c r="C179" s="709">
        <v>0</v>
      </c>
      <c r="D179" s="709"/>
      <c r="E179" s="709"/>
      <c r="F179" s="709"/>
      <c r="G179" s="710"/>
    </row>
    <row r="180" spans="1:9" ht="25.5" x14ac:dyDescent="0.2">
      <c r="A180" s="660">
        <v>4112</v>
      </c>
      <c r="B180" s="688" t="s">
        <v>1166</v>
      </c>
      <c r="C180" s="637">
        <v>43668300</v>
      </c>
      <c r="D180" s="637"/>
      <c r="E180" s="637"/>
      <c r="F180" s="637"/>
      <c r="G180" s="673"/>
    </row>
    <row r="181" spans="1:9" s="98" customFormat="1" ht="12.75" customHeight="1" x14ac:dyDescent="0.2">
      <c r="A181" s="663">
        <v>4116</v>
      </c>
      <c r="B181" s="629" t="s">
        <v>201</v>
      </c>
      <c r="C181" s="635">
        <f>SUM(C182:C189)</f>
        <v>700000</v>
      </c>
      <c r="D181" s="635"/>
      <c r="E181" s="635"/>
      <c r="F181" s="635"/>
      <c r="G181" s="710"/>
    </row>
    <row r="182" spans="1:9" ht="12.75" customHeight="1" x14ac:dyDescent="0.2">
      <c r="A182" s="664"/>
      <c r="B182" s="643" t="s">
        <v>1167</v>
      </c>
      <c r="C182" s="644">
        <v>0</v>
      </c>
      <c r="D182" s="644"/>
      <c r="E182" s="644"/>
      <c r="F182" s="644"/>
      <c r="G182" s="673"/>
    </row>
    <row r="183" spans="1:9" ht="12.75" customHeight="1" x14ac:dyDescent="0.2">
      <c r="A183" s="664"/>
      <c r="B183" s="643" t="s">
        <v>1168</v>
      </c>
      <c r="C183" s="644">
        <v>0</v>
      </c>
      <c r="D183" s="644"/>
      <c r="E183" s="644"/>
      <c r="F183" s="644"/>
      <c r="G183" s="673"/>
    </row>
    <row r="184" spans="1:9" ht="12.75" customHeight="1" x14ac:dyDescent="0.2">
      <c r="A184" s="663"/>
      <c r="B184" s="672" t="s">
        <v>1169</v>
      </c>
      <c r="C184" s="644">
        <v>0</v>
      </c>
      <c r="D184" s="644"/>
      <c r="E184" s="644"/>
      <c r="F184" s="644"/>
      <c r="G184" s="673"/>
    </row>
    <row r="185" spans="1:9" ht="12.75" customHeight="1" x14ac:dyDescent="0.2">
      <c r="A185" s="664"/>
      <c r="B185" s="643" t="s">
        <v>1170</v>
      </c>
      <c r="C185" s="644">
        <v>0</v>
      </c>
      <c r="D185" s="644"/>
      <c r="E185" s="644"/>
      <c r="F185" s="644"/>
      <c r="G185" s="711"/>
    </row>
    <row r="186" spans="1:9" s="98" customFormat="1" ht="12.75" customHeight="1" x14ac:dyDescent="0.2">
      <c r="A186" s="692"/>
      <c r="B186" s="643" t="s">
        <v>1171</v>
      </c>
      <c r="C186" s="644">
        <v>200000</v>
      </c>
      <c r="D186" s="644"/>
      <c r="E186" s="644"/>
      <c r="F186" s="644"/>
      <c r="G186" s="710"/>
      <c r="I186" s="150"/>
    </row>
    <row r="187" spans="1:9" s="98" customFormat="1" ht="12.75" customHeight="1" x14ac:dyDescent="0.2">
      <c r="A187" s="692"/>
      <c r="B187" s="643" t="s">
        <v>1172</v>
      </c>
      <c r="C187" s="644">
        <v>0</v>
      </c>
      <c r="D187" s="644"/>
      <c r="E187" s="644"/>
      <c r="F187" s="644"/>
      <c r="G187" s="710"/>
      <c r="I187" s="150"/>
    </row>
    <row r="188" spans="1:9" s="98" customFormat="1" ht="12.75" customHeight="1" x14ac:dyDescent="0.2">
      <c r="A188" s="692"/>
      <c r="B188" s="650" t="s">
        <v>1173</v>
      </c>
      <c r="C188" s="644">
        <v>500000</v>
      </c>
      <c r="D188" s="644"/>
      <c r="E188" s="644"/>
      <c r="F188" s="644"/>
      <c r="G188" s="710"/>
      <c r="I188" s="150"/>
    </row>
    <row r="189" spans="1:9" s="98" customFormat="1" ht="12.75" customHeight="1" x14ac:dyDescent="0.2">
      <c r="A189" s="692"/>
      <c r="B189" s="643" t="s">
        <v>1174</v>
      </c>
      <c r="C189" s="644">
        <v>0</v>
      </c>
      <c r="D189" s="644"/>
      <c r="E189" s="644"/>
      <c r="F189" s="644"/>
      <c r="G189" s="710"/>
      <c r="I189" s="150"/>
    </row>
    <row r="190" spans="1:9" ht="12.75" customHeight="1" x14ac:dyDescent="0.2">
      <c r="A190" s="663">
        <v>4121</v>
      </c>
      <c r="B190" s="629" t="s">
        <v>213</v>
      </c>
      <c r="C190" s="635">
        <f>SUM(C191:C199)</f>
        <v>2109621</v>
      </c>
      <c r="D190" s="635"/>
      <c r="E190" s="635"/>
      <c r="F190" s="635"/>
      <c r="G190" s="635"/>
    </row>
    <row r="191" spans="1:9" ht="12.75" customHeight="1" x14ac:dyDescent="0.2">
      <c r="A191" s="663"/>
      <c r="B191" s="643" t="s">
        <v>1175</v>
      </c>
      <c r="C191" s="644">
        <v>360000</v>
      </c>
      <c r="D191" s="644"/>
      <c r="E191" s="644"/>
      <c r="F191" s="644"/>
      <c r="G191" s="712"/>
    </row>
    <row r="192" spans="1:9" x14ac:dyDescent="0.2">
      <c r="A192" s="663"/>
      <c r="B192" s="643" t="s">
        <v>1176</v>
      </c>
      <c r="C192" s="644">
        <v>3000</v>
      </c>
      <c r="D192" s="644"/>
      <c r="E192" s="644"/>
      <c r="F192" s="644"/>
      <c r="G192" s="673"/>
    </row>
    <row r="193" spans="1:9" ht="12.75" customHeight="1" x14ac:dyDescent="0.2">
      <c r="A193" s="663"/>
      <c r="B193" s="643" t="s">
        <v>1177</v>
      </c>
      <c r="C193" s="644">
        <v>0</v>
      </c>
      <c r="D193" s="644"/>
      <c r="E193" s="644"/>
      <c r="F193" s="644"/>
      <c r="G193" s="673"/>
      <c r="I193" s="150"/>
    </row>
    <row r="194" spans="1:9" ht="12.75" customHeight="1" x14ac:dyDescent="0.2">
      <c r="A194" s="663"/>
      <c r="B194" s="643" t="s">
        <v>1178</v>
      </c>
      <c r="C194" s="644">
        <v>918175</v>
      </c>
      <c r="D194" s="644"/>
      <c r="E194" s="644"/>
      <c r="F194" s="644"/>
      <c r="G194" s="673"/>
      <c r="I194" s="150"/>
    </row>
    <row r="195" spans="1:9" ht="12.75" customHeight="1" x14ac:dyDescent="0.2">
      <c r="A195" s="663"/>
      <c r="B195" s="643" t="s">
        <v>1179</v>
      </c>
      <c r="C195" s="644">
        <v>602075</v>
      </c>
      <c r="D195" s="644"/>
      <c r="E195" s="644"/>
      <c r="F195" s="644"/>
      <c r="G195" s="673"/>
      <c r="I195" s="150"/>
    </row>
    <row r="196" spans="1:9" ht="12.75" customHeight="1" x14ac:dyDescent="0.2">
      <c r="A196" s="663"/>
      <c r="B196" s="643" t="s">
        <v>1180</v>
      </c>
      <c r="C196" s="644">
        <v>126071</v>
      </c>
      <c r="D196" s="644"/>
      <c r="E196" s="644"/>
      <c r="F196" s="644"/>
      <c r="G196" s="673"/>
      <c r="I196" s="150"/>
    </row>
    <row r="197" spans="1:9" ht="12.75" customHeight="1" x14ac:dyDescent="0.2">
      <c r="A197" s="663"/>
      <c r="B197" s="643" t="s">
        <v>1181</v>
      </c>
      <c r="C197" s="644">
        <v>100000</v>
      </c>
      <c r="D197" s="644"/>
      <c r="E197" s="644"/>
      <c r="F197" s="644"/>
      <c r="G197" s="712"/>
    </row>
    <row r="198" spans="1:9" ht="12.75" customHeight="1" x14ac:dyDescent="0.2">
      <c r="A198" s="663"/>
      <c r="B198" s="643" t="s">
        <v>1182</v>
      </c>
      <c r="C198" s="644">
        <v>0</v>
      </c>
      <c r="D198" s="644"/>
      <c r="E198" s="644"/>
      <c r="F198" s="644"/>
      <c r="G198" s="673"/>
    </row>
    <row r="199" spans="1:9" x14ac:dyDescent="0.2">
      <c r="A199" s="663"/>
      <c r="B199" s="672" t="s">
        <v>1183</v>
      </c>
      <c r="C199" s="644">
        <v>300</v>
      </c>
      <c r="D199" s="644"/>
      <c r="E199" s="644"/>
      <c r="F199" s="644"/>
      <c r="G199" s="713"/>
    </row>
    <row r="200" spans="1:9" ht="12.75" customHeight="1" x14ac:dyDescent="0.2">
      <c r="A200" s="663">
        <v>4122</v>
      </c>
      <c r="B200" s="634" t="s">
        <v>221</v>
      </c>
      <c r="C200" s="635">
        <f>SUM(C201:C207)</f>
        <v>0</v>
      </c>
      <c r="D200" s="635"/>
      <c r="E200" s="635"/>
      <c r="F200" s="635"/>
      <c r="G200" s="673"/>
      <c r="I200" s="150"/>
    </row>
    <row r="201" spans="1:9" s="98" customFormat="1" ht="12.75" customHeight="1" x14ac:dyDescent="0.2">
      <c r="A201" s="692"/>
      <c r="B201" s="690" t="s">
        <v>1184</v>
      </c>
      <c r="C201" s="644">
        <v>0</v>
      </c>
      <c r="D201" s="644"/>
      <c r="E201" s="644"/>
      <c r="F201" s="644"/>
      <c r="G201" s="710"/>
      <c r="I201" s="150"/>
    </row>
    <row r="202" spans="1:9" s="98" customFormat="1" ht="12.75" customHeight="1" x14ac:dyDescent="0.2">
      <c r="A202" s="692"/>
      <c r="B202" s="690" t="s">
        <v>1185</v>
      </c>
      <c r="C202" s="644">
        <v>0</v>
      </c>
      <c r="D202" s="644"/>
      <c r="E202" s="644"/>
      <c r="F202" s="644"/>
      <c r="G202" s="710"/>
      <c r="I202" s="150"/>
    </row>
    <row r="203" spans="1:9" s="98" customFormat="1" ht="12.75" customHeight="1" x14ac:dyDescent="0.2">
      <c r="A203" s="692"/>
      <c r="B203" s="690" t="s">
        <v>1186</v>
      </c>
      <c r="C203" s="644">
        <v>0</v>
      </c>
      <c r="D203" s="644"/>
      <c r="E203" s="644"/>
      <c r="F203" s="644"/>
      <c r="G203" s="710"/>
      <c r="I203" s="150"/>
    </row>
    <row r="204" spans="1:9" s="98" customFormat="1" ht="12.75" customHeight="1" x14ac:dyDescent="0.2">
      <c r="A204" s="692"/>
      <c r="B204" s="690" t="s">
        <v>1187</v>
      </c>
      <c r="C204" s="644">
        <v>0</v>
      </c>
      <c r="D204" s="644"/>
      <c r="E204" s="644"/>
      <c r="F204" s="644"/>
      <c r="G204" s="710"/>
      <c r="I204" s="150"/>
    </row>
    <row r="205" spans="1:9" s="98" customFormat="1" ht="12.75" customHeight="1" x14ac:dyDescent="0.2">
      <c r="A205" s="692"/>
      <c r="B205" s="690" t="s">
        <v>1188</v>
      </c>
      <c r="C205" s="644">
        <v>0</v>
      </c>
      <c r="D205" s="644"/>
      <c r="E205" s="644"/>
      <c r="F205" s="644"/>
      <c r="G205" s="710"/>
      <c r="I205" s="150"/>
    </row>
    <row r="206" spans="1:9" s="98" customFormat="1" ht="12.75" customHeight="1" x14ac:dyDescent="0.2">
      <c r="A206" s="692"/>
      <c r="B206" s="690" t="s">
        <v>1189</v>
      </c>
      <c r="C206" s="644">
        <v>0</v>
      </c>
      <c r="D206" s="644"/>
      <c r="E206" s="644"/>
      <c r="F206" s="644"/>
      <c r="G206" s="710"/>
      <c r="I206" s="150"/>
    </row>
    <row r="207" spans="1:9" ht="12.75" customHeight="1" x14ac:dyDescent="0.2">
      <c r="A207" s="663"/>
      <c r="B207" s="643" t="s">
        <v>1190</v>
      </c>
      <c r="C207" s="644">
        <v>0</v>
      </c>
      <c r="D207" s="644"/>
      <c r="E207" s="644"/>
      <c r="F207" s="644"/>
      <c r="G207" s="714"/>
      <c r="I207" s="150"/>
    </row>
    <row r="208" spans="1:9" s="98" customFormat="1" ht="12.75" customHeight="1" x14ac:dyDescent="0.2">
      <c r="A208" s="642" t="s">
        <v>1191</v>
      </c>
      <c r="B208" s="629" t="s">
        <v>1192</v>
      </c>
      <c r="C208" s="637">
        <v>6100000</v>
      </c>
      <c r="D208" s="637"/>
      <c r="E208" s="637"/>
      <c r="F208" s="637"/>
      <c r="G208" s="710"/>
    </row>
    <row r="209" spans="1:9" s="98" customFormat="1" ht="12.75" customHeight="1" x14ac:dyDescent="0.2">
      <c r="A209" s="663">
        <v>4213</v>
      </c>
      <c r="B209" s="629" t="s">
        <v>229</v>
      </c>
      <c r="C209" s="635">
        <f>SUM(C210:C213)</f>
        <v>13319843.800000001</v>
      </c>
      <c r="D209" s="635"/>
      <c r="E209" s="635"/>
      <c r="F209" s="635"/>
      <c r="G209" s="710"/>
    </row>
    <row r="210" spans="1:9" s="98" customFormat="1" ht="12.75" customHeight="1" x14ac:dyDescent="0.2">
      <c r="A210" s="663"/>
      <c r="B210" s="693" t="s">
        <v>1193</v>
      </c>
      <c r="C210" s="652">
        <v>2869843.8</v>
      </c>
      <c r="D210" s="652"/>
      <c r="E210" s="652"/>
      <c r="F210" s="652"/>
      <c r="G210" s="710"/>
    </row>
    <row r="211" spans="1:9" s="2" customFormat="1" ht="12.75" customHeight="1" x14ac:dyDescent="0.2">
      <c r="A211" s="715"/>
      <c r="B211" s="693" t="s">
        <v>1194</v>
      </c>
      <c r="C211" s="652">
        <v>4250000</v>
      </c>
      <c r="D211" s="652"/>
      <c r="E211" s="652"/>
      <c r="F211" s="652"/>
      <c r="G211" s="716"/>
    </row>
    <row r="212" spans="1:9" s="2" customFormat="1" ht="12.75" customHeight="1" x14ac:dyDescent="0.2">
      <c r="A212" s="715"/>
      <c r="B212" s="693" t="s">
        <v>1195</v>
      </c>
      <c r="C212" s="652">
        <v>4800000</v>
      </c>
      <c r="D212" s="652"/>
      <c r="E212" s="652"/>
      <c r="F212" s="652"/>
      <c r="G212" s="717"/>
    </row>
    <row r="213" spans="1:9" s="2" customFormat="1" ht="12.75" customHeight="1" x14ac:dyDescent="0.2">
      <c r="A213" s="715"/>
      <c r="B213" s="672" t="s">
        <v>1196</v>
      </c>
      <c r="C213" s="652">
        <v>1400000</v>
      </c>
      <c r="D213" s="652"/>
      <c r="E213" s="652"/>
      <c r="F213" s="652"/>
      <c r="G213" s="717"/>
    </row>
    <row r="214" spans="1:9" s="98" customFormat="1" ht="12.75" customHeight="1" x14ac:dyDescent="0.2">
      <c r="A214" s="663">
        <v>4216</v>
      </c>
      <c r="B214" s="634" t="s">
        <v>234</v>
      </c>
      <c r="C214" s="718">
        <f>SUM(C215:C223)</f>
        <v>500000</v>
      </c>
      <c r="D214" s="718"/>
      <c r="E214" s="718"/>
      <c r="F214" s="718"/>
      <c r="G214" s="719"/>
      <c r="I214" s="150"/>
    </row>
    <row r="215" spans="1:9" s="2" customFormat="1" ht="12.75" customHeight="1" x14ac:dyDescent="0.2">
      <c r="A215" s="715"/>
      <c r="B215" s="672" t="s">
        <v>1197</v>
      </c>
      <c r="C215" s="644">
        <v>500000</v>
      </c>
      <c r="D215" s="644"/>
      <c r="E215" s="644"/>
      <c r="F215" s="644"/>
      <c r="G215" s="712"/>
    </row>
    <row r="216" spans="1:9" s="98" customFormat="1" ht="12.75" customHeight="1" x14ac:dyDescent="0.2">
      <c r="A216" s="692"/>
      <c r="B216" s="720" t="s">
        <v>1198</v>
      </c>
      <c r="C216" s="644">
        <v>0</v>
      </c>
      <c r="D216" s="644"/>
      <c r="E216" s="644"/>
      <c r="F216" s="644"/>
      <c r="G216" s="721"/>
      <c r="I216" s="150"/>
    </row>
    <row r="217" spans="1:9" s="98" customFormat="1" ht="12.75" customHeight="1" x14ac:dyDescent="0.2">
      <c r="A217" s="692"/>
      <c r="B217" s="720" t="s">
        <v>1199</v>
      </c>
      <c r="C217" s="644">
        <v>0</v>
      </c>
      <c r="D217" s="644"/>
      <c r="E217" s="644"/>
      <c r="F217" s="644"/>
      <c r="G217" s="721"/>
      <c r="I217" s="150"/>
    </row>
    <row r="218" spans="1:9" s="98" customFormat="1" ht="12.75" customHeight="1" x14ac:dyDescent="0.2">
      <c r="A218" s="692"/>
      <c r="B218" s="690" t="s">
        <v>1200</v>
      </c>
      <c r="C218" s="644">
        <v>0</v>
      </c>
      <c r="D218" s="644"/>
      <c r="E218" s="644"/>
      <c r="F218" s="644"/>
      <c r="G218" s="722"/>
      <c r="I218" s="150"/>
    </row>
    <row r="219" spans="1:9" s="98" customFormat="1" ht="12.75" customHeight="1" x14ac:dyDescent="0.2">
      <c r="A219" s="692"/>
      <c r="B219" s="643" t="s">
        <v>1201</v>
      </c>
      <c r="C219" s="644">
        <v>0</v>
      </c>
      <c r="D219" s="644"/>
      <c r="E219" s="644"/>
      <c r="F219" s="644"/>
      <c r="G219" s="722"/>
      <c r="I219" s="150"/>
    </row>
    <row r="220" spans="1:9" s="98" customFormat="1" ht="12.75" customHeight="1" x14ac:dyDescent="0.2">
      <c r="A220" s="692"/>
      <c r="B220" s="720" t="s">
        <v>1202</v>
      </c>
      <c r="C220" s="644">
        <v>0</v>
      </c>
      <c r="D220" s="644"/>
      <c r="E220" s="644"/>
      <c r="F220" s="644"/>
      <c r="G220" s="722"/>
      <c r="I220" s="150"/>
    </row>
    <row r="221" spans="1:9" s="98" customFormat="1" ht="12.75" customHeight="1" x14ac:dyDescent="0.2">
      <c r="A221" s="692"/>
      <c r="B221" s="643" t="s">
        <v>1203</v>
      </c>
      <c r="C221" s="644">
        <v>0</v>
      </c>
      <c r="D221" s="644"/>
      <c r="E221" s="644"/>
      <c r="F221" s="644"/>
      <c r="G221" s="722"/>
      <c r="I221" s="150"/>
    </row>
    <row r="222" spans="1:9" s="98" customFormat="1" ht="12.75" customHeight="1" x14ac:dyDescent="0.2">
      <c r="A222" s="692"/>
      <c r="B222" s="723" t="s">
        <v>1204</v>
      </c>
      <c r="C222" s="724">
        <v>0</v>
      </c>
      <c r="D222" s="724"/>
      <c r="E222" s="724"/>
      <c r="F222" s="724"/>
      <c r="G222" s="725"/>
    </row>
    <row r="223" spans="1:9" ht="12.75" customHeight="1" x14ac:dyDescent="0.2">
      <c r="A223" s="664"/>
      <c r="B223" s="720" t="s">
        <v>1205</v>
      </c>
      <c r="C223" s="644">
        <v>0</v>
      </c>
      <c r="D223" s="644"/>
      <c r="E223" s="644"/>
      <c r="F223" s="644"/>
      <c r="G223" s="726"/>
      <c r="I223" s="150"/>
    </row>
    <row r="224" spans="1:9" s="98" customFormat="1" ht="12.75" customHeight="1" x14ac:dyDescent="0.2">
      <c r="A224" s="663">
        <v>4222</v>
      </c>
      <c r="B224" s="634" t="s">
        <v>245</v>
      </c>
      <c r="C224" s="718">
        <f>SUM(C225:C230)</f>
        <v>500080</v>
      </c>
      <c r="D224" s="718"/>
      <c r="E224" s="718"/>
      <c r="F224" s="718"/>
      <c r="G224" s="718"/>
    </row>
    <row r="225" spans="1:9" s="98" customFormat="1" ht="12.75" customHeight="1" x14ac:dyDescent="0.2">
      <c r="A225" s="692"/>
      <c r="B225" s="690" t="s">
        <v>1206</v>
      </c>
      <c r="C225" s="644">
        <v>0</v>
      </c>
      <c r="D225" s="644"/>
      <c r="E225" s="644"/>
      <c r="F225" s="644"/>
      <c r="G225" s="722"/>
      <c r="I225" s="150"/>
    </row>
    <row r="226" spans="1:9" s="98" customFormat="1" ht="12.75" customHeight="1" x14ac:dyDescent="0.2">
      <c r="A226" s="692"/>
      <c r="B226" s="690" t="s">
        <v>1207</v>
      </c>
      <c r="C226" s="644">
        <v>0</v>
      </c>
      <c r="D226" s="644"/>
      <c r="E226" s="644"/>
      <c r="F226" s="644"/>
      <c r="G226" s="722"/>
      <c r="I226" s="150"/>
    </row>
    <row r="227" spans="1:9" s="98" customFormat="1" ht="12.75" customHeight="1" x14ac:dyDescent="0.2">
      <c r="A227" s="692"/>
      <c r="B227" s="643" t="s">
        <v>1208</v>
      </c>
      <c r="C227" s="644">
        <v>212100</v>
      </c>
      <c r="D227" s="644"/>
      <c r="E227" s="644"/>
      <c r="F227" s="644"/>
      <c r="G227" s="709"/>
      <c r="I227" s="150"/>
    </row>
    <row r="228" spans="1:9" s="98" customFormat="1" ht="12.75" customHeight="1" x14ac:dyDescent="0.2">
      <c r="A228" s="692"/>
      <c r="B228" s="643" t="s">
        <v>1209</v>
      </c>
      <c r="C228" s="644">
        <v>0</v>
      </c>
      <c r="D228" s="644"/>
      <c r="E228" s="644"/>
      <c r="F228" s="644"/>
      <c r="G228" s="709"/>
      <c r="I228" s="150"/>
    </row>
    <row r="229" spans="1:9" s="98" customFormat="1" ht="12.75" customHeight="1" x14ac:dyDescent="0.2">
      <c r="A229" s="692"/>
      <c r="B229" s="727" t="s">
        <v>1210</v>
      </c>
      <c r="C229" s="728">
        <v>0</v>
      </c>
      <c r="D229" s="728"/>
      <c r="E229" s="728"/>
      <c r="F229" s="728"/>
      <c r="G229" s="729"/>
    </row>
    <row r="230" spans="1:9" s="98" customFormat="1" ht="12.75" customHeight="1" x14ac:dyDescent="0.2">
      <c r="A230" s="730"/>
      <c r="B230" s="731" t="s">
        <v>1211</v>
      </c>
      <c r="C230" s="695">
        <v>287980</v>
      </c>
      <c r="D230" s="695"/>
      <c r="E230" s="695"/>
      <c r="F230" s="695"/>
      <c r="G230" s="579"/>
    </row>
    <row r="231" spans="1:9" s="98" customFormat="1" ht="12.75" customHeight="1" x14ac:dyDescent="0.2">
      <c r="A231" s="732"/>
      <c r="B231" s="733"/>
      <c r="C231" s="682"/>
      <c r="D231" s="682"/>
      <c r="E231" s="682"/>
      <c r="F231" s="682"/>
      <c r="G231" s="583"/>
    </row>
    <row r="232" spans="1:9" s="98" customFormat="1" ht="20.25" x14ac:dyDescent="0.3">
      <c r="A232" s="734"/>
      <c r="B232" s="618" t="s">
        <v>13</v>
      </c>
      <c r="C232" s="735">
        <f>SUM(C32+C65+C151+C175)</f>
        <v>828459861.11999989</v>
      </c>
      <c r="D232" s="735"/>
      <c r="E232" s="735"/>
      <c r="F232" s="735"/>
      <c r="G232" s="736"/>
    </row>
    <row r="233" spans="1:9" s="98" customFormat="1" ht="12.75" customHeight="1" x14ac:dyDescent="0.25">
      <c r="A233" s="737"/>
      <c r="B233" s="738"/>
      <c r="C233" s="739"/>
      <c r="D233" s="739"/>
      <c r="E233" s="739"/>
      <c r="F233" s="739"/>
      <c r="G233" s="740"/>
    </row>
    <row r="234" spans="1:9" s="244" customFormat="1" ht="16.5" customHeight="1" x14ac:dyDescent="0.25">
      <c r="A234" s="621"/>
      <c r="B234" s="657" t="s">
        <v>14</v>
      </c>
      <c r="C234" s="741">
        <f>SUM(C235:C239)</f>
        <v>172017736.07999998</v>
      </c>
      <c r="D234" s="741"/>
      <c r="E234" s="741"/>
      <c r="F234" s="741"/>
      <c r="G234" s="742"/>
    </row>
    <row r="235" spans="1:9" ht="27.75" customHeight="1" x14ac:dyDescent="0.2">
      <c r="A235" s="660">
        <v>8115</v>
      </c>
      <c r="B235" s="743" t="s">
        <v>1212</v>
      </c>
      <c r="C235" s="637">
        <f>100000000-11315591.92</f>
        <v>88684408.079999998</v>
      </c>
      <c r="D235" s="637"/>
      <c r="E235" s="637"/>
      <c r="F235" s="637"/>
      <c r="G235" s="744"/>
    </row>
    <row r="236" spans="1:9" ht="24.75" x14ac:dyDescent="0.2">
      <c r="A236" s="660">
        <v>8123</v>
      </c>
      <c r="B236" s="745" t="s">
        <v>1213</v>
      </c>
      <c r="C236" s="637">
        <v>0</v>
      </c>
      <c r="D236" s="637"/>
      <c r="E236" s="637"/>
      <c r="F236" s="637"/>
      <c r="G236" s="746"/>
    </row>
    <row r="237" spans="1:9" x14ac:dyDescent="0.2">
      <c r="A237" s="660">
        <v>8124</v>
      </c>
      <c r="B237" s="745" t="s">
        <v>1214</v>
      </c>
      <c r="C237" s="637">
        <f>-(555556*12)</f>
        <v>-6666672</v>
      </c>
      <c r="D237" s="637"/>
      <c r="E237" s="637"/>
      <c r="F237" s="637"/>
      <c r="G237" s="746"/>
    </row>
    <row r="238" spans="1:9" ht="12.75" customHeight="1" x14ac:dyDescent="0.2">
      <c r="A238" s="660">
        <v>8125</v>
      </c>
      <c r="B238" s="745" t="s">
        <v>1215</v>
      </c>
      <c r="C238" s="637">
        <v>90000000</v>
      </c>
      <c r="D238" s="637"/>
      <c r="E238" s="637"/>
      <c r="F238" s="637"/>
      <c r="G238" s="746"/>
    </row>
    <row r="239" spans="1:9" s="235" customFormat="1" ht="12.75" customHeight="1" x14ac:dyDescent="0.4">
      <c r="A239" s="663">
        <v>8901</v>
      </c>
      <c r="B239" s="634" t="s">
        <v>254</v>
      </c>
      <c r="C239" s="635">
        <f>SUM(C240:C240)</f>
        <v>0</v>
      </c>
      <c r="D239" s="635"/>
      <c r="E239" s="635"/>
      <c r="F239" s="635"/>
      <c r="G239" s="747"/>
    </row>
    <row r="240" spans="1:9" s="236" customFormat="1" ht="12.75" customHeight="1" x14ac:dyDescent="0.35">
      <c r="A240" s="715"/>
      <c r="B240" s="668" t="s">
        <v>255</v>
      </c>
      <c r="C240" s="652">
        <v>0</v>
      </c>
      <c r="D240" s="652"/>
      <c r="E240" s="652"/>
      <c r="F240" s="652"/>
      <c r="G240" s="748"/>
    </row>
    <row r="241" spans="1:7" ht="12.75" customHeight="1" x14ac:dyDescent="0.2">
      <c r="A241" s="749"/>
      <c r="B241" s="700"/>
      <c r="C241" s="750"/>
      <c r="D241" s="750"/>
      <c r="E241" s="750"/>
      <c r="F241" s="750"/>
      <c r="G241" s="751"/>
    </row>
    <row r="242" spans="1:7" s="33" customFormat="1" ht="24" customHeight="1" x14ac:dyDescent="0.35">
      <c r="A242" s="752"/>
      <c r="B242" s="753" t="s">
        <v>15</v>
      </c>
      <c r="C242" s="754">
        <f>SUM(C232+C234)</f>
        <v>1000477597.1999998</v>
      </c>
      <c r="D242" s="754"/>
      <c r="E242" s="754"/>
      <c r="F242" s="754"/>
      <c r="G242" s="755"/>
    </row>
    <row r="243" spans="1:7" s="98" customFormat="1" ht="20.25" x14ac:dyDescent="0.3">
      <c r="A243" s="756"/>
      <c r="B243" s="757" t="s">
        <v>257</v>
      </c>
      <c r="C243" s="758"/>
      <c r="D243" s="758"/>
      <c r="E243" s="758"/>
      <c r="F243" s="758"/>
      <c r="G243" s="740"/>
    </row>
    <row r="244" spans="1:7" s="85" customFormat="1" ht="20.25" x14ac:dyDescent="0.3">
      <c r="A244" s="759"/>
      <c r="B244" s="757" t="s">
        <v>258</v>
      </c>
      <c r="C244" s="760">
        <f>C245+C258+C290+C300</f>
        <v>75934044.200000003</v>
      </c>
      <c r="D244" s="760"/>
      <c r="E244" s="760"/>
      <c r="F244" s="760"/>
      <c r="G244" s="761"/>
    </row>
    <row r="245" spans="1:7" ht="15.75" x14ac:dyDescent="0.2">
      <c r="A245" s="762"/>
      <c r="B245" s="763" t="s">
        <v>259</v>
      </c>
      <c r="C245" s="764">
        <f>SUM(C246+C250+C255)</f>
        <v>2095000</v>
      </c>
      <c r="D245" s="764"/>
      <c r="E245" s="764"/>
      <c r="F245" s="764"/>
      <c r="G245" s="765"/>
    </row>
    <row r="246" spans="1:7" x14ac:dyDescent="0.2">
      <c r="A246" s="766">
        <v>2310</v>
      </c>
      <c r="B246" s="767" t="s">
        <v>1216</v>
      </c>
      <c r="C246" s="768">
        <f>SUM(C247:C249)</f>
        <v>315000</v>
      </c>
      <c r="D246" s="768"/>
      <c r="E246" s="768"/>
      <c r="F246" s="768"/>
      <c r="G246" s="639"/>
    </row>
    <row r="247" spans="1:7" x14ac:dyDescent="0.2">
      <c r="A247" s="769" t="s">
        <v>261</v>
      </c>
      <c r="B247" s="643" t="s">
        <v>262</v>
      </c>
      <c r="C247" s="644">
        <v>15000</v>
      </c>
      <c r="D247" s="644"/>
      <c r="E247" s="644"/>
      <c r="F247" s="644"/>
      <c r="G247" s="670"/>
    </row>
    <row r="248" spans="1:7" x14ac:dyDescent="0.2">
      <c r="A248" s="769" t="s">
        <v>263</v>
      </c>
      <c r="B248" s="643" t="s">
        <v>1217</v>
      </c>
      <c r="C248" s="644">
        <v>150000</v>
      </c>
      <c r="D248" s="644"/>
      <c r="E248" s="644"/>
      <c r="F248" s="644"/>
      <c r="G248" s="670"/>
    </row>
    <row r="249" spans="1:7" x14ac:dyDescent="0.2">
      <c r="A249" s="769" t="s">
        <v>265</v>
      </c>
      <c r="B249" s="643" t="s">
        <v>1218</v>
      </c>
      <c r="C249" s="644">
        <v>150000</v>
      </c>
      <c r="D249" s="644"/>
      <c r="E249" s="644"/>
      <c r="F249" s="644"/>
      <c r="G249" s="670"/>
    </row>
    <row r="250" spans="1:7" x14ac:dyDescent="0.2">
      <c r="A250" s="663">
        <v>2321</v>
      </c>
      <c r="B250" s="629" t="s">
        <v>1219</v>
      </c>
      <c r="C250" s="635">
        <f>SUM(C251:C254)</f>
        <v>1600000</v>
      </c>
      <c r="D250" s="635"/>
      <c r="E250" s="635"/>
      <c r="F250" s="635"/>
      <c r="G250" s="639"/>
    </row>
    <row r="251" spans="1:7" x14ac:dyDescent="0.2">
      <c r="A251" s="769" t="s">
        <v>268</v>
      </c>
      <c r="B251" s="643" t="s">
        <v>269</v>
      </c>
      <c r="C251" s="644">
        <v>200000</v>
      </c>
      <c r="D251" s="644"/>
      <c r="E251" s="644"/>
      <c r="F251" s="644"/>
      <c r="G251" s="670"/>
    </row>
    <row r="252" spans="1:7" x14ac:dyDescent="0.2">
      <c r="A252" s="769" t="s">
        <v>270</v>
      </c>
      <c r="B252" s="770" t="s">
        <v>1220</v>
      </c>
      <c r="C252" s="644">
        <v>500000</v>
      </c>
      <c r="D252" s="644"/>
      <c r="E252" s="644"/>
      <c r="F252" s="644"/>
      <c r="G252" s="670"/>
    </row>
    <row r="253" spans="1:7" x14ac:dyDescent="0.2">
      <c r="A253" s="769" t="s">
        <v>272</v>
      </c>
      <c r="B253" s="643" t="s">
        <v>1221</v>
      </c>
      <c r="C253" s="644">
        <v>700000</v>
      </c>
      <c r="D253" s="644"/>
      <c r="E253" s="644"/>
      <c r="F253" s="644"/>
      <c r="G253" s="670"/>
    </row>
    <row r="254" spans="1:7" s="2" customFormat="1" ht="24.75" x14ac:dyDescent="0.2">
      <c r="A254" s="769" t="s">
        <v>272</v>
      </c>
      <c r="B254" s="668" t="s">
        <v>1222</v>
      </c>
      <c r="C254" s="644">
        <v>200000</v>
      </c>
      <c r="D254" s="644"/>
      <c r="E254" s="644"/>
      <c r="F254" s="644"/>
      <c r="G254" s="670"/>
    </row>
    <row r="255" spans="1:7" x14ac:dyDescent="0.2">
      <c r="A255" s="660">
        <v>2333</v>
      </c>
      <c r="B255" s="626" t="s">
        <v>1223</v>
      </c>
      <c r="C255" s="771">
        <f>SUM(C256:C257)</f>
        <v>180000</v>
      </c>
      <c r="D255" s="771"/>
      <c r="E255" s="771"/>
      <c r="F255" s="771"/>
      <c r="G255" s="639"/>
    </row>
    <row r="256" spans="1:7" x14ac:dyDescent="0.2">
      <c r="A256" s="769" t="s">
        <v>276</v>
      </c>
      <c r="B256" s="643" t="s">
        <v>1224</v>
      </c>
      <c r="C256" s="644">
        <v>80000</v>
      </c>
      <c r="D256" s="644"/>
      <c r="E256" s="644"/>
      <c r="F256" s="644"/>
      <c r="G256" s="670"/>
    </row>
    <row r="257" spans="1:7" x14ac:dyDescent="0.2">
      <c r="A257" s="769" t="s">
        <v>278</v>
      </c>
      <c r="B257" s="643" t="s">
        <v>1225</v>
      </c>
      <c r="C257" s="694">
        <v>100000</v>
      </c>
      <c r="D257" s="694"/>
      <c r="E257" s="694"/>
      <c r="F257" s="694"/>
      <c r="G257" s="670"/>
    </row>
    <row r="258" spans="1:7" s="98" customFormat="1" ht="15.75" x14ac:dyDescent="0.25">
      <c r="A258" s="621"/>
      <c r="B258" s="657" t="s">
        <v>279</v>
      </c>
      <c r="C258" s="772">
        <f>SUM(C259+C272+C285)</f>
        <v>47752000</v>
      </c>
      <c r="D258" s="772"/>
      <c r="E258" s="772"/>
      <c r="F258" s="772"/>
      <c r="G258" s="765"/>
    </row>
    <row r="259" spans="1:7" s="98" customFormat="1" x14ac:dyDescent="0.2">
      <c r="A259" s="699">
        <v>2212</v>
      </c>
      <c r="B259" s="767" t="s">
        <v>1226</v>
      </c>
      <c r="C259" s="661">
        <f>SUM(C261:C271)</f>
        <v>45642000</v>
      </c>
      <c r="D259" s="661"/>
      <c r="E259" s="661"/>
      <c r="F259" s="661"/>
      <c r="G259" s="639"/>
    </row>
    <row r="260" spans="1:7" s="2" customFormat="1" x14ac:dyDescent="0.2">
      <c r="A260" s="715"/>
      <c r="B260" s="679" t="s">
        <v>1227</v>
      </c>
      <c r="C260" s="652">
        <f>SUM(C261:C263)</f>
        <v>11467000</v>
      </c>
      <c r="D260" s="652"/>
      <c r="E260" s="652"/>
      <c r="F260" s="652"/>
      <c r="G260" s="670"/>
    </row>
    <row r="261" spans="1:7" s="98" customFormat="1" x14ac:dyDescent="0.2">
      <c r="A261" s="769" t="s">
        <v>282</v>
      </c>
      <c r="B261" s="773" t="s">
        <v>1228</v>
      </c>
      <c r="C261" s="644">
        <v>30000</v>
      </c>
      <c r="D261" s="644"/>
      <c r="E261" s="644"/>
      <c r="F261" s="644"/>
      <c r="G261" s="670"/>
    </row>
    <row r="262" spans="1:7" s="98" customFormat="1" x14ac:dyDescent="0.2">
      <c r="A262" s="769" t="s">
        <v>282</v>
      </c>
      <c r="B262" s="773" t="s">
        <v>1229</v>
      </c>
      <c r="C262" s="644">
        <v>10637000</v>
      </c>
      <c r="D262" s="644"/>
      <c r="E262" s="644"/>
      <c r="F262" s="644"/>
      <c r="G262" s="670"/>
    </row>
    <row r="263" spans="1:7" s="98" customFormat="1" x14ac:dyDescent="0.2">
      <c r="A263" s="769" t="s">
        <v>282</v>
      </c>
      <c r="B263" s="773" t="s">
        <v>1230</v>
      </c>
      <c r="C263" s="644">
        <v>800000</v>
      </c>
      <c r="D263" s="644"/>
      <c r="E263" s="644"/>
      <c r="F263" s="644"/>
      <c r="G263" s="670"/>
    </row>
    <row r="264" spans="1:7" s="98" customFormat="1" x14ac:dyDescent="0.2">
      <c r="A264" s="769" t="s">
        <v>286</v>
      </c>
      <c r="B264" s="643" t="s">
        <v>1231</v>
      </c>
      <c r="C264" s="644">
        <v>4440000</v>
      </c>
      <c r="D264" s="644"/>
      <c r="E264" s="644"/>
      <c r="F264" s="644"/>
      <c r="G264" s="670"/>
    </row>
    <row r="265" spans="1:7" s="98" customFormat="1" x14ac:dyDescent="0.2">
      <c r="A265" s="769" t="s">
        <v>286</v>
      </c>
      <c r="B265" s="643" t="s">
        <v>1232</v>
      </c>
      <c r="C265" s="644">
        <v>23730000</v>
      </c>
      <c r="D265" s="644"/>
      <c r="E265" s="644"/>
      <c r="F265" s="644"/>
      <c r="G265" s="670"/>
    </row>
    <row r="266" spans="1:7" s="98" customFormat="1" x14ac:dyDescent="0.2">
      <c r="A266" s="769" t="s">
        <v>291</v>
      </c>
      <c r="B266" s="643" t="s">
        <v>1233</v>
      </c>
      <c r="C266" s="644">
        <v>2000000</v>
      </c>
      <c r="D266" s="644"/>
      <c r="E266" s="644"/>
      <c r="F266" s="644"/>
      <c r="G266" s="670"/>
    </row>
    <row r="267" spans="1:7" s="98" customFormat="1" x14ac:dyDescent="0.2">
      <c r="A267" s="769" t="s">
        <v>291</v>
      </c>
      <c r="B267" s="643" t="s">
        <v>1234</v>
      </c>
      <c r="C267" s="644">
        <v>1000000</v>
      </c>
      <c r="D267" s="644"/>
      <c r="E267" s="644"/>
      <c r="F267" s="644"/>
      <c r="G267" s="670"/>
    </row>
    <row r="268" spans="1:7" s="98" customFormat="1" x14ac:dyDescent="0.2">
      <c r="A268" s="769" t="s">
        <v>293</v>
      </c>
      <c r="B268" s="643" t="s">
        <v>1235</v>
      </c>
      <c r="C268" s="644">
        <v>2050000</v>
      </c>
      <c r="D268" s="644"/>
      <c r="E268" s="644"/>
      <c r="F268" s="644"/>
      <c r="G268" s="670"/>
    </row>
    <row r="269" spans="1:7" s="98" customFormat="1" x14ac:dyDescent="0.2">
      <c r="A269" s="769" t="s">
        <v>293</v>
      </c>
      <c r="B269" s="643" t="s">
        <v>1236</v>
      </c>
      <c r="C269" s="644">
        <v>350000</v>
      </c>
      <c r="D269" s="644"/>
      <c r="E269" s="644"/>
      <c r="F269" s="644"/>
      <c r="G269" s="670"/>
    </row>
    <row r="270" spans="1:7" s="98" customFormat="1" x14ac:dyDescent="0.2">
      <c r="A270" s="769" t="s">
        <v>1237</v>
      </c>
      <c r="B270" s="643" t="s">
        <v>1238</v>
      </c>
      <c r="C270" s="644">
        <v>605000</v>
      </c>
      <c r="D270" s="644"/>
      <c r="E270" s="644"/>
      <c r="F270" s="644"/>
      <c r="G270" s="670"/>
    </row>
    <row r="271" spans="1:7" s="98" customFormat="1" x14ac:dyDescent="0.2">
      <c r="A271" s="769" t="s">
        <v>1239</v>
      </c>
      <c r="B271" s="643" t="s">
        <v>1240</v>
      </c>
      <c r="C271" s="644">
        <v>0</v>
      </c>
      <c r="D271" s="644"/>
      <c r="E271" s="644"/>
      <c r="F271" s="644"/>
      <c r="G271" s="670"/>
    </row>
    <row r="272" spans="1:7" s="98" customFormat="1" x14ac:dyDescent="0.2">
      <c r="A272" s="663">
        <v>2219</v>
      </c>
      <c r="B272" s="629" t="s">
        <v>1241</v>
      </c>
      <c r="C272" s="635">
        <f>SUM(C274+C275+C277+C278+C279+C281+C282+C283+C280+C284)</f>
        <v>1960000</v>
      </c>
      <c r="D272" s="635"/>
      <c r="E272" s="635"/>
      <c r="F272" s="635"/>
      <c r="G272" s="639"/>
    </row>
    <row r="273" spans="1:7" s="2" customFormat="1" x14ac:dyDescent="0.2">
      <c r="A273" s="715"/>
      <c r="B273" s="679" t="s">
        <v>1242</v>
      </c>
      <c r="C273" s="652">
        <f>SUM(C274:C275)</f>
        <v>0</v>
      </c>
      <c r="D273" s="652"/>
      <c r="E273" s="652"/>
      <c r="F273" s="652"/>
      <c r="G273" s="670"/>
    </row>
    <row r="274" spans="1:7" s="98" customFormat="1" x14ac:dyDescent="0.2">
      <c r="A274" s="769" t="s">
        <v>1243</v>
      </c>
      <c r="B274" s="643" t="s">
        <v>1244</v>
      </c>
      <c r="C274" s="644">
        <v>0</v>
      </c>
      <c r="D274" s="644"/>
      <c r="E274" s="644"/>
      <c r="F274" s="644"/>
      <c r="G274" s="670"/>
    </row>
    <row r="275" spans="1:7" s="98" customFormat="1" x14ac:dyDescent="0.2">
      <c r="A275" s="769" t="s">
        <v>305</v>
      </c>
      <c r="B275" s="643" t="s">
        <v>1245</v>
      </c>
      <c r="C275" s="644">
        <v>0</v>
      </c>
      <c r="D275" s="644"/>
      <c r="E275" s="644"/>
      <c r="F275" s="644"/>
      <c r="G275" s="670"/>
    </row>
    <row r="276" spans="1:7" s="98" customFormat="1" x14ac:dyDescent="0.2">
      <c r="A276" s="769"/>
      <c r="B276" s="679" t="s">
        <v>281</v>
      </c>
      <c r="C276" s="652">
        <f>SUM(C277:C281)</f>
        <v>1300000</v>
      </c>
      <c r="D276" s="652"/>
      <c r="E276" s="652"/>
      <c r="F276" s="652"/>
      <c r="G276" s="670"/>
    </row>
    <row r="277" spans="1:7" s="98" customFormat="1" x14ac:dyDescent="0.2">
      <c r="A277" s="769" t="s">
        <v>1246</v>
      </c>
      <c r="B277" s="643" t="s">
        <v>1247</v>
      </c>
      <c r="C277" s="644">
        <v>0</v>
      </c>
      <c r="D277" s="644"/>
      <c r="E277" s="644"/>
      <c r="F277" s="644"/>
      <c r="G277" s="670"/>
    </row>
    <row r="278" spans="1:7" s="98" customFormat="1" x14ac:dyDescent="0.2">
      <c r="A278" s="769" t="s">
        <v>474</v>
      </c>
      <c r="B278" s="643" t="s">
        <v>1248</v>
      </c>
      <c r="C278" s="644">
        <v>700000</v>
      </c>
      <c r="D278" s="644"/>
      <c r="E278" s="644"/>
      <c r="F278" s="644"/>
      <c r="G278" s="670"/>
    </row>
    <row r="279" spans="1:7" s="98" customFormat="1" x14ac:dyDescent="0.2">
      <c r="A279" s="769" t="s">
        <v>1249</v>
      </c>
      <c r="B279" s="643" t="s">
        <v>1250</v>
      </c>
      <c r="C279" s="644">
        <v>0</v>
      </c>
      <c r="D279" s="644"/>
      <c r="E279" s="644"/>
      <c r="F279" s="644"/>
      <c r="G279" s="670"/>
    </row>
    <row r="280" spans="1:7" s="98" customFormat="1" x14ac:dyDescent="0.2">
      <c r="A280" s="769" t="s">
        <v>1251</v>
      </c>
      <c r="B280" s="643" t="s">
        <v>1252</v>
      </c>
      <c r="C280" s="644">
        <v>500000</v>
      </c>
      <c r="D280" s="644"/>
      <c r="E280" s="644"/>
      <c r="F280" s="644"/>
      <c r="G280" s="670"/>
    </row>
    <row r="281" spans="1:7" s="98" customFormat="1" x14ac:dyDescent="0.2">
      <c r="A281" s="769" t="s">
        <v>498</v>
      </c>
      <c r="B281" s="643" t="s">
        <v>1253</v>
      </c>
      <c r="C281" s="644">
        <v>100000</v>
      </c>
      <c r="D281" s="644"/>
      <c r="E281" s="644"/>
      <c r="F281" s="644"/>
      <c r="G281" s="670"/>
    </row>
    <row r="282" spans="1:7" s="98" customFormat="1" x14ac:dyDescent="0.2">
      <c r="A282" s="769" t="s">
        <v>1254</v>
      </c>
      <c r="B282" s="643" t="s">
        <v>1255</v>
      </c>
      <c r="C282" s="644">
        <v>10000</v>
      </c>
      <c r="D282" s="644"/>
      <c r="E282" s="644"/>
      <c r="F282" s="644"/>
      <c r="G282" s="670"/>
    </row>
    <row r="283" spans="1:7" s="98" customFormat="1" x14ac:dyDescent="0.2">
      <c r="A283" s="774" t="s">
        <v>299</v>
      </c>
      <c r="B283" s="690" t="s">
        <v>1256</v>
      </c>
      <c r="C283" s="644">
        <v>100000</v>
      </c>
      <c r="D283" s="644"/>
      <c r="E283" s="644"/>
      <c r="F283" s="644"/>
      <c r="G283" s="670"/>
    </row>
    <row r="284" spans="1:7" s="98" customFormat="1" x14ac:dyDescent="0.2">
      <c r="A284" s="774" t="s">
        <v>301</v>
      </c>
      <c r="B284" s="690" t="s">
        <v>1257</v>
      </c>
      <c r="C284" s="644">
        <v>550000</v>
      </c>
      <c r="D284" s="644"/>
      <c r="E284" s="644"/>
      <c r="F284" s="644"/>
      <c r="G284" s="670"/>
    </row>
    <row r="285" spans="1:7" x14ac:dyDescent="0.2">
      <c r="A285" s="663">
        <v>2221</v>
      </c>
      <c r="B285" s="629" t="s">
        <v>1258</v>
      </c>
      <c r="C285" s="635">
        <f>SUM(C287:C289)</f>
        <v>150000</v>
      </c>
      <c r="D285" s="635"/>
      <c r="E285" s="635"/>
      <c r="F285" s="635"/>
      <c r="G285" s="639"/>
    </row>
    <row r="286" spans="1:7" s="2" customFormat="1" x14ac:dyDescent="0.2">
      <c r="A286" s="715"/>
      <c r="B286" s="679" t="s">
        <v>281</v>
      </c>
      <c r="C286" s="652">
        <v>0</v>
      </c>
      <c r="D286" s="652"/>
      <c r="E286" s="652"/>
      <c r="F286" s="652"/>
      <c r="G286" s="670"/>
    </row>
    <row r="287" spans="1:7" x14ac:dyDescent="0.2">
      <c r="A287" s="769" t="s">
        <v>1259</v>
      </c>
      <c r="B287" s="672" t="s">
        <v>1260</v>
      </c>
      <c r="C287" s="644">
        <v>0</v>
      </c>
      <c r="D287" s="644"/>
      <c r="E287" s="644"/>
      <c r="F287" s="644"/>
      <c r="G287" s="670"/>
    </row>
    <row r="288" spans="1:7" x14ac:dyDescent="0.2">
      <c r="A288" s="775" t="s">
        <v>308</v>
      </c>
      <c r="B288" s="679" t="s">
        <v>1261</v>
      </c>
      <c r="C288" s="644">
        <v>60000</v>
      </c>
      <c r="D288" s="644"/>
      <c r="E288" s="644"/>
      <c r="F288" s="644"/>
      <c r="G288" s="670"/>
    </row>
    <row r="289" spans="1:7" x14ac:dyDescent="0.2">
      <c r="A289" s="775" t="s">
        <v>310</v>
      </c>
      <c r="B289" s="776" t="s">
        <v>1262</v>
      </c>
      <c r="C289" s="644">
        <v>90000</v>
      </c>
      <c r="D289" s="644"/>
      <c r="E289" s="644"/>
      <c r="F289" s="644"/>
      <c r="G289" s="670"/>
    </row>
    <row r="290" spans="1:7" ht="15.75" x14ac:dyDescent="0.25">
      <c r="A290" s="621"/>
      <c r="B290" s="657" t="s">
        <v>312</v>
      </c>
      <c r="C290" s="777">
        <f>C291</f>
        <v>1050000</v>
      </c>
      <c r="D290" s="777"/>
      <c r="E290" s="777"/>
      <c r="F290" s="777"/>
      <c r="G290" s="685"/>
    </row>
    <row r="291" spans="1:7" x14ac:dyDescent="0.2">
      <c r="A291" s="766">
        <v>3639</v>
      </c>
      <c r="B291" s="767" t="s">
        <v>313</v>
      </c>
      <c r="C291" s="661">
        <f>SUM(C292:C299)</f>
        <v>1050000</v>
      </c>
      <c r="D291" s="661"/>
      <c r="E291" s="661"/>
      <c r="F291" s="661"/>
      <c r="G291" s="639"/>
    </row>
    <row r="292" spans="1:7" x14ac:dyDescent="0.2">
      <c r="A292" s="769" t="s">
        <v>314</v>
      </c>
      <c r="B292" s="672" t="s">
        <v>1263</v>
      </c>
      <c r="C292" s="644">
        <v>500000</v>
      </c>
      <c r="D292" s="644"/>
      <c r="E292" s="644"/>
      <c r="F292" s="644"/>
      <c r="G292" s="670"/>
    </row>
    <row r="293" spans="1:7" x14ac:dyDescent="0.2">
      <c r="A293" s="769" t="s">
        <v>316</v>
      </c>
      <c r="B293" s="643" t="s">
        <v>1264</v>
      </c>
      <c r="C293" s="644">
        <v>50000</v>
      </c>
      <c r="D293" s="644"/>
      <c r="E293" s="644"/>
      <c r="F293" s="644"/>
      <c r="G293" s="670"/>
    </row>
    <row r="294" spans="1:7" x14ac:dyDescent="0.2">
      <c r="A294" s="778" t="s">
        <v>316</v>
      </c>
      <c r="B294" s="690" t="s">
        <v>1265</v>
      </c>
      <c r="C294" s="644">
        <v>50000</v>
      </c>
      <c r="D294" s="644"/>
      <c r="E294" s="644"/>
      <c r="F294" s="644"/>
      <c r="G294" s="670"/>
    </row>
    <row r="295" spans="1:7" x14ac:dyDescent="0.2">
      <c r="A295" s="769" t="s">
        <v>325</v>
      </c>
      <c r="B295" s="643" t="s">
        <v>1266</v>
      </c>
      <c r="C295" s="644">
        <v>50000</v>
      </c>
      <c r="D295" s="644"/>
      <c r="E295" s="644"/>
      <c r="F295" s="644"/>
      <c r="G295" s="670"/>
    </row>
    <row r="296" spans="1:7" x14ac:dyDescent="0.2">
      <c r="A296" s="769" t="s">
        <v>321</v>
      </c>
      <c r="B296" s="643" t="s">
        <v>1267</v>
      </c>
      <c r="C296" s="644">
        <v>150000</v>
      </c>
      <c r="D296" s="644"/>
      <c r="E296" s="644"/>
      <c r="F296" s="644"/>
      <c r="G296" s="670"/>
    </row>
    <row r="297" spans="1:7" x14ac:dyDescent="0.2">
      <c r="A297" s="769" t="s">
        <v>323</v>
      </c>
      <c r="B297" s="643" t="s">
        <v>1268</v>
      </c>
      <c r="C297" s="644">
        <v>210000</v>
      </c>
      <c r="D297" s="644"/>
      <c r="E297" s="644"/>
      <c r="F297" s="644"/>
      <c r="G297" s="670"/>
    </row>
    <row r="298" spans="1:7" x14ac:dyDescent="0.2">
      <c r="A298" s="775" t="s">
        <v>331</v>
      </c>
      <c r="B298" s="643" t="s">
        <v>1269</v>
      </c>
      <c r="C298" s="644">
        <v>10000</v>
      </c>
      <c r="D298" s="644"/>
      <c r="E298" s="644"/>
      <c r="F298" s="644"/>
      <c r="G298" s="670"/>
    </row>
    <row r="299" spans="1:7" x14ac:dyDescent="0.2">
      <c r="A299" s="775" t="s">
        <v>333</v>
      </c>
      <c r="B299" s="779" t="s">
        <v>1270</v>
      </c>
      <c r="C299" s="644">
        <v>30000</v>
      </c>
      <c r="D299" s="644"/>
      <c r="E299" s="644"/>
      <c r="F299" s="644"/>
      <c r="G299" s="670"/>
    </row>
    <row r="300" spans="1:7" ht="15.75" x14ac:dyDescent="0.25">
      <c r="A300" s="621"/>
      <c r="B300" s="657" t="s">
        <v>335</v>
      </c>
      <c r="C300" s="780">
        <f>SUM(C301+C305+C312+C321+C334+C342+C344+C347)</f>
        <v>25037044.199999999</v>
      </c>
      <c r="D300" s="780"/>
      <c r="E300" s="780"/>
      <c r="F300" s="780"/>
      <c r="G300" s="781"/>
    </row>
    <row r="301" spans="1:7" x14ac:dyDescent="0.2">
      <c r="A301" s="766">
        <v>3341</v>
      </c>
      <c r="B301" s="767" t="s">
        <v>1271</v>
      </c>
      <c r="C301" s="687">
        <f>SUM(C302:C304)</f>
        <v>225000</v>
      </c>
      <c r="D301" s="687"/>
      <c r="E301" s="687"/>
      <c r="F301" s="687"/>
      <c r="G301" s="639"/>
    </row>
    <row r="302" spans="1:7" x14ac:dyDescent="0.2">
      <c r="A302" s="769" t="s">
        <v>337</v>
      </c>
      <c r="B302" s="672" t="s">
        <v>338</v>
      </c>
      <c r="C302" s="644">
        <v>145000</v>
      </c>
      <c r="D302" s="644"/>
      <c r="E302" s="644"/>
      <c r="F302" s="644"/>
      <c r="G302" s="670"/>
    </row>
    <row r="303" spans="1:7" x14ac:dyDescent="0.2">
      <c r="A303" s="769" t="s">
        <v>339</v>
      </c>
      <c r="B303" s="672" t="s">
        <v>1272</v>
      </c>
      <c r="C303" s="644">
        <v>5000</v>
      </c>
      <c r="D303" s="644"/>
      <c r="E303" s="644"/>
      <c r="F303" s="644"/>
      <c r="G303" s="670"/>
    </row>
    <row r="304" spans="1:7" x14ac:dyDescent="0.2">
      <c r="A304" s="769" t="s">
        <v>1273</v>
      </c>
      <c r="B304" s="672" t="s">
        <v>1274</v>
      </c>
      <c r="C304" s="644">
        <v>75000</v>
      </c>
      <c r="D304" s="644"/>
      <c r="E304" s="644"/>
      <c r="F304" s="644"/>
      <c r="G304" s="670"/>
    </row>
    <row r="305" spans="1:7" x14ac:dyDescent="0.2">
      <c r="A305" s="660">
        <v>3421</v>
      </c>
      <c r="B305" s="629" t="s">
        <v>1275</v>
      </c>
      <c r="C305" s="635">
        <f>SUM(C306:C311)</f>
        <v>1740000</v>
      </c>
      <c r="D305" s="635"/>
      <c r="E305" s="635"/>
      <c r="F305" s="635"/>
      <c r="G305" s="639"/>
    </row>
    <row r="306" spans="1:7" x14ac:dyDescent="0.2">
      <c r="A306" s="769" t="s">
        <v>350</v>
      </c>
      <c r="B306" s="782" t="s">
        <v>1276</v>
      </c>
      <c r="C306" s="678">
        <v>500000</v>
      </c>
      <c r="D306" s="678"/>
      <c r="E306" s="678"/>
      <c r="F306" s="678"/>
      <c r="G306" s="670"/>
    </row>
    <row r="307" spans="1:7" x14ac:dyDescent="0.2">
      <c r="A307" s="769" t="s">
        <v>342</v>
      </c>
      <c r="B307" s="783" t="s">
        <v>1277</v>
      </c>
      <c r="C307" s="644">
        <v>600000</v>
      </c>
      <c r="D307" s="644"/>
      <c r="E307" s="644"/>
      <c r="F307" s="644"/>
      <c r="G307" s="670"/>
    </row>
    <row r="308" spans="1:7" x14ac:dyDescent="0.2">
      <c r="A308" s="769" t="s">
        <v>344</v>
      </c>
      <c r="B308" s="783" t="s">
        <v>1278</v>
      </c>
      <c r="C308" s="644">
        <v>60000</v>
      </c>
      <c r="D308" s="644"/>
      <c r="E308" s="644"/>
      <c r="F308" s="644"/>
      <c r="G308" s="670"/>
    </row>
    <row r="309" spans="1:7" x14ac:dyDescent="0.2">
      <c r="A309" s="769" t="s">
        <v>346</v>
      </c>
      <c r="B309" s="783" t="s">
        <v>1279</v>
      </c>
      <c r="C309" s="644">
        <v>80000</v>
      </c>
      <c r="D309" s="644"/>
      <c r="E309" s="644"/>
      <c r="F309" s="644"/>
      <c r="G309" s="670"/>
    </row>
    <row r="310" spans="1:7" x14ac:dyDescent="0.2">
      <c r="A310" s="769" t="s">
        <v>348</v>
      </c>
      <c r="B310" s="782" t="s">
        <v>1280</v>
      </c>
      <c r="C310" s="644">
        <v>500000</v>
      </c>
      <c r="D310" s="644"/>
      <c r="E310" s="644"/>
      <c r="F310" s="644"/>
      <c r="G310" s="670"/>
    </row>
    <row r="311" spans="1:7" x14ac:dyDescent="0.2">
      <c r="A311" s="769" t="s">
        <v>1281</v>
      </c>
      <c r="B311" s="783" t="s">
        <v>1282</v>
      </c>
      <c r="C311" s="644">
        <v>0</v>
      </c>
      <c r="D311" s="644"/>
      <c r="E311" s="644"/>
      <c r="F311" s="644"/>
      <c r="G311" s="670"/>
    </row>
    <row r="312" spans="1:7" x14ac:dyDescent="0.2">
      <c r="A312" s="663">
        <v>3613</v>
      </c>
      <c r="B312" s="629" t="s">
        <v>1283</v>
      </c>
      <c r="C312" s="635">
        <f>SUM(C313:C320)</f>
        <v>1870000</v>
      </c>
      <c r="D312" s="635"/>
      <c r="E312" s="635"/>
      <c r="F312" s="635"/>
      <c r="G312" s="639"/>
    </row>
    <row r="313" spans="1:7" x14ac:dyDescent="0.2">
      <c r="A313" s="769" t="s">
        <v>1284</v>
      </c>
      <c r="B313" s="782" t="s">
        <v>1285</v>
      </c>
      <c r="C313" s="644">
        <v>350000</v>
      </c>
      <c r="D313" s="644"/>
      <c r="E313" s="644"/>
      <c r="F313" s="644"/>
      <c r="G313" s="639"/>
    </row>
    <row r="314" spans="1:7" x14ac:dyDescent="0.2">
      <c r="A314" s="775" t="s">
        <v>353</v>
      </c>
      <c r="B314" s="773" t="s">
        <v>1286</v>
      </c>
      <c r="C314" s="644">
        <v>5000</v>
      </c>
      <c r="D314" s="644"/>
      <c r="E314" s="644"/>
      <c r="F314" s="644"/>
      <c r="G314" s="670"/>
    </row>
    <row r="315" spans="1:7" x14ac:dyDescent="0.2">
      <c r="A315" s="775" t="s">
        <v>355</v>
      </c>
      <c r="B315" s="773" t="s">
        <v>1287</v>
      </c>
      <c r="C315" s="644">
        <v>15000</v>
      </c>
      <c r="D315" s="644"/>
      <c r="E315" s="644"/>
      <c r="F315" s="644"/>
      <c r="G315" s="670"/>
    </row>
    <row r="316" spans="1:7" x14ac:dyDescent="0.2">
      <c r="A316" s="775" t="s">
        <v>357</v>
      </c>
      <c r="B316" s="643" t="s">
        <v>1288</v>
      </c>
      <c r="C316" s="644">
        <v>200000</v>
      </c>
      <c r="D316" s="644"/>
      <c r="E316" s="644"/>
      <c r="F316" s="644"/>
      <c r="G316" s="670"/>
    </row>
    <row r="317" spans="1:7" x14ac:dyDescent="0.2">
      <c r="A317" s="775" t="s">
        <v>359</v>
      </c>
      <c r="B317" s="643" t="s">
        <v>1289</v>
      </c>
      <c r="C317" s="644">
        <v>640000</v>
      </c>
      <c r="D317" s="644"/>
      <c r="E317" s="644"/>
      <c r="F317" s="644"/>
      <c r="G317" s="670"/>
    </row>
    <row r="318" spans="1:7" x14ac:dyDescent="0.2">
      <c r="A318" s="775" t="s">
        <v>361</v>
      </c>
      <c r="B318" s="643" t="s">
        <v>1290</v>
      </c>
      <c r="C318" s="644">
        <v>100000</v>
      </c>
      <c r="D318" s="644"/>
      <c r="E318" s="644"/>
      <c r="F318" s="644"/>
      <c r="G318" s="670"/>
    </row>
    <row r="319" spans="1:7" x14ac:dyDescent="0.2">
      <c r="A319" s="775" t="s">
        <v>364</v>
      </c>
      <c r="B319" s="672" t="s">
        <v>1291</v>
      </c>
      <c r="C319" s="644">
        <v>260000</v>
      </c>
      <c r="D319" s="644"/>
      <c r="E319" s="644"/>
      <c r="F319" s="644"/>
      <c r="G319" s="670"/>
    </row>
    <row r="320" spans="1:7" x14ac:dyDescent="0.2">
      <c r="A320" s="769" t="s">
        <v>1292</v>
      </c>
      <c r="B320" s="783" t="s">
        <v>1293</v>
      </c>
      <c r="C320" s="644">
        <v>300000</v>
      </c>
      <c r="D320" s="644"/>
      <c r="E320" s="644"/>
      <c r="F320" s="644"/>
      <c r="G320" s="670"/>
    </row>
    <row r="321" spans="1:7" x14ac:dyDescent="0.2">
      <c r="A321" s="663">
        <v>3631</v>
      </c>
      <c r="B321" s="629" t="s">
        <v>1294</v>
      </c>
      <c r="C321" s="635">
        <f>SUM(C322+C323+C324+C325+C326+C327)</f>
        <v>14990000</v>
      </c>
      <c r="D321" s="635"/>
      <c r="E321" s="635"/>
      <c r="F321" s="635"/>
      <c r="G321" s="639"/>
    </row>
    <row r="322" spans="1:7" x14ac:dyDescent="0.2">
      <c r="A322" s="769" t="s">
        <v>371</v>
      </c>
      <c r="B322" s="643" t="s">
        <v>1295</v>
      </c>
      <c r="C322" s="644">
        <v>4800000</v>
      </c>
      <c r="D322" s="644"/>
      <c r="E322" s="644"/>
      <c r="F322" s="644"/>
      <c r="G322" s="670"/>
    </row>
    <row r="323" spans="1:7" x14ac:dyDescent="0.2">
      <c r="A323" s="775" t="s">
        <v>367</v>
      </c>
      <c r="B323" s="643" t="s">
        <v>1296</v>
      </c>
      <c r="C323" s="644">
        <v>50000</v>
      </c>
      <c r="D323" s="644"/>
      <c r="E323" s="644"/>
      <c r="F323" s="644"/>
      <c r="G323" s="670"/>
    </row>
    <row r="324" spans="1:7" x14ac:dyDescent="0.2">
      <c r="A324" s="775" t="s">
        <v>369</v>
      </c>
      <c r="B324" s="643" t="s">
        <v>1297</v>
      </c>
      <c r="C324" s="644">
        <v>250000</v>
      </c>
      <c r="D324" s="644"/>
      <c r="E324" s="644"/>
      <c r="F324" s="644"/>
      <c r="G324" s="670"/>
    </row>
    <row r="325" spans="1:7" x14ac:dyDescent="0.2">
      <c r="A325" s="775" t="s">
        <v>369</v>
      </c>
      <c r="B325" s="643" t="s">
        <v>1298</v>
      </c>
      <c r="C325" s="644">
        <v>300000</v>
      </c>
      <c r="D325" s="644"/>
      <c r="E325" s="644"/>
      <c r="F325" s="644"/>
      <c r="G325" s="670"/>
    </row>
    <row r="326" spans="1:7" ht="12.75" customHeight="1" x14ac:dyDescent="0.2">
      <c r="A326" s="769" t="s">
        <v>373</v>
      </c>
      <c r="B326" s="643" t="s">
        <v>374</v>
      </c>
      <c r="C326" s="644">
        <v>7200000</v>
      </c>
      <c r="D326" s="644"/>
      <c r="E326" s="644"/>
      <c r="F326" s="644"/>
      <c r="G326" s="670"/>
    </row>
    <row r="327" spans="1:7" ht="12.75" customHeight="1" x14ac:dyDescent="0.2">
      <c r="A327" s="769"/>
      <c r="B327" s="679" t="s">
        <v>281</v>
      </c>
      <c r="C327" s="652">
        <f>SUM(C328:C333)</f>
        <v>2390000</v>
      </c>
      <c r="D327" s="652"/>
      <c r="E327" s="652"/>
      <c r="F327" s="652"/>
      <c r="G327" s="670"/>
    </row>
    <row r="328" spans="1:7" x14ac:dyDescent="0.2">
      <c r="A328" s="769" t="s">
        <v>579</v>
      </c>
      <c r="B328" s="783" t="s">
        <v>1299</v>
      </c>
      <c r="C328" s="644">
        <v>650000</v>
      </c>
      <c r="D328" s="644"/>
      <c r="E328" s="644"/>
      <c r="F328" s="644"/>
      <c r="G328" s="670"/>
    </row>
    <row r="329" spans="1:7" ht="12.75" customHeight="1" x14ac:dyDescent="0.2">
      <c r="A329" s="769" t="s">
        <v>1300</v>
      </c>
      <c r="B329" s="783" t="s">
        <v>1301</v>
      </c>
      <c r="C329" s="644">
        <v>80000</v>
      </c>
      <c r="D329" s="644"/>
      <c r="E329" s="644"/>
      <c r="F329" s="644"/>
      <c r="G329" s="670"/>
    </row>
    <row r="330" spans="1:7" ht="12.75" customHeight="1" x14ac:dyDescent="0.2">
      <c r="A330" s="769" t="s">
        <v>1302</v>
      </c>
      <c r="B330" s="783" t="s">
        <v>1303</v>
      </c>
      <c r="C330" s="644">
        <v>550000</v>
      </c>
      <c r="D330" s="644"/>
      <c r="E330" s="644"/>
      <c r="F330" s="644"/>
      <c r="G330" s="670"/>
    </row>
    <row r="331" spans="1:7" ht="12.75" customHeight="1" x14ac:dyDescent="0.2">
      <c r="A331" s="769" t="s">
        <v>1304</v>
      </c>
      <c r="B331" s="783" t="s">
        <v>1305</v>
      </c>
      <c r="C331" s="644">
        <v>50000</v>
      </c>
      <c r="D331" s="644"/>
      <c r="E331" s="644"/>
      <c r="F331" s="644"/>
      <c r="G331" s="670"/>
    </row>
    <row r="332" spans="1:7" ht="12.75" customHeight="1" x14ac:dyDescent="0.2">
      <c r="A332" s="769" t="s">
        <v>1306</v>
      </c>
      <c r="B332" s="783" t="s">
        <v>1307</v>
      </c>
      <c r="C332" s="644">
        <v>60000</v>
      </c>
      <c r="D332" s="644"/>
      <c r="E332" s="644"/>
      <c r="F332" s="644"/>
      <c r="G332" s="670"/>
    </row>
    <row r="333" spans="1:7" ht="12.75" customHeight="1" x14ac:dyDescent="0.2">
      <c r="A333" s="769" t="s">
        <v>585</v>
      </c>
      <c r="B333" s="783" t="s">
        <v>1308</v>
      </c>
      <c r="C333" s="644">
        <v>1000000</v>
      </c>
      <c r="D333" s="644"/>
      <c r="E333" s="644"/>
      <c r="F333" s="644"/>
      <c r="G333" s="670"/>
    </row>
    <row r="334" spans="1:7" x14ac:dyDescent="0.2">
      <c r="A334" s="663">
        <v>3632</v>
      </c>
      <c r="B334" s="629" t="s">
        <v>1309</v>
      </c>
      <c r="C334" s="635">
        <f>SUM(C336:C341)</f>
        <v>4142630</v>
      </c>
      <c r="D334" s="635"/>
      <c r="E334" s="635"/>
      <c r="F334" s="635"/>
      <c r="G334" s="639"/>
    </row>
    <row r="335" spans="1:7" s="2" customFormat="1" x14ac:dyDescent="0.2">
      <c r="A335" s="715"/>
      <c r="B335" s="672" t="s">
        <v>1310</v>
      </c>
      <c r="C335" s="652">
        <f>SUM(C336:C338)</f>
        <v>366630</v>
      </c>
      <c r="D335" s="652"/>
      <c r="E335" s="652"/>
      <c r="F335" s="652"/>
      <c r="G335" s="670"/>
    </row>
    <row r="336" spans="1:7" s="98" customFormat="1" x14ac:dyDescent="0.2">
      <c r="A336" s="769" t="s">
        <v>377</v>
      </c>
      <c r="B336" s="643" t="s">
        <v>1311</v>
      </c>
      <c r="C336" s="644">
        <v>366630</v>
      </c>
      <c r="D336" s="644"/>
      <c r="E336" s="644"/>
      <c r="F336" s="644"/>
      <c r="G336" s="670"/>
    </row>
    <row r="337" spans="1:7" s="98" customFormat="1" x14ac:dyDescent="0.2">
      <c r="A337" s="769" t="s">
        <v>377</v>
      </c>
      <c r="B337" s="643" t="s">
        <v>1312</v>
      </c>
      <c r="C337" s="644">
        <v>0</v>
      </c>
      <c r="D337" s="644"/>
      <c r="E337" s="644"/>
      <c r="F337" s="644"/>
      <c r="G337" s="670"/>
    </row>
    <row r="338" spans="1:7" s="98" customFormat="1" x14ac:dyDescent="0.2">
      <c r="A338" s="769" t="s">
        <v>377</v>
      </c>
      <c r="B338" s="643" t="s">
        <v>1313</v>
      </c>
      <c r="C338" s="644">
        <v>0</v>
      </c>
      <c r="D338" s="644"/>
      <c r="E338" s="644"/>
      <c r="F338" s="644"/>
      <c r="G338" s="670"/>
    </row>
    <row r="339" spans="1:7" s="98" customFormat="1" x14ac:dyDescent="0.2">
      <c r="A339" s="769" t="s">
        <v>383</v>
      </c>
      <c r="B339" s="643" t="s">
        <v>1314</v>
      </c>
      <c r="C339" s="644">
        <v>3400000</v>
      </c>
      <c r="D339" s="644"/>
      <c r="E339" s="644"/>
      <c r="F339" s="644"/>
      <c r="G339" s="670"/>
    </row>
    <row r="340" spans="1:7" s="98" customFormat="1" x14ac:dyDescent="0.2">
      <c r="A340" s="769" t="s">
        <v>383</v>
      </c>
      <c r="B340" s="643" t="s">
        <v>1315</v>
      </c>
      <c r="C340" s="644">
        <v>276000</v>
      </c>
      <c r="D340" s="644"/>
      <c r="E340" s="644"/>
      <c r="F340" s="644"/>
      <c r="G340" s="670"/>
    </row>
    <row r="341" spans="1:7" s="98" customFormat="1" x14ac:dyDescent="0.2">
      <c r="A341" s="769" t="s">
        <v>387</v>
      </c>
      <c r="B341" s="643" t="s">
        <v>1316</v>
      </c>
      <c r="C341" s="644">
        <v>100000</v>
      </c>
      <c r="D341" s="644"/>
      <c r="E341" s="644"/>
      <c r="F341" s="644"/>
      <c r="G341" s="670"/>
    </row>
    <row r="342" spans="1:7" s="98" customFormat="1" x14ac:dyDescent="0.2">
      <c r="A342" s="663">
        <v>3633</v>
      </c>
      <c r="B342" s="629" t="s">
        <v>1317</v>
      </c>
      <c r="C342" s="635">
        <f>SUM(C343)</f>
        <v>1780000</v>
      </c>
      <c r="D342" s="635"/>
      <c r="E342" s="635"/>
      <c r="F342" s="635"/>
      <c r="G342" s="670"/>
    </row>
    <row r="343" spans="1:7" s="98" customFormat="1" ht="24.75" x14ac:dyDescent="0.2">
      <c r="A343" s="769"/>
      <c r="B343" s="650" t="s">
        <v>1318</v>
      </c>
      <c r="C343" s="644">
        <v>1780000</v>
      </c>
      <c r="D343" s="644"/>
      <c r="E343" s="644"/>
      <c r="F343" s="644"/>
      <c r="G343" s="670"/>
    </row>
    <row r="344" spans="1:7" s="98" customFormat="1" x14ac:dyDescent="0.2">
      <c r="A344" s="663">
        <v>3639</v>
      </c>
      <c r="B344" s="629" t="s">
        <v>1319</v>
      </c>
      <c r="C344" s="635">
        <f>SUM(C345:C346)</f>
        <v>14414.2</v>
      </c>
      <c r="D344" s="635"/>
      <c r="E344" s="635"/>
      <c r="F344" s="635"/>
      <c r="G344" s="639"/>
    </row>
    <row r="345" spans="1:7" s="98" customFormat="1" x14ac:dyDescent="0.2">
      <c r="A345" s="769" t="s">
        <v>390</v>
      </c>
      <c r="B345" s="773" t="s">
        <v>1320</v>
      </c>
      <c r="C345" s="644">
        <v>9414.2000000000007</v>
      </c>
      <c r="D345" s="644"/>
      <c r="E345" s="644"/>
      <c r="F345" s="644"/>
      <c r="G345" s="670"/>
    </row>
    <row r="346" spans="1:7" s="98" customFormat="1" x14ac:dyDescent="0.2">
      <c r="A346" s="775" t="s">
        <v>392</v>
      </c>
      <c r="B346" s="643" t="s">
        <v>1321</v>
      </c>
      <c r="C346" s="644">
        <v>5000</v>
      </c>
      <c r="D346" s="644"/>
      <c r="E346" s="644"/>
      <c r="F346" s="644"/>
      <c r="G346" s="670"/>
    </row>
    <row r="347" spans="1:7" s="98" customFormat="1" x14ac:dyDescent="0.2">
      <c r="A347" s="663">
        <v>3699</v>
      </c>
      <c r="B347" s="629" t="s">
        <v>1322</v>
      </c>
      <c r="C347" s="635">
        <f>SUM(C348:C349)</f>
        <v>275000</v>
      </c>
      <c r="D347" s="635"/>
      <c r="E347" s="635"/>
      <c r="F347" s="635"/>
      <c r="G347" s="639"/>
    </row>
    <row r="348" spans="1:7" s="98" customFormat="1" x14ac:dyDescent="0.2">
      <c r="A348" s="774" t="s">
        <v>1323</v>
      </c>
      <c r="B348" s="700" t="s">
        <v>1324</v>
      </c>
      <c r="C348" s="694">
        <v>0</v>
      </c>
      <c r="D348" s="694"/>
      <c r="E348" s="694"/>
      <c r="F348" s="694"/>
      <c r="G348" s="784"/>
    </row>
    <row r="349" spans="1:7" s="98" customFormat="1" x14ac:dyDescent="0.2">
      <c r="A349" s="774" t="s">
        <v>395</v>
      </c>
      <c r="B349" s="690" t="s">
        <v>1325</v>
      </c>
      <c r="C349" s="785">
        <v>275000</v>
      </c>
      <c r="D349" s="785"/>
      <c r="E349" s="785"/>
      <c r="F349" s="785"/>
      <c r="G349" s="651"/>
    </row>
    <row r="350" spans="1:7" s="85" customFormat="1" ht="20.25" x14ac:dyDescent="0.3">
      <c r="A350" s="786"/>
      <c r="B350" s="787" t="s">
        <v>1017</v>
      </c>
      <c r="C350" s="788">
        <f>C351+C364+C435+C455+C462+C469+C473+C446+C510+C537</f>
        <v>196635250</v>
      </c>
      <c r="D350" s="788"/>
      <c r="E350" s="788"/>
      <c r="F350" s="788"/>
      <c r="G350" s="789"/>
    </row>
    <row r="351" spans="1:7" s="98" customFormat="1" ht="15.75" x14ac:dyDescent="0.2">
      <c r="A351" s="790"/>
      <c r="B351" s="791" t="s">
        <v>398</v>
      </c>
      <c r="C351" s="792">
        <f>SUM(C352+C356)</f>
        <v>4800000</v>
      </c>
      <c r="D351" s="792"/>
      <c r="E351" s="792"/>
      <c r="F351" s="792"/>
      <c r="G351" s="772"/>
    </row>
    <row r="352" spans="1:7" s="98" customFormat="1" x14ac:dyDescent="0.2">
      <c r="A352" s="793">
        <v>2310</v>
      </c>
      <c r="B352" s="794" t="s">
        <v>1216</v>
      </c>
      <c r="C352" s="795">
        <f>SUM(C353:C355)</f>
        <v>1010000</v>
      </c>
      <c r="D352" s="795"/>
      <c r="E352" s="795"/>
      <c r="F352" s="795"/>
      <c r="G352" s="768"/>
    </row>
    <row r="353" spans="1:7" s="98" customFormat="1" x14ac:dyDescent="0.2">
      <c r="A353" s="796" t="s">
        <v>403</v>
      </c>
      <c r="B353" s="731" t="s">
        <v>404</v>
      </c>
      <c r="C353" s="695">
        <v>10000</v>
      </c>
      <c r="D353" s="695"/>
      <c r="E353" s="695"/>
      <c r="F353" s="695"/>
      <c r="G353" s="695"/>
    </row>
    <row r="354" spans="1:7" s="98" customFormat="1" x14ac:dyDescent="0.2">
      <c r="A354" s="796" t="s">
        <v>405</v>
      </c>
      <c r="B354" s="731" t="s">
        <v>1326</v>
      </c>
      <c r="C354" s="695">
        <v>0</v>
      </c>
      <c r="D354" s="695"/>
      <c r="E354" s="695"/>
      <c r="F354" s="695"/>
      <c r="G354" s="695"/>
    </row>
    <row r="355" spans="1:7" s="98" customFormat="1" x14ac:dyDescent="0.2">
      <c r="A355" s="796" t="s">
        <v>1327</v>
      </c>
      <c r="B355" s="731" t="s">
        <v>1328</v>
      </c>
      <c r="C355" s="695">
        <v>1000000</v>
      </c>
      <c r="D355" s="695"/>
      <c r="E355" s="695"/>
      <c r="F355" s="695"/>
      <c r="G355" s="695"/>
    </row>
    <row r="356" spans="1:7" s="98" customFormat="1" x14ac:dyDescent="0.2">
      <c r="A356" s="730">
        <v>2321</v>
      </c>
      <c r="B356" s="797" t="s">
        <v>1219</v>
      </c>
      <c r="C356" s="798">
        <f>SUM(C357:C363)</f>
        <v>3790000</v>
      </c>
      <c r="D356" s="798"/>
      <c r="E356" s="798"/>
      <c r="F356" s="798"/>
      <c r="G356" s="798"/>
    </row>
    <row r="357" spans="1:7" s="98" customFormat="1" x14ac:dyDescent="0.2">
      <c r="A357" s="796" t="s">
        <v>1329</v>
      </c>
      <c r="B357" s="731" t="s">
        <v>1330</v>
      </c>
      <c r="C357" s="695">
        <v>300000</v>
      </c>
      <c r="D357" s="695"/>
      <c r="E357" s="695"/>
      <c r="F357" s="695"/>
      <c r="G357" s="695"/>
    </row>
    <row r="358" spans="1:7" s="98" customFormat="1" x14ac:dyDescent="0.2">
      <c r="A358" s="796" t="s">
        <v>1331</v>
      </c>
      <c r="B358" s="731" t="s">
        <v>1332</v>
      </c>
      <c r="C358" s="695">
        <v>1500000</v>
      </c>
      <c r="D358" s="695"/>
      <c r="E358" s="695"/>
      <c r="F358" s="695"/>
      <c r="G358" s="695"/>
    </row>
    <row r="359" spans="1:7" s="98" customFormat="1" x14ac:dyDescent="0.2">
      <c r="A359" s="796" t="s">
        <v>1333</v>
      </c>
      <c r="B359" s="731" t="s">
        <v>1334</v>
      </c>
      <c r="C359" s="695">
        <v>1000000</v>
      </c>
      <c r="D359" s="695"/>
      <c r="E359" s="695"/>
      <c r="F359" s="695"/>
      <c r="G359" s="695"/>
    </row>
    <row r="360" spans="1:7" s="98" customFormat="1" x14ac:dyDescent="0.2">
      <c r="A360" s="796" t="s">
        <v>1335</v>
      </c>
      <c r="B360" s="731" t="s">
        <v>1336</v>
      </c>
      <c r="C360" s="695">
        <v>500000</v>
      </c>
      <c r="D360" s="695"/>
      <c r="E360" s="695"/>
      <c r="F360" s="695"/>
      <c r="G360" s="695"/>
    </row>
    <row r="361" spans="1:7" s="98" customFormat="1" x14ac:dyDescent="0.2">
      <c r="A361" s="796" t="s">
        <v>411</v>
      </c>
      <c r="B361" s="731" t="s">
        <v>1337</v>
      </c>
      <c r="C361" s="695">
        <v>230000</v>
      </c>
      <c r="D361" s="695"/>
      <c r="E361" s="695"/>
      <c r="F361" s="695"/>
      <c r="G361" s="695"/>
    </row>
    <row r="362" spans="1:7" s="98" customFormat="1" x14ac:dyDescent="0.2">
      <c r="A362" s="796" t="s">
        <v>413</v>
      </c>
      <c r="B362" s="731" t="s">
        <v>1338</v>
      </c>
      <c r="C362" s="695">
        <v>250000</v>
      </c>
      <c r="D362" s="695"/>
      <c r="E362" s="695"/>
      <c r="F362" s="695"/>
      <c r="G362" s="695"/>
    </row>
    <row r="363" spans="1:7" ht="15.75" x14ac:dyDescent="0.2">
      <c r="A363" s="799" t="s">
        <v>415</v>
      </c>
      <c r="B363" s="800" t="s">
        <v>416</v>
      </c>
      <c r="C363" s="728">
        <v>10000</v>
      </c>
      <c r="D363" s="728"/>
      <c r="E363" s="728"/>
      <c r="F363" s="728"/>
      <c r="G363" s="801"/>
    </row>
    <row r="364" spans="1:7" ht="15.75" x14ac:dyDescent="0.25">
      <c r="A364" s="802"/>
      <c r="B364" s="803" t="s">
        <v>422</v>
      </c>
      <c r="C364" s="792">
        <f>SUM(C365+C384+C430)</f>
        <v>57873000</v>
      </c>
      <c r="D364" s="792"/>
      <c r="E364" s="792"/>
      <c r="F364" s="792"/>
      <c r="G364" s="804"/>
    </row>
    <row r="365" spans="1:7" x14ac:dyDescent="0.2">
      <c r="A365" s="805">
        <v>2212</v>
      </c>
      <c r="B365" s="806" t="s">
        <v>1339</v>
      </c>
      <c r="C365" s="807">
        <f>SUM(C366:C383)</f>
        <v>10770000</v>
      </c>
      <c r="D365" s="807"/>
      <c r="E365" s="807"/>
      <c r="F365" s="807"/>
      <c r="G365" s="808"/>
    </row>
    <row r="366" spans="1:7" x14ac:dyDescent="0.2">
      <c r="A366" s="796" t="s">
        <v>293</v>
      </c>
      <c r="B366" s="731" t="s">
        <v>424</v>
      </c>
      <c r="C366" s="695">
        <v>300000</v>
      </c>
      <c r="D366" s="695"/>
      <c r="E366" s="695"/>
      <c r="F366" s="695"/>
      <c r="G366" s="695"/>
    </row>
    <row r="367" spans="1:7" x14ac:dyDescent="0.2">
      <c r="A367" s="796" t="s">
        <v>291</v>
      </c>
      <c r="B367" s="731" t="s">
        <v>425</v>
      </c>
      <c r="C367" s="695">
        <v>5000000</v>
      </c>
      <c r="D367" s="695"/>
      <c r="E367" s="695"/>
      <c r="F367" s="695"/>
      <c r="G367" s="695"/>
    </row>
    <row r="368" spans="1:7" x14ac:dyDescent="0.2">
      <c r="A368" s="796" t="s">
        <v>426</v>
      </c>
      <c r="B368" s="731" t="s">
        <v>1340</v>
      </c>
      <c r="C368" s="695">
        <v>0</v>
      </c>
      <c r="D368" s="695"/>
      <c r="E368" s="695"/>
      <c r="F368" s="695"/>
      <c r="G368" s="695"/>
    </row>
    <row r="369" spans="1:7" x14ac:dyDescent="0.2">
      <c r="A369" s="796" t="s">
        <v>436</v>
      </c>
      <c r="B369" s="731" t="s">
        <v>1341</v>
      </c>
      <c r="C369" s="695">
        <v>0</v>
      </c>
      <c r="D369" s="695"/>
      <c r="E369" s="695"/>
      <c r="F369" s="695"/>
      <c r="G369" s="695"/>
    </row>
    <row r="370" spans="1:7" x14ac:dyDescent="0.2">
      <c r="A370" s="796" t="s">
        <v>438</v>
      </c>
      <c r="B370" s="731" t="s">
        <v>1342</v>
      </c>
      <c r="C370" s="695">
        <v>10000</v>
      </c>
      <c r="D370" s="695"/>
      <c r="E370" s="695"/>
      <c r="F370" s="695"/>
      <c r="G370" s="695"/>
    </row>
    <row r="371" spans="1:7" x14ac:dyDescent="0.2">
      <c r="A371" s="796" t="s">
        <v>440</v>
      </c>
      <c r="B371" s="809" t="s">
        <v>1343</v>
      </c>
      <c r="C371" s="695">
        <v>10000</v>
      </c>
      <c r="D371" s="695"/>
      <c r="E371" s="695"/>
      <c r="F371" s="695"/>
      <c r="G371" s="695"/>
    </row>
    <row r="372" spans="1:7" x14ac:dyDescent="0.2">
      <c r="A372" s="796" t="s">
        <v>442</v>
      </c>
      <c r="B372" s="731" t="s">
        <v>1344</v>
      </c>
      <c r="C372" s="695">
        <v>0</v>
      </c>
      <c r="D372" s="695"/>
      <c r="E372" s="695"/>
      <c r="F372" s="695"/>
      <c r="G372" s="695"/>
    </row>
    <row r="373" spans="1:7" x14ac:dyDescent="0.2">
      <c r="A373" s="796" t="s">
        <v>1345</v>
      </c>
      <c r="B373" s="731" t="s">
        <v>1346</v>
      </c>
      <c r="C373" s="695">
        <v>2200000</v>
      </c>
      <c r="D373" s="695"/>
      <c r="E373" s="695"/>
      <c r="F373" s="695"/>
      <c r="G373" s="695"/>
    </row>
    <row r="374" spans="1:7" x14ac:dyDescent="0.2">
      <c r="A374" s="796" t="s">
        <v>1239</v>
      </c>
      <c r="B374" s="731" t="s">
        <v>1347</v>
      </c>
      <c r="C374" s="695">
        <v>0</v>
      </c>
      <c r="D374" s="695"/>
      <c r="E374" s="695"/>
      <c r="F374" s="695"/>
      <c r="G374" s="695"/>
    </row>
    <row r="375" spans="1:7" x14ac:dyDescent="0.2">
      <c r="A375" s="796" t="s">
        <v>447</v>
      </c>
      <c r="B375" s="731" t="s">
        <v>448</v>
      </c>
      <c r="C375" s="695">
        <v>550000</v>
      </c>
      <c r="D375" s="695"/>
      <c r="E375" s="695"/>
      <c r="F375" s="695"/>
      <c r="G375" s="695"/>
    </row>
    <row r="376" spans="1:7" x14ac:dyDescent="0.2">
      <c r="A376" s="796" t="s">
        <v>1348</v>
      </c>
      <c r="B376" s="731" t="s">
        <v>457</v>
      </c>
      <c r="C376" s="695">
        <v>0</v>
      </c>
      <c r="D376" s="695"/>
      <c r="E376" s="695"/>
      <c r="F376" s="695"/>
      <c r="G376" s="695"/>
    </row>
    <row r="377" spans="1:7" x14ac:dyDescent="0.2">
      <c r="A377" s="796" t="s">
        <v>1349</v>
      </c>
      <c r="B377" s="731" t="s">
        <v>1350</v>
      </c>
      <c r="C377" s="695">
        <v>150000</v>
      </c>
      <c r="D377" s="695"/>
      <c r="E377" s="695"/>
      <c r="F377" s="695"/>
      <c r="G377" s="695"/>
    </row>
    <row r="378" spans="1:7" x14ac:dyDescent="0.2">
      <c r="A378" s="796" t="s">
        <v>449</v>
      </c>
      <c r="B378" s="731" t="s">
        <v>1351</v>
      </c>
      <c r="C378" s="695">
        <v>0</v>
      </c>
      <c r="D378" s="695"/>
      <c r="E378" s="695"/>
      <c r="F378" s="695"/>
      <c r="G378" s="695"/>
    </row>
    <row r="379" spans="1:7" x14ac:dyDescent="0.2">
      <c r="A379" s="796" t="s">
        <v>451</v>
      </c>
      <c r="B379" s="731" t="s">
        <v>1352</v>
      </c>
      <c r="C379" s="695">
        <v>500000</v>
      </c>
      <c r="D379" s="695"/>
      <c r="E379" s="695"/>
      <c r="F379" s="695"/>
      <c r="G379" s="695"/>
    </row>
    <row r="380" spans="1:7" x14ac:dyDescent="0.2">
      <c r="A380" s="796" t="s">
        <v>453</v>
      </c>
      <c r="B380" s="731" t="s">
        <v>1353</v>
      </c>
      <c r="C380" s="695">
        <v>350000</v>
      </c>
      <c r="D380" s="695"/>
      <c r="E380" s="695"/>
      <c r="F380" s="695"/>
      <c r="G380" s="695"/>
    </row>
    <row r="381" spans="1:7" x14ac:dyDescent="0.2">
      <c r="A381" s="796" t="s">
        <v>1354</v>
      </c>
      <c r="B381" s="731" t="s">
        <v>1355</v>
      </c>
      <c r="C381" s="695">
        <v>500000</v>
      </c>
      <c r="D381" s="695"/>
      <c r="E381" s="695"/>
      <c r="F381" s="695"/>
      <c r="G381" s="695"/>
    </row>
    <row r="382" spans="1:7" x14ac:dyDescent="0.2">
      <c r="A382" s="796" t="s">
        <v>1356</v>
      </c>
      <c r="B382" s="731" t="s">
        <v>1357</v>
      </c>
      <c r="C382" s="695">
        <v>600000</v>
      </c>
      <c r="D382" s="695"/>
      <c r="E382" s="695"/>
      <c r="F382" s="695"/>
      <c r="G382" s="695"/>
    </row>
    <row r="383" spans="1:7" x14ac:dyDescent="0.2">
      <c r="A383" s="796" t="s">
        <v>1358</v>
      </c>
      <c r="B383" s="731" t="s">
        <v>1359</v>
      </c>
      <c r="C383" s="695">
        <v>600000</v>
      </c>
      <c r="D383" s="695"/>
      <c r="E383" s="695"/>
      <c r="F383" s="695"/>
      <c r="G383" s="798"/>
    </row>
    <row r="384" spans="1:7" x14ac:dyDescent="0.2">
      <c r="A384" s="730">
        <v>2219</v>
      </c>
      <c r="B384" s="797" t="s">
        <v>1241</v>
      </c>
      <c r="C384" s="798">
        <f>SUM(C385:C429)</f>
        <v>45348000</v>
      </c>
      <c r="D384" s="798"/>
      <c r="E384" s="798"/>
      <c r="F384" s="798"/>
      <c r="G384" s="695"/>
    </row>
    <row r="385" spans="1:7" x14ac:dyDescent="0.2">
      <c r="A385" s="796" t="s">
        <v>299</v>
      </c>
      <c r="B385" s="731" t="s">
        <v>460</v>
      </c>
      <c r="C385" s="695">
        <v>200000</v>
      </c>
      <c r="D385" s="695"/>
      <c r="E385" s="695"/>
      <c r="F385" s="695"/>
      <c r="G385" s="695"/>
    </row>
    <row r="386" spans="1:7" x14ac:dyDescent="0.2">
      <c r="A386" s="796" t="s">
        <v>301</v>
      </c>
      <c r="B386" s="731" t="s">
        <v>461</v>
      </c>
      <c r="C386" s="695">
        <v>3600000</v>
      </c>
      <c r="D386" s="695"/>
      <c r="E386" s="695"/>
      <c r="F386" s="695"/>
      <c r="G386" s="695"/>
    </row>
    <row r="387" spans="1:7" x14ac:dyDescent="0.2">
      <c r="A387" s="796" t="s">
        <v>464</v>
      </c>
      <c r="B387" s="731" t="s">
        <v>1360</v>
      </c>
      <c r="C387" s="695">
        <v>5350000</v>
      </c>
      <c r="D387" s="695"/>
      <c r="E387" s="695"/>
      <c r="F387" s="695"/>
      <c r="G387" s="695"/>
    </row>
    <row r="388" spans="1:7" x14ac:dyDescent="0.2">
      <c r="A388" s="796" t="s">
        <v>468</v>
      </c>
      <c r="B388" s="731" t="s">
        <v>1361</v>
      </c>
      <c r="C388" s="695">
        <v>1500000</v>
      </c>
      <c r="D388" s="695"/>
      <c r="E388" s="695"/>
      <c r="F388" s="695"/>
      <c r="G388" s="695"/>
    </row>
    <row r="389" spans="1:7" x14ac:dyDescent="0.2">
      <c r="A389" s="796" t="s">
        <v>472</v>
      </c>
      <c r="B389" s="809" t="s">
        <v>1362</v>
      </c>
      <c r="C389" s="695">
        <v>0</v>
      </c>
      <c r="D389" s="695"/>
      <c r="E389" s="695"/>
      <c r="F389" s="695"/>
      <c r="G389" s="695"/>
    </row>
    <row r="390" spans="1:7" x14ac:dyDescent="0.2">
      <c r="A390" s="796" t="s">
        <v>474</v>
      </c>
      <c r="B390" s="809" t="s">
        <v>1363</v>
      </c>
      <c r="C390" s="695">
        <v>0</v>
      </c>
      <c r="D390" s="695"/>
      <c r="E390" s="695"/>
      <c r="F390" s="695"/>
      <c r="G390" s="695"/>
    </row>
    <row r="391" spans="1:7" x14ac:dyDescent="0.2">
      <c r="A391" s="796" t="s">
        <v>478</v>
      </c>
      <c r="B391" s="809" t="s">
        <v>1364</v>
      </c>
      <c r="C391" s="695">
        <v>0</v>
      </c>
      <c r="D391" s="695"/>
      <c r="E391" s="695"/>
      <c r="F391" s="695"/>
      <c r="G391" s="695"/>
    </row>
    <row r="392" spans="1:7" x14ac:dyDescent="0.2">
      <c r="A392" s="796" t="s">
        <v>470</v>
      </c>
      <c r="B392" s="809" t="s">
        <v>1365</v>
      </c>
      <c r="C392" s="695">
        <v>100000</v>
      </c>
      <c r="D392" s="695"/>
      <c r="E392" s="695"/>
      <c r="F392" s="695"/>
      <c r="G392" s="695"/>
    </row>
    <row r="393" spans="1:7" x14ac:dyDescent="0.2">
      <c r="A393" s="796" t="s">
        <v>486</v>
      </c>
      <c r="B393" s="731" t="s">
        <v>1366</v>
      </c>
      <c r="C393" s="695">
        <v>500000</v>
      </c>
      <c r="D393" s="695"/>
      <c r="E393" s="695"/>
      <c r="F393" s="695"/>
      <c r="G393" s="695"/>
    </row>
    <row r="394" spans="1:7" x14ac:dyDescent="0.2">
      <c r="A394" s="796" t="s">
        <v>488</v>
      </c>
      <c r="B394" s="809" t="s">
        <v>1367</v>
      </c>
      <c r="C394" s="695">
        <v>0</v>
      </c>
      <c r="D394" s="695"/>
      <c r="E394" s="695"/>
      <c r="F394" s="695"/>
      <c r="G394" s="695"/>
    </row>
    <row r="395" spans="1:7" x14ac:dyDescent="0.2">
      <c r="A395" s="796" t="s">
        <v>492</v>
      </c>
      <c r="B395" s="809" t="s">
        <v>1368</v>
      </c>
      <c r="C395" s="695">
        <v>37000</v>
      </c>
      <c r="D395" s="695"/>
      <c r="E395" s="695"/>
      <c r="F395" s="695"/>
      <c r="G395" s="695"/>
    </row>
    <row r="396" spans="1:7" x14ac:dyDescent="0.2">
      <c r="A396" s="796" t="s">
        <v>1369</v>
      </c>
      <c r="B396" s="809" t="s">
        <v>1370</v>
      </c>
      <c r="C396" s="695">
        <v>37000</v>
      </c>
      <c r="D396" s="695"/>
      <c r="E396" s="695"/>
      <c r="F396" s="695"/>
      <c r="G396" s="695"/>
    </row>
    <row r="397" spans="1:7" x14ac:dyDescent="0.2">
      <c r="A397" s="796" t="s">
        <v>496</v>
      </c>
      <c r="B397" s="809" t="s">
        <v>1371</v>
      </c>
      <c r="C397" s="695">
        <v>0</v>
      </c>
      <c r="D397" s="695"/>
      <c r="E397" s="695"/>
      <c r="F397" s="695"/>
      <c r="G397" s="695"/>
    </row>
    <row r="398" spans="1:7" x14ac:dyDescent="0.2">
      <c r="A398" s="796" t="s">
        <v>1372</v>
      </c>
      <c r="B398" s="809" t="s">
        <v>1373</v>
      </c>
      <c r="C398" s="695">
        <v>0</v>
      </c>
      <c r="D398" s="695"/>
      <c r="E398" s="695"/>
      <c r="F398" s="695"/>
      <c r="G398" s="695"/>
    </row>
    <row r="399" spans="1:7" x14ac:dyDescent="0.2">
      <c r="A399" s="796" t="s">
        <v>1374</v>
      </c>
      <c r="B399" s="809" t="s">
        <v>1375</v>
      </c>
      <c r="C399" s="695">
        <v>200000</v>
      </c>
      <c r="D399" s="695"/>
      <c r="E399" s="695"/>
      <c r="F399" s="695"/>
      <c r="G399" s="695"/>
    </row>
    <row r="400" spans="1:7" x14ac:dyDescent="0.2">
      <c r="A400" s="796" t="s">
        <v>1376</v>
      </c>
      <c r="B400" s="809" t="s">
        <v>1377</v>
      </c>
      <c r="C400" s="695">
        <v>3330000</v>
      </c>
      <c r="D400" s="695"/>
      <c r="E400" s="695"/>
      <c r="F400" s="695"/>
      <c r="G400" s="695"/>
    </row>
    <row r="401" spans="1:7" x14ac:dyDescent="0.2">
      <c r="A401" s="796" t="s">
        <v>1378</v>
      </c>
      <c r="B401" s="809" t="s">
        <v>1379</v>
      </c>
      <c r="C401" s="695">
        <v>1630000</v>
      </c>
      <c r="D401" s="695"/>
      <c r="E401" s="695"/>
      <c r="F401" s="695"/>
      <c r="G401" s="695"/>
    </row>
    <row r="402" spans="1:7" x14ac:dyDescent="0.2">
      <c r="A402" s="796" t="s">
        <v>1249</v>
      </c>
      <c r="B402" s="809" t="s">
        <v>1380</v>
      </c>
      <c r="C402" s="695">
        <v>0</v>
      </c>
      <c r="D402" s="695"/>
      <c r="E402" s="695"/>
      <c r="F402" s="695"/>
      <c r="G402" s="695"/>
    </row>
    <row r="403" spans="1:7" x14ac:dyDescent="0.2">
      <c r="A403" s="796" t="s">
        <v>1381</v>
      </c>
      <c r="B403" s="809" t="s">
        <v>1382</v>
      </c>
      <c r="C403" s="695">
        <v>2400000</v>
      </c>
      <c r="D403" s="695"/>
      <c r="E403" s="695"/>
      <c r="F403" s="695"/>
      <c r="G403" s="695"/>
    </row>
    <row r="404" spans="1:7" x14ac:dyDescent="0.2">
      <c r="A404" s="796" t="s">
        <v>1383</v>
      </c>
      <c r="B404" s="809" t="s">
        <v>1384</v>
      </c>
      <c r="C404" s="695">
        <v>3150000</v>
      </c>
      <c r="D404" s="695"/>
      <c r="E404" s="695"/>
      <c r="F404" s="695"/>
      <c r="G404" s="695"/>
    </row>
    <row r="405" spans="1:7" x14ac:dyDescent="0.2">
      <c r="A405" s="796" t="s">
        <v>1385</v>
      </c>
      <c r="B405" s="809" t="s">
        <v>1386</v>
      </c>
      <c r="C405" s="695">
        <v>37000</v>
      </c>
      <c r="D405" s="695"/>
      <c r="E405" s="695"/>
      <c r="F405" s="695"/>
      <c r="G405" s="695"/>
    </row>
    <row r="406" spans="1:7" x14ac:dyDescent="0.2">
      <c r="A406" s="796" t="s">
        <v>1387</v>
      </c>
      <c r="B406" s="809" t="s">
        <v>1388</v>
      </c>
      <c r="C406" s="695">
        <v>37000</v>
      </c>
      <c r="D406" s="695"/>
      <c r="E406" s="695"/>
      <c r="F406" s="695"/>
      <c r="G406" s="695"/>
    </row>
    <row r="407" spans="1:7" x14ac:dyDescent="0.2">
      <c r="A407" s="796" t="s">
        <v>1389</v>
      </c>
      <c r="B407" s="809" t="s">
        <v>1390</v>
      </c>
      <c r="C407" s="695">
        <v>40000</v>
      </c>
      <c r="D407" s="695"/>
      <c r="E407" s="695"/>
      <c r="F407" s="695"/>
      <c r="G407" s="695"/>
    </row>
    <row r="408" spans="1:7" x14ac:dyDescent="0.2">
      <c r="A408" s="796" t="s">
        <v>1391</v>
      </c>
      <c r="B408" s="809" t="s">
        <v>1392</v>
      </c>
      <c r="C408" s="695">
        <v>190000</v>
      </c>
      <c r="D408" s="695"/>
      <c r="E408" s="695"/>
      <c r="F408" s="695"/>
      <c r="G408" s="695"/>
    </row>
    <row r="409" spans="1:7" x14ac:dyDescent="0.2">
      <c r="A409" s="796" t="s">
        <v>1251</v>
      </c>
      <c r="B409" s="809" t="s">
        <v>1393</v>
      </c>
      <c r="C409" s="695">
        <v>0</v>
      </c>
      <c r="D409" s="695"/>
      <c r="E409" s="695"/>
      <c r="F409" s="695"/>
      <c r="G409" s="695"/>
    </row>
    <row r="410" spans="1:7" x14ac:dyDescent="0.2">
      <c r="A410" s="796" t="s">
        <v>1394</v>
      </c>
      <c r="B410" s="809" t="s">
        <v>1395</v>
      </c>
      <c r="C410" s="695">
        <v>550000</v>
      </c>
      <c r="D410" s="695"/>
      <c r="E410" s="695"/>
      <c r="F410" s="695"/>
      <c r="G410" s="695"/>
    </row>
    <row r="411" spans="1:7" x14ac:dyDescent="0.2">
      <c r="A411" s="796" t="s">
        <v>1396</v>
      </c>
      <c r="B411" s="809" t="s">
        <v>1397</v>
      </c>
      <c r="C411" s="695">
        <v>800000</v>
      </c>
      <c r="D411" s="695"/>
      <c r="E411" s="695"/>
      <c r="F411" s="695"/>
      <c r="G411" s="695"/>
    </row>
    <row r="412" spans="1:7" x14ac:dyDescent="0.2">
      <c r="A412" s="796" t="s">
        <v>1398</v>
      </c>
      <c r="B412" s="809" t="s">
        <v>1399</v>
      </c>
      <c r="C412" s="695">
        <v>600000</v>
      </c>
      <c r="D412" s="695"/>
      <c r="E412" s="695"/>
      <c r="F412" s="695"/>
      <c r="G412" s="695"/>
    </row>
    <row r="413" spans="1:7" x14ac:dyDescent="0.2">
      <c r="A413" s="796" t="s">
        <v>1400</v>
      </c>
      <c r="B413" s="809" t="s">
        <v>1401</v>
      </c>
      <c r="C413" s="695">
        <v>350000</v>
      </c>
      <c r="D413" s="695"/>
      <c r="E413" s="695"/>
      <c r="F413" s="695"/>
      <c r="G413" s="695"/>
    </row>
    <row r="414" spans="1:7" x14ac:dyDescent="0.2">
      <c r="A414" s="796" t="s">
        <v>1402</v>
      </c>
      <c r="B414" s="809" t="s">
        <v>1403</v>
      </c>
      <c r="C414" s="695">
        <v>3400000</v>
      </c>
      <c r="D414" s="695"/>
      <c r="E414" s="695"/>
      <c r="F414" s="695"/>
      <c r="G414" s="695"/>
    </row>
    <row r="415" spans="1:7" x14ac:dyDescent="0.2">
      <c r="A415" s="796" t="s">
        <v>1404</v>
      </c>
      <c r="B415" s="809" t="s">
        <v>1405</v>
      </c>
      <c r="C415" s="695">
        <v>2200000</v>
      </c>
      <c r="D415" s="695"/>
      <c r="E415" s="695"/>
      <c r="F415" s="695"/>
      <c r="G415" s="695"/>
    </row>
    <row r="416" spans="1:7" x14ac:dyDescent="0.2">
      <c r="A416" s="796" t="s">
        <v>1406</v>
      </c>
      <c r="B416" s="809" t="s">
        <v>1407</v>
      </c>
      <c r="C416" s="695">
        <v>1700000</v>
      </c>
      <c r="D416" s="695"/>
      <c r="E416" s="695"/>
      <c r="F416" s="695"/>
      <c r="G416" s="695"/>
    </row>
    <row r="417" spans="1:7" x14ac:dyDescent="0.2">
      <c r="A417" s="796" t="s">
        <v>1408</v>
      </c>
      <c r="B417" s="809" t="s">
        <v>1409</v>
      </c>
      <c r="C417" s="695">
        <v>1300000</v>
      </c>
      <c r="D417" s="695"/>
      <c r="E417" s="695"/>
      <c r="F417" s="695"/>
      <c r="G417" s="695"/>
    </row>
    <row r="418" spans="1:7" x14ac:dyDescent="0.2">
      <c r="A418" s="796" t="s">
        <v>1410</v>
      </c>
      <c r="B418" s="809" t="s">
        <v>1411</v>
      </c>
      <c r="C418" s="695">
        <v>630000</v>
      </c>
      <c r="D418" s="695"/>
      <c r="E418" s="695"/>
      <c r="F418" s="695"/>
      <c r="G418" s="695"/>
    </row>
    <row r="419" spans="1:7" x14ac:dyDescent="0.2">
      <c r="A419" s="796" t="s">
        <v>1412</v>
      </c>
      <c r="B419" s="809" t="s">
        <v>1413</v>
      </c>
      <c r="C419" s="695">
        <v>800000</v>
      </c>
      <c r="D419" s="695"/>
      <c r="E419" s="695"/>
      <c r="F419" s="695"/>
      <c r="G419" s="695"/>
    </row>
    <row r="420" spans="1:7" x14ac:dyDescent="0.2">
      <c r="A420" s="796" t="s">
        <v>1414</v>
      </c>
      <c r="B420" s="809" t="s">
        <v>1415</v>
      </c>
      <c r="C420" s="695">
        <v>350000</v>
      </c>
      <c r="D420" s="695"/>
      <c r="E420" s="695"/>
      <c r="F420" s="695"/>
      <c r="G420" s="695"/>
    </row>
    <row r="421" spans="1:7" x14ac:dyDescent="0.2">
      <c r="A421" s="796" t="s">
        <v>1416</v>
      </c>
      <c r="B421" s="809" t="s">
        <v>1417</v>
      </c>
      <c r="C421" s="695">
        <v>0</v>
      </c>
      <c r="D421" s="695"/>
      <c r="E421" s="695"/>
      <c r="F421" s="695"/>
      <c r="G421" s="695"/>
    </row>
    <row r="422" spans="1:7" x14ac:dyDescent="0.2">
      <c r="A422" s="796" t="s">
        <v>1418</v>
      </c>
      <c r="B422" s="809" t="s">
        <v>1419</v>
      </c>
      <c r="C422" s="695">
        <v>302100</v>
      </c>
      <c r="D422" s="695"/>
      <c r="E422" s="695"/>
      <c r="F422" s="695"/>
      <c r="G422" s="695"/>
    </row>
    <row r="423" spans="1:7" x14ac:dyDescent="0.2">
      <c r="A423" s="796" t="s">
        <v>1420</v>
      </c>
      <c r="B423" s="809" t="s">
        <v>1421</v>
      </c>
      <c r="C423" s="695">
        <v>287900</v>
      </c>
      <c r="D423" s="695"/>
      <c r="E423" s="695"/>
      <c r="F423" s="695"/>
      <c r="G423" s="695"/>
    </row>
    <row r="424" spans="1:7" x14ac:dyDescent="0.2">
      <c r="A424" s="796" t="s">
        <v>1422</v>
      </c>
      <c r="B424" s="809" t="s">
        <v>1423</v>
      </c>
      <c r="C424" s="695">
        <v>9650000</v>
      </c>
      <c r="D424" s="695"/>
      <c r="E424" s="695"/>
      <c r="F424" s="695"/>
      <c r="G424" s="695"/>
    </row>
    <row r="425" spans="1:7" x14ac:dyDescent="0.2">
      <c r="A425" s="796" t="s">
        <v>1424</v>
      </c>
      <c r="B425" s="809" t="s">
        <v>1425</v>
      </c>
      <c r="C425" s="695">
        <v>0</v>
      </c>
      <c r="D425" s="695"/>
      <c r="E425" s="695"/>
      <c r="F425" s="695"/>
      <c r="G425" s="695"/>
    </row>
    <row r="426" spans="1:7" x14ac:dyDescent="0.2">
      <c r="A426" s="796" t="s">
        <v>1426</v>
      </c>
      <c r="B426" s="809" t="s">
        <v>1427</v>
      </c>
      <c r="C426" s="695">
        <v>30000</v>
      </c>
      <c r="D426" s="695"/>
      <c r="E426" s="695"/>
      <c r="F426" s="695"/>
      <c r="G426" s="695"/>
    </row>
    <row r="427" spans="1:7" x14ac:dyDescent="0.2">
      <c r="A427" s="796" t="s">
        <v>1428</v>
      </c>
      <c r="B427" s="809" t="s">
        <v>1429</v>
      </c>
      <c r="C427" s="695">
        <v>50000</v>
      </c>
      <c r="D427" s="695"/>
      <c r="E427" s="695"/>
      <c r="F427" s="695"/>
      <c r="G427" s="695"/>
    </row>
    <row r="428" spans="1:7" x14ac:dyDescent="0.2">
      <c r="A428" s="796" t="s">
        <v>498</v>
      </c>
      <c r="B428" s="731" t="s">
        <v>1430</v>
      </c>
      <c r="C428" s="695">
        <v>0</v>
      </c>
      <c r="D428" s="695"/>
      <c r="E428" s="695"/>
      <c r="F428" s="695"/>
      <c r="G428" s="695"/>
    </row>
    <row r="429" spans="1:7" x14ac:dyDescent="0.2">
      <c r="A429" s="796" t="s">
        <v>500</v>
      </c>
      <c r="B429" s="809" t="s">
        <v>501</v>
      </c>
      <c r="C429" s="695">
        <v>10000</v>
      </c>
      <c r="D429" s="695"/>
      <c r="E429" s="695"/>
      <c r="F429" s="695"/>
      <c r="G429" s="798"/>
    </row>
    <row r="430" spans="1:7" x14ac:dyDescent="0.2">
      <c r="A430" s="730">
        <v>2221</v>
      </c>
      <c r="B430" s="797" t="s">
        <v>1258</v>
      </c>
      <c r="C430" s="798">
        <f>SUM(C431:C434)</f>
        <v>1755000</v>
      </c>
      <c r="D430" s="798"/>
      <c r="E430" s="798"/>
      <c r="F430" s="798"/>
      <c r="G430" s="695"/>
    </row>
    <row r="431" spans="1:7" x14ac:dyDescent="0.2">
      <c r="A431" s="796" t="s">
        <v>515</v>
      </c>
      <c r="B431" s="809" t="s">
        <v>1431</v>
      </c>
      <c r="C431" s="695">
        <v>0</v>
      </c>
      <c r="D431" s="695"/>
      <c r="E431" s="695"/>
      <c r="F431" s="695"/>
      <c r="G431" s="695"/>
    </row>
    <row r="432" spans="1:7" x14ac:dyDescent="0.2">
      <c r="A432" s="796" t="s">
        <v>517</v>
      </c>
      <c r="B432" s="809" t="s">
        <v>518</v>
      </c>
      <c r="C432" s="695">
        <v>1400000</v>
      </c>
      <c r="D432" s="695"/>
      <c r="E432" s="695"/>
      <c r="F432" s="695"/>
      <c r="G432" s="695"/>
    </row>
    <row r="433" spans="1:7" x14ac:dyDescent="0.2">
      <c r="A433" s="796" t="s">
        <v>1432</v>
      </c>
      <c r="B433" s="809" t="s">
        <v>1433</v>
      </c>
      <c r="C433" s="695">
        <v>355000</v>
      </c>
      <c r="D433" s="695"/>
      <c r="E433" s="695"/>
      <c r="F433" s="695"/>
      <c r="G433" s="695"/>
    </row>
    <row r="434" spans="1:7" ht="15.75" x14ac:dyDescent="0.25">
      <c r="A434" s="810" t="s">
        <v>1434</v>
      </c>
      <c r="B434" s="811" t="s">
        <v>1435</v>
      </c>
      <c r="C434" s="728">
        <v>0</v>
      </c>
      <c r="D434" s="728"/>
      <c r="E434" s="728"/>
      <c r="F434" s="728"/>
      <c r="G434" s="812"/>
    </row>
    <row r="435" spans="1:7" ht="15.75" x14ac:dyDescent="0.25">
      <c r="A435" s="621"/>
      <c r="B435" s="813" t="s">
        <v>1436</v>
      </c>
      <c r="C435" s="777">
        <f>SUM(C436)</f>
        <v>30785000</v>
      </c>
      <c r="D435" s="777"/>
      <c r="E435" s="777"/>
      <c r="F435" s="777"/>
      <c r="G435" s="655"/>
    </row>
    <row r="436" spans="1:7" x14ac:dyDescent="0.2">
      <c r="A436" s="814">
        <v>3111</v>
      </c>
      <c r="B436" s="815" t="s">
        <v>1437</v>
      </c>
      <c r="C436" s="768">
        <f>SUM(C437:C445)</f>
        <v>30785000</v>
      </c>
      <c r="D436" s="768"/>
      <c r="E436" s="768"/>
      <c r="F436" s="768"/>
      <c r="G436" s="816"/>
    </row>
    <row r="437" spans="1:7" x14ac:dyDescent="0.2">
      <c r="A437" s="796" t="s">
        <v>1438</v>
      </c>
      <c r="B437" s="731" t="s">
        <v>1439</v>
      </c>
      <c r="C437" s="695">
        <v>0</v>
      </c>
      <c r="D437" s="695"/>
      <c r="E437" s="695"/>
      <c r="F437" s="695"/>
      <c r="G437" s="695"/>
    </row>
    <row r="438" spans="1:7" x14ac:dyDescent="0.2">
      <c r="A438" s="796" t="s">
        <v>1440</v>
      </c>
      <c r="B438" s="731" t="s">
        <v>1441</v>
      </c>
      <c r="C438" s="695">
        <v>4635000</v>
      </c>
      <c r="D438" s="695"/>
      <c r="E438" s="695"/>
      <c r="F438" s="695"/>
      <c r="G438" s="695"/>
    </row>
    <row r="439" spans="1:7" x14ac:dyDescent="0.2">
      <c r="A439" s="796" t="s">
        <v>1442</v>
      </c>
      <c r="B439" s="731" t="s">
        <v>1443</v>
      </c>
      <c r="C439" s="695">
        <v>5000000</v>
      </c>
      <c r="D439" s="695"/>
      <c r="E439" s="695"/>
      <c r="F439" s="695"/>
      <c r="G439" s="695"/>
    </row>
    <row r="440" spans="1:7" x14ac:dyDescent="0.2">
      <c r="A440" s="796" t="s">
        <v>1444</v>
      </c>
      <c r="B440" s="809" t="s">
        <v>1445</v>
      </c>
      <c r="C440" s="695">
        <v>800000</v>
      </c>
      <c r="D440" s="695"/>
      <c r="E440" s="695"/>
      <c r="F440" s="695"/>
      <c r="G440" s="695"/>
    </row>
    <row r="441" spans="1:7" x14ac:dyDescent="0.2">
      <c r="A441" s="796" t="s">
        <v>1446</v>
      </c>
      <c r="B441" s="731" t="s">
        <v>1447</v>
      </c>
      <c r="C441" s="695">
        <v>500000</v>
      </c>
      <c r="D441" s="695"/>
      <c r="E441" s="695"/>
      <c r="F441" s="695"/>
      <c r="G441" s="695"/>
    </row>
    <row r="442" spans="1:7" x14ac:dyDescent="0.2">
      <c r="A442" s="796" t="s">
        <v>1448</v>
      </c>
      <c r="B442" s="731" t="s">
        <v>1449</v>
      </c>
      <c r="C442" s="695">
        <v>2150000</v>
      </c>
      <c r="D442" s="695"/>
      <c r="E442" s="695"/>
      <c r="F442" s="695"/>
      <c r="G442" s="695"/>
    </row>
    <row r="443" spans="1:7" x14ac:dyDescent="0.2">
      <c r="A443" s="796" t="s">
        <v>1450</v>
      </c>
      <c r="B443" s="731" t="s">
        <v>1451</v>
      </c>
      <c r="C443" s="695">
        <v>1500000</v>
      </c>
      <c r="D443" s="695"/>
      <c r="E443" s="695"/>
      <c r="F443" s="695"/>
      <c r="G443" s="695"/>
    </row>
    <row r="444" spans="1:7" x14ac:dyDescent="0.2">
      <c r="A444" s="796" t="s">
        <v>1452</v>
      </c>
      <c r="B444" s="731" t="s">
        <v>1453</v>
      </c>
      <c r="C444" s="695">
        <v>1700000</v>
      </c>
      <c r="D444" s="695"/>
      <c r="E444" s="695"/>
      <c r="F444" s="695"/>
      <c r="G444" s="695"/>
    </row>
    <row r="445" spans="1:7" x14ac:dyDescent="0.2">
      <c r="A445" s="817" t="s">
        <v>1454</v>
      </c>
      <c r="B445" s="800" t="s">
        <v>1455</v>
      </c>
      <c r="C445" s="818">
        <v>14500000</v>
      </c>
      <c r="D445" s="818"/>
      <c r="E445" s="818"/>
      <c r="F445" s="818"/>
      <c r="G445" s="728"/>
    </row>
    <row r="446" spans="1:7" ht="15.75" x14ac:dyDescent="0.25">
      <c r="A446" s="819"/>
      <c r="B446" s="813" t="s">
        <v>523</v>
      </c>
      <c r="C446" s="792">
        <f>SUM(C447+C449)</f>
        <v>8007000</v>
      </c>
      <c r="D446" s="792"/>
      <c r="E446" s="792"/>
      <c r="F446" s="792"/>
      <c r="G446" s="804"/>
    </row>
    <row r="447" spans="1:7" x14ac:dyDescent="0.2">
      <c r="A447" s="814">
        <v>3613</v>
      </c>
      <c r="B447" s="815" t="s">
        <v>1456</v>
      </c>
      <c r="C447" s="795">
        <f>C448</f>
        <v>1850000</v>
      </c>
      <c r="D447" s="795"/>
      <c r="E447" s="795"/>
      <c r="F447" s="795"/>
      <c r="G447" s="816"/>
    </row>
    <row r="448" spans="1:7" ht="25.5" x14ac:dyDescent="0.2">
      <c r="A448" s="796" t="s">
        <v>525</v>
      </c>
      <c r="B448" s="820" t="s">
        <v>1457</v>
      </c>
      <c r="C448" s="695">
        <v>1850000</v>
      </c>
      <c r="D448" s="695"/>
      <c r="E448" s="695"/>
      <c r="F448" s="695"/>
      <c r="G448" s="798"/>
    </row>
    <row r="449" spans="1:7" x14ac:dyDescent="0.2">
      <c r="A449" s="730">
        <v>3639</v>
      </c>
      <c r="B449" s="797" t="s">
        <v>1458</v>
      </c>
      <c r="C449" s="798">
        <f>SUM(C450:C454)</f>
        <v>6157000</v>
      </c>
      <c r="D449" s="798"/>
      <c r="E449" s="798"/>
      <c r="F449" s="798"/>
      <c r="G449" s="695"/>
    </row>
    <row r="450" spans="1:7" x14ac:dyDescent="0.2">
      <c r="A450" s="796" t="s">
        <v>528</v>
      </c>
      <c r="B450" s="809" t="s">
        <v>1459</v>
      </c>
      <c r="C450" s="695">
        <v>280000</v>
      </c>
      <c r="D450" s="695"/>
      <c r="E450" s="695"/>
      <c r="F450" s="695"/>
      <c r="G450" s="695"/>
    </row>
    <row r="451" spans="1:7" x14ac:dyDescent="0.2">
      <c r="A451" s="796" t="s">
        <v>530</v>
      </c>
      <c r="B451" s="809" t="s">
        <v>1460</v>
      </c>
      <c r="C451" s="695">
        <v>270000</v>
      </c>
      <c r="D451" s="695"/>
      <c r="E451" s="695"/>
      <c r="F451" s="695"/>
      <c r="G451" s="695"/>
    </row>
    <row r="452" spans="1:7" x14ac:dyDescent="0.2">
      <c r="A452" s="796" t="s">
        <v>534</v>
      </c>
      <c r="B452" s="809" t="s">
        <v>1461</v>
      </c>
      <c r="C452" s="695">
        <v>470000</v>
      </c>
      <c r="D452" s="695"/>
      <c r="E452" s="695"/>
      <c r="F452" s="695"/>
      <c r="G452" s="695"/>
    </row>
    <row r="453" spans="1:7" ht="38.25" x14ac:dyDescent="0.2">
      <c r="A453" s="796" t="s">
        <v>536</v>
      </c>
      <c r="B453" s="820" t="s">
        <v>1462</v>
      </c>
      <c r="C453" s="695">
        <v>5112000</v>
      </c>
      <c r="D453" s="695"/>
      <c r="E453" s="695"/>
      <c r="F453" s="695"/>
      <c r="G453" s="695"/>
    </row>
    <row r="454" spans="1:7" ht="19.5" customHeight="1" x14ac:dyDescent="0.2">
      <c r="A454" s="810" t="s">
        <v>538</v>
      </c>
      <c r="B454" s="821" t="s">
        <v>539</v>
      </c>
      <c r="C454" s="728">
        <v>25000</v>
      </c>
      <c r="D454" s="728"/>
      <c r="E454" s="728"/>
      <c r="F454" s="728"/>
      <c r="G454" s="728"/>
    </row>
    <row r="455" spans="1:7" ht="15.75" x14ac:dyDescent="0.2">
      <c r="A455" s="822"/>
      <c r="B455" s="823" t="s">
        <v>1463</v>
      </c>
      <c r="C455" s="792">
        <f>SUM(C456,C458)</f>
        <v>10003000</v>
      </c>
      <c r="D455" s="792"/>
      <c r="E455" s="792"/>
      <c r="F455" s="792"/>
      <c r="G455" s="824"/>
    </row>
    <row r="456" spans="1:7" x14ac:dyDescent="0.2">
      <c r="A456" s="805">
        <v>3311</v>
      </c>
      <c r="B456" s="806" t="s">
        <v>1464</v>
      </c>
      <c r="C456" s="807">
        <f>SUM(C457:C457)</f>
        <v>7023000</v>
      </c>
      <c r="D456" s="807"/>
      <c r="E456" s="807"/>
      <c r="F456" s="807"/>
      <c r="G456" s="808"/>
    </row>
    <row r="457" spans="1:7" x14ac:dyDescent="0.2">
      <c r="A457" s="796" t="s">
        <v>1465</v>
      </c>
      <c r="B457" s="731" t="s">
        <v>1466</v>
      </c>
      <c r="C457" s="695">
        <v>7023000</v>
      </c>
      <c r="D457" s="695"/>
      <c r="E457" s="695"/>
      <c r="F457" s="695"/>
      <c r="G457" s="695"/>
    </row>
    <row r="458" spans="1:7" x14ac:dyDescent="0.2">
      <c r="A458" s="730">
        <v>3392</v>
      </c>
      <c r="B458" s="797" t="s">
        <v>1467</v>
      </c>
      <c r="C458" s="798">
        <f>SUM(C459:C461)</f>
        <v>2980000</v>
      </c>
      <c r="D458" s="798"/>
      <c r="E458" s="798"/>
      <c r="F458" s="798"/>
      <c r="G458" s="695"/>
    </row>
    <row r="459" spans="1:7" x14ac:dyDescent="0.2">
      <c r="A459" s="796" t="s">
        <v>1468</v>
      </c>
      <c r="B459" s="731" t="s">
        <v>1469</v>
      </c>
      <c r="C459" s="695">
        <v>2500000</v>
      </c>
      <c r="D459" s="695"/>
      <c r="E459" s="695"/>
      <c r="F459" s="695"/>
      <c r="G459" s="695"/>
    </row>
    <row r="460" spans="1:7" x14ac:dyDescent="0.2">
      <c r="A460" s="796" t="s">
        <v>1470</v>
      </c>
      <c r="B460" s="731" t="s">
        <v>1471</v>
      </c>
      <c r="C460" s="695">
        <v>180000</v>
      </c>
      <c r="D460" s="695"/>
      <c r="E460" s="695"/>
      <c r="F460" s="695"/>
      <c r="G460" s="695"/>
    </row>
    <row r="461" spans="1:7" x14ac:dyDescent="0.2">
      <c r="A461" s="799" t="s">
        <v>1472</v>
      </c>
      <c r="B461" s="800" t="s">
        <v>1473</v>
      </c>
      <c r="C461" s="728">
        <v>300000</v>
      </c>
      <c r="D461" s="728"/>
      <c r="E461" s="728"/>
      <c r="F461" s="728"/>
      <c r="G461" s="728"/>
    </row>
    <row r="462" spans="1:7" ht="15.75" x14ac:dyDescent="0.2">
      <c r="A462" s="822"/>
      <c r="B462" s="823" t="s">
        <v>1474</v>
      </c>
      <c r="C462" s="792">
        <f>SUM(C463)</f>
        <v>8566000</v>
      </c>
      <c r="D462" s="792"/>
      <c r="E462" s="792"/>
      <c r="F462" s="792"/>
      <c r="G462" s="825"/>
    </row>
    <row r="463" spans="1:7" x14ac:dyDescent="0.2">
      <c r="A463" s="805">
        <v>6171</v>
      </c>
      <c r="B463" s="806" t="s">
        <v>1475</v>
      </c>
      <c r="C463" s="807">
        <f>SUM(C464:C468)</f>
        <v>8566000</v>
      </c>
      <c r="D463" s="807"/>
      <c r="E463" s="807"/>
      <c r="F463" s="807"/>
      <c r="G463" s="808"/>
    </row>
    <row r="464" spans="1:7" x14ac:dyDescent="0.2">
      <c r="A464" s="796" t="s">
        <v>1476</v>
      </c>
      <c r="B464" s="731" t="s">
        <v>1477</v>
      </c>
      <c r="C464" s="695">
        <v>2000000</v>
      </c>
      <c r="D464" s="695"/>
      <c r="E464" s="695"/>
      <c r="F464" s="695"/>
      <c r="G464" s="695"/>
    </row>
    <row r="465" spans="1:34" x14ac:dyDescent="0.2">
      <c r="A465" s="796" t="s">
        <v>1478</v>
      </c>
      <c r="B465" s="731" t="s">
        <v>1479</v>
      </c>
      <c r="C465" s="695">
        <v>2420000</v>
      </c>
      <c r="D465" s="695"/>
      <c r="E465" s="695"/>
      <c r="F465" s="695"/>
      <c r="G465" s="695"/>
    </row>
    <row r="466" spans="1:34" x14ac:dyDescent="0.2">
      <c r="A466" s="796" t="s">
        <v>1480</v>
      </c>
      <c r="B466" s="731" t="s">
        <v>1481</v>
      </c>
      <c r="C466" s="695">
        <v>3146000</v>
      </c>
      <c r="D466" s="695"/>
      <c r="E466" s="695"/>
      <c r="F466" s="695"/>
      <c r="G466" s="695"/>
    </row>
    <row r="467" spans="1:34" x14ac:dyDescent="0.2">
      <c r="A467" s="796" t="s">
        <v>1482</v>
      </c>
      <c r="B467" s="731" t="s">
        <v>1483</v>
      </c>
      <c r="C467" s="695">
        <v>500000</v>
      </c>
      <c r="D467" s="695"/>
      <c r="E467" s="695"/>
      <c r="F467" s="695"/>
      <c r="G467" s="695"/>
    </row>
    <row r="468" spans="1:34" x14ac:dyDescent="0.2">
      <c r="A468" s="826" t="s">
        <v>1484</v>
      </c>
      <c r="B468" s="827" t="s">
        <v>1485</v>
      </c>
      <c r="C468" s="828">
        <v>500000</v>
      </c>
      <c r="D468" s="828"/>
      <c r="E468" s="828"/>
      <c r="F468" s="828"/>
      <c r="G468" s="828"/>
    </row>
    <row r="469" spans="1:34" s="829" customFormat="1" ht="15.75" x14ac:dyDescent="0.2">
      <c r="A469" s="822"/>
      <c r="B469" s="830" t="s">
        <v>1486</v>
      </c>
      <c r="C469" s="792">
        <f>SUM(C470)</f>
        <v>2150000</v>
      </c>
      <c r="D469" s="792"/>
      <c r="E469" s="792"/>
      <c r="F469" s="792"/>
      <c r="G469" s="825"/>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row>
    <row r="470" spans="1:34" s="831" customFormat="1" x14ac:dyDescent="0.2">
      <c r="A470" s="805">
        <v>3745</v>
      </c>
      <c r="B470" s="805" t="s">
        <v>1487</v>
      </c>
      <c r="C470" s="807">
        <f>SUM(C471:C472)</f>
        <v>2150000</v>
      </c>
      <c r="D470" s="807"/>
      <c r="E470" s="807"/>
      <c r="F470" s="807"/>
      <c r="G470" s="808"/>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row>
    <row r="471" spans="1:34" s="829" customFormat="1" x14ac:dyDescent="0.2">
      <c r="A471" s="796" t="s">
        <v>1488</v>
      </c>
      <c r="B471" s="832" t="s">
        <v>1489</v>
      </c>
      <c r="C471" s="695">
        <v>300000</v>
      </c>
      <c r="D471" s="695"/>
      <c r="E471" s="695"/>
      <c r="F471" s="695"/>
      <c r="G471" s="695"/>
      <c r="H471" s="1"/>
      <c r="I471" s="1"/>
      <c r="J471" s="1"/>
      <c r="K471" s="1"/>
      <c r="L471" s="1"/>
      <c r="M471" s="1"/>
      <c r="N471" s="1"/>
      <c r="O471" s="1"/>
      <c r="P471" s="1"/>
      <c r="Q471" s="1"/>
      <c r="R471" s="1"/>
      <c r="S471" s="1"/>
      <c r="T471" s="1"/>
      <c r="U471" s="1"/>
      <c r="V471" s="1"/>
      <c r="W471" s="1"/>
      <c r="X471" s="1"/>
      <c r="Y471" s="1"/>
    </row>
    <row r="472" spans="1:34" x14ac:dyDescent="0.2">
      <c r="A472" s="826" t="s">
        <v>1490</v>
      </c>
      <c r="B472" s="833" t="s">
        <v>1491</v>
      </c>
      <c r="C472" s="828">
        <v>1850000</v>
      </c>
      <c r="D472" s="828"/>
      <c r="E472" s="828"/>
      <c r="F472" s="828"/>
      <c r="G472" s="828"/>
    </row>
    <row r="473" spans="1:34" ht="15.75" x14ac:dyDescent="0.25">
      <c r="A473" s="802"/>
      <c r="B473" s="803" t="s">
        <v>1492</v>
      </c>
      <c r="C473" s="702">
        <f>SUM(C478,C474,C485,C495)</f>
        <v>55211250</v>
      </c>
      <c r="D473" s="702"/>
      <c r="E473" s="702"/>
      <c r="F473" s="702"/>
      <c r="G473" s="824"/>
    </row>
    <row r="474" spans="1:34" ht="12.75" customHeight="1" x14ac:dyDescent="0.2">
      <c r="A474" s="834">
        <v>3412</v>
      </c>
      <c r="B474" s="834" t="s">
        <v>1493</v>
      </c>
      <c r="C474" s="835">
        <f>SUM(C475:C477)</f>
        <v>3400000</v>
      </c>
      <c r="D474" s="835"/>
      <c r="E474" s="835"/>
      <c r="F474" s="835"/>
      <c r="G474" s="807"/>
    </row>
    <row r="475" spans="1:34" ht="12.75" customHeight="1" x14ac:dyDescent="0.2">
      <c r="A475" s="796" t="s">
        <v>1494</v>
      </c>
      <c r="B475" s="717" t="s">
        <v>1495</v>
      </c>
      <c r="C475" s="836">
        <v>2600000</v>
      </c>
      <c r="D475" s="836"/>
      <c r="E475" s="836"/>
      <c r="F475" s="836"/>
      <c r="G475" s="798"/>
    </row>
    <row r="476" spans="1:34" ht="12.75" customHeight="1" x14ac:dyDescent="0.2">
      <c r="A476" s="796" t="s">
        <v>1496</v>
      </c>
      <c r="B476" s="717" t="s">
        <v>1497</v>
      </c>
      <c r="C476" s="836">
        <v>500000</v>
      </c>
      <c r="D476" s="836"/>
      <c r="E476" s="836"/>
      <c r="F476" s="836"/>
      <c r="G476" s="798"/>
    </row>
    <row r="477" spans="1:34" x14ac:dyDescent="0.2">
      <c r="A477" s="796" t="s">
        <v>1498</v>
      </c>
      <c r="B477" s="717" t="s">
        <v>1499</v>
      </c>
      <c r="C477" s="836">
        <v>300000</v>
      </c>
      <c r="D477" s="836"/>
      <c r="E477" s="836"/>
      <c r="F477" s="836"/>
      <c r="G477" s="695"/>
    </row>
    <row r="478" spans="1:34" x14ac:dyDescent="0.2">
      <c r="A478" s="730">
        <v>3612</v>
      </c>
      <c r="B478" s="730" t="s">
        <v>1500</v>
      </c>
      <c r="C478" s="798">
        <f>SUM(C479:C484)</f>
        <v>2250000</v>
      </c>
      <c r="D478" s="798"/>
      <c r="E478" s="798"/>
      <c r="F478" s="798"/>
      <c r="G478" s="695"/>
    </row>
    <row r="479" spans="1:34" x14ac:dyDescent="0.2">
      <c r="A479" s="796" t="s">
        <v>1501</v>
      </c>
      <c r="B479" s="832" t="s">
        <v>1502</v>
      </c>
      <c r="C479" s="695">
        <v>0</v>
      </c>
      <c r="D479" s="695"/>
      <c r="E479" s="695"/>
      <c r="F479" s="695"/>
      <c r="G479" s="695"/>
    </row>
    <row r="480" spans="1:34" x14ac:dyDescent="0.2">
      <c r="A480" s="796" t="s">
        <v>1503</v>
      </c>
      <c r="B480" s="832" t="s">
        <v>1504</v>
      </c>
      <c r="C480" s="695">
        <v>0</v>
      </c>
      <c r="D480" s="695"/>
      <c r="E480" s="695"/>
      <c r="F480" s="695"/>
      <c r="G480" s="695"/>
    </row>
    <row r="481" spans="1:7" x14ac:dyDescent="0.2">
      <c r="A481" s="796" t="s">
        <v>1505</v>
      </c>
      <c r="B481" s="837" t="s">
        <v>1506</v>
      </c>
      <c r="C481" s="695">
        <v>0</v>
      </c>
      <c r="D481" s="695"/>
      <c r="E481" s="695"/>
      <c r="F481" s="695"/>
      <c r="G481" s="695"/>
    </row>
    <row r="482" spans="1:7" x14ac:dyDescent="0.2">
      <c r="A482" s="796" t="s">
        <v>1507</v>
      </c>
      <c r="B482" s="837" t="s">
        <v>1508</v>
      </c>
      <c r="C482" s="695">
        <v>400000</v>
      </c>
      <c r="D482" s="695"/>
      <c r="E482" s="695"/>
      <c r="F482" s="695"/>
      <c r="G482" s="695"/>
    </row>
    <row r="483" spans="1:7" x14ac:dyDescent="0.2">
      <c r="A483" s="796" t="s">
        <v>1509</v>
      </c>
      <c r="B483" s="837" t="s">
        <v>1510</v>
      </c>
      <c r="C483" s="695">
        <v>350000</v>
      </c>
      <c r="D483" s="695"/>
      <c r="E483" s="695"/>
      <c r="F483" s="695"/>
      <c r="G483" s="695"/>
    </row>
    <row r="484" spans="1:7" x14ac:dyDescent="0.2">
      <c r="A484" s="796" t="s">
        <v>1511</v>
      </c>
      <c r="B484" s="832" t="s">
        <v>1512</v>
      </c>
      <c r="C484" s="695">
        <v>1500000</v>
      </c>
      <c r="D484" s="695"/>
      <c r="E484" s="695"/>
      <c r="F484" s="695"/>
      <c r="G484" s="695"/>
    </row>
    <row r="485" spans="1:7" x14ac:dyDescent="0.2">
      <c r="A485" s="838">
        <v>3613</v>
      </c>
      <c r="B485" s="730" t="s">
        <v>1283</v>
      </c>
      <c r="C485" s="798">
        <f>SUM(C486:C494)</f>
        <v>11200000</v>
      </c>
      <c r="D485" s="798"/>
      <c r="E485" s="798"/>
      <c r="F485" s="798"/>
      <c r="G485" s="695"/>
    </row>
    <row r="486" spans="1:7" x14ac:dyDescent="0.2">
      <c r="A486" s="796" t="s">
        <v>1513</v>
      </c>
      <c r="B486" s="832" t="s">
        <v>1514</v>
      </c>
      <c r="C486" s="695">
        <v>0</v>
      </c>
      <c r="D486" s="695"/>
      <c r="E486" s="695"/>
      <c r="F486" s="695"/>
      <c r="G486" s="695"/>
    </row>
    <row r="487" spans="1:7" x14ac:dyDescent="0.2">
      <c r="A487" s="796" t="s">
        <v>1515</v>
      </c>
      <c r="B487" s="837" t="s">
        <v>1516</v>
      </c>
      <c r="C487" s="695">
        <v>0</v>
      </c>
      <c r="D487" s="695"/>
      <c r="E487" s="695"/>
      <c r="F487" s="695"/>
      <c r="G487" s="695"/>
    </row>
    <row r="488" spans="1:7" x14ac:dyDescent="0.2">
      <c r="A488" s="796" t="s">
        <v>1517</v>
      </c>
      <c r="B488" s="832" t="s">
        <v>1518</v>
      </c>
      <c r="C488" s="695">
        <v>2550000</v>
      </c>
      <c r="D488" s="695"/>
      <c r="E488" s="695"/>
      <c r="F488" s="695"/>
      <c r="G488" s="695"/>
    </row>
    <row r="489" spans="1:7" x14ac:dyDescent="0.2">
      <c r="A489" s="796" t="s">
        <v>1519</v>
      </c>
      <c r="B489" s="832" t="s">
        <v>1520</v>
      </c>
      <c r="C489" s="695">
        <v>2500000</v>
      </c>
      <c r="D489" s="695"/>
      <c r="E489" s="695"/>
      <c r="F489" s="695"/>
      <c r="G489" s="695"/>
    </row>
    <row r="490" spans="1:7" x14ac:dyDescent="0.2">
      <c r="A490" s="796" t="s">
        <v>1521</v>
      </c>
      <c r="B490" s="832" t="s">
        <v>1522</v>
      </c>
      <c r="C490" s="695">
        <v>1000000</v>
      </c>
      <c r="D490" s="695"/>
      <c r="E490" s="695"/>
      <c r="F490" s="695"/>
      <c r="G490" s="695"/>
    </row>
    <row r="491" spans="1:7" x14ac:dyDescent="0.2">
      <c r="A491" s="796" t="s">
        <v>1523</v>
      </c>
      <c r="B491" s="832" t="s">
        <v>1524</v>
      </c>
      <c r="C491" s="695">
        <v>1100000</v>
      </c>
      <c r="D491" s="695"/>
      <c r="E491" s="695"/>
      <c r="F491" s="695"/>
      <c r="G491" s="695"/>
    </row>
    <row r="492" spans="1:7" x14ac:dyDescent="0.2">
      <c r="A492" s="796" t="s">
        <v>1525</v>
      </c>
      <c r="B492" s="832" t="s">
        <v>1526</v>
      </c>
      <c r="C492" s="695">
        <v>550000</v>
      </c>
      <c r="D492" s="695"/>
      <c r="E492" s="695"/>
      <c r="F492" s="695"/>
      <c r="G492" s="695"/>
    </row>
    <row r="493" spans="1:7" x14ac:dyDescent="0.2">
      <c r="A493" s="796" t="s">
        <v>1527</v>
      </c>
      <c r="B493" s="832" t="s">
        <v>1528</v>
      </c>
      <c r="C493" s="695">
        <v>500000</v>
      </c>
      <c r="D493" s="695"/>
      <c r="E493" s="695"/>
      <c r="F493" s="695"/>
      <c r="G493" s="695"/>
    </row>
    <row r="494" spans="1:7" x14ac:dyDescent="0.2">
      <c r="A494" s="796" t="s">
        <v>1529</v>
      </c>
      <c r="B494" s="832" t="s">
        <v>1530</v>
      </c>
      <c r="C494" s="695">
        <v>3000000</v>
      </c>
      <c r="D494" s="695"/>
      <c r="E494" s="695"/>
      <c r="F494" s="695"/>
      <c r="G494" s="695"/>
    </row>
    <row r="495" spans="1:7" x14ac:dyDescent="0.2">
      <c r="A495" s="730">
        <v>3634</v>
      </c>
      <c r="B495" s="730" t="s">
        <v>1531</v>
      </c>
      <c r="C495" s="798">
        <f>SUM(C496:C509)</f>
        <v>38361250</v>
      </c>
      <c r="D495" s="798"/>
      <c r="E495" s="798"/>
      <c r="F495" s="798"/>
      <c r="G495" s="695"/>
    </row>
    <row r="496" spans="1:7" x14ac:dyDescent="0.2">
      <c r="A496" s="796" t="s">
        <v>1532</v>
      </c>
      <c r="B496" s="832" t="s">
        <v>1533</v>
      </c>
      <c r="C496" s="695">
        <v>0</v>
      </c>
      <c r="D496" s="695"/>
      <c r="E496" s="695"/>
      <c r="F496" s="695"/>
      <c r="G496" s="695"/>
    </row>
    <row r="497" spans="1:7" x14ac:dyDescent="0.2">
      <c r="A497" s="796" t="s">
        <v>1534</v>
      </c>
      <c r="B497" s="832" t="s">
        <v>1535</v>
      </c>
      <c r="C497" s="695">
        <v>0</v>
      </c>
      <c r="D497" s="695"/>
      <c r="E497" s="695"/>
      <c r="F497" s="695"/>
      <c r="G497" s="695"/>
    </row>
    <row r="498" spans="1:7" x14ac:dyDescent="0.2">
      <c r="A498" s="796" t="s">
        <v>1536</v>
      </c>
      <c r="B498" s="832" t="s">
        <v>1537</v>
      </c>
      <c r="C498" s="695">
        <v>0</v>
      </c>
      <c r="D498" s="695"/>
      <c r="E498" s="695"/>
      <c r="F498" s="695"/>
      <c r="G498" s="695"/>
    </row>
    <row r="499" spans="1:7" x14ac:dyDescent="0.2">
      <c r="A499" s="796" t="s">
        <v>1538</v>
      </c>
      <c r="B499" s="832" t="s">
        <v>1539</v>
      </c>
      <c r="C499" s="695">
        <v>0</v>
      </c>
      <c r="D499" s="695"/>
      <c r="E499" s="695"/>
      <c r="F499" s="695"/>
      <c r="G499" s="695"/>
    </row>
    <row r="500" spans="1:7" x14ac:dyDescent="0.2">
      <c r="A500" s="796" t="s">
        <v>1540</v>
      </c>
      <c r="B500" s="832" t="s">
        <v>1541</v>
      </c>
      <c r="C500" s="695">
        <v>0</v>
      </c>
      <c r="D500" s="695"/>
      <c r="E500" s="695"/>
      <c r="F500" s="695"/>
      <c r="G500" s="695"/>
    </row>
    <row r="501" spans="1:7" ht="15.75" x14ac:dyDescent="0.25">
      <c r="A501" s="796" t="s">
        <v>1542</v>
      </c>
      <c r="B501" s="832" t="s">
        <v>1543</v>
      </c>
      <c r="C501" s="695">
        <v>2151250</v>
      </c>
      <c r="D501" s="695"/>
      <c r="E501" s="695"/>
      <c r="F501" s="695"/>
      <c r="G501" s="839"/>
    </row>
    <row r="502" spans="1:7" x14ac:dyDescent="0.2">
      <c r="A502" s="796" t="s">
        <v>1544</v>
      </c>
      <c r="B502" s="832" t="s">
        <v>1545</v>
      </c>
      <c r="C502" s="695">
        <v>2500000</v>
      </c>
      <c r="D502" s="695"/>
      <c r="E502" s="695"/>
      <c r="F502" s="695"/>
      <c r="G502" s="798"/>
    </row>
    <row r="503" spans="1:7" x14ac:dyDescent="0.2">
      <c r="A503" s="796" t="s">
        <v>1546</v>
      </c>
      <c r="B503" s="832" t="s">
        <v>1547</v>
      </c>
      <c r="C503" s="695">
        <v>210000</v>
      </c>
      <c r="D503" s="695"/>
      <c r="E503" s="695"/>
      <c r="F503" s="695"/>
      <c r="G503" s="695"/>
    </row>
    <row r="504" spans="1:7" x14ac:dyDescent="0.2">
      <c r="A504" s="796" t="s">
        <v>1548</v>
      </c>
      <c r="B504" s="832" t="s">
        <v>1549</v>
      </c>
      <c r="C504" s="695">
        <v>4500000</v>
      </c>
      <c r="D504" s="695"/>
      <c r="E504" s="695"/>
      <c r="F504" s="695"/>
      <c r="G504" s="695"/>
    </row>
    <row r="505" spans="1:7" x14ac:dyDescent="0.2">
      <c r="A505" s="796" t="s">
        <v>1550</v>
      </c>
      <c r="B505" s="832" t="s">
        <v>1551</v>
      </c>
      <c r="C505" s="695">
        <v>4800000</v>
      </c>
      <c r="D505" s="695"/>
      <c r="E505" s="695"/>
      <c r="F505" s="695"/>
      <c r="G505" s="695"/>
    </row>
    <row r="506" spans="1:7" x14ac:dyDescent="0.2">
      <c r="A506" s="796" t="s">
        <v>1552</v>
      </c>
      <c r="B506" s="832" t="s">
        <v>1553</v>
      </c>
      <c r="C506" s="695">
        <v>5000000</v>
      </c>
      <c r="D506" s="695"/>
      <c r="E506" s="695"/>
      <c r="F506" s="695"/>
      <c r="G506" s="695"/>
    </row>
    <row r="507" spans="1:7" ht="15.75" x14ac:dyDescent="0.25">
      <c r="A507" s="796" t="s">
        <v>1554</v>
      </c>
      <c r="B507" s="832" t="s">
        <v>1555</v>
      </c>
      <c r="C507" s="695">
        <v>13000000</v>
      </c>
      <c r="D507" s="695"/>
      <c r="E507" s="695"/>
      <c r="F507" s="695"/>
      <c r="G507" s="839"/>
    </row>
    <row r="508" spans="1:7" x14ac:dyDescent="0.2">
      <c r="A508" s="796" t="s">
        <v>1556</v>
      </c>
      <c r="B508" s="832" t="s">
        <v>1557</v>
      </c>
      <c r="C508" s="695">
        <v>6000000</v>
      </c>
      <c r="D508" s="695"/>
      <c r="E508" s="695"/>
      <c r="F508" s="695"/>
      <c r="G508" s="798"/>
    </row>
    <row r="509" spans="1:7" x14ac:dyDescent="0.2">
      <c r="A509" s="799" t="s">
        <v>1558</v>
      </c>
      <c r="B509" s="833" t="s">
        <v>1559</v>
      </c>
      <c r="C509" s="828">
        <v>200000</v>
      </c>
      <c r="D509" s="828"/>
      <c r="E509" s="828"/>
      <c r="F509" s="828"/>
      <c r="G509" s="728"/>
    </row>
    <row r="510" spans="1:7" ht="15.75" x14ac:dyDescent="0.25">
      <c r="A510" s="819"/>
      <c r="B510" s="738" t="s">
        <v>546</v>
      </c>
      <c r="C510" s="840">
        <f>SUM(C511,C517,C520,C530,C534)</f>
        <v>18780000</v>
      </c>
      <c r="D510" s="840"/>
      <c r="E510" s="840"/>
      <c r="F510" s="840"/>
      <c r="G510" s="825"/>
    </row>
    <row r="511" spans="1:7" x14ac:dyDescent="0.2">
      <c r="A511" s="814">
        <v>3412</v>
      </c>
      <c r="B511" s="806" t="s">
        <v>1560</v>
      </c>
      <c r="C511" s="795">
        <f>SUM(C512:C516)</f>
        <v>13470000</v>
      </c>
      <c r="D511" s="795"/>
      <c r="E511" s="795"/>
      <c r="F511" s="795"/>
      <c r="G511" s="816"/>
    </row>
    <row r="512" spans="1:7" x14ac:dyDescent="0.2">
      <c r="A512" s="796" t="s">
        <v>1561</v>
      </c>
      <c r="B512" s="731" t="s">
        <v>1562</v>
      </c>
      <c r="C512" s="695">
        <v>11500000</v>
      </c>
      <c r="D512" s="695"/>
      <c r="E512" s="695"/>
      <c r="F512" s="695"/>
      <c r="G512" s="695"/>
    </row>
    <row r="513" spans="1:7" x14ac:dyDescent="0.2">
      <c r="A513" s="796" t="s">
        <v>1563</v>
      </c>
      <c r="B513" s="731" t="s">
        <v>1564</v>
      </c>
      <c r="C513" s="695">
        <v>1000000</v>
      </c>
      <c r="D513" s="695"/>
      <c r="E513" s="695"/>
      <c r="F513" s="695"/>
      <c r="G513" s="695"/>
    </row>
    <row r="514" spans="1:7" x14ac:dyDescent="0.2">
      <c r="A514" s="796" t="s">
        <v>1565</v>
      </c>
      <c r="B514" s="731" t="s">
        <v>1566</v>
      </c>
      <c r="C514" s="695">
        <v>330000</v>
      </c>
      <c r="D514" s="695"/>
      <c r="E514" s="695"/>
      <c r="F514" s="695"/>
      <c r="G514" s="798"/>
    </row>
    <row r="515" spans="1:7" x14ac:dyDescent="0.2">
      <c r="A515" s="796" t="s">
        <v>1567</v>
      </c>
      <c r="B515" s="809" t="s">
        <v>1568</v>
      </c>
      <c r="C515" s="695">
        <v>200000</v>
      </c>
      <c r="D515" s="695"/>
      <c r="E515" s="695"/>
      <c r="F515" s="695"/>
      <c r="G515" s="695"/>
    </row>
    <row r="516" spans="1:7" x14ac:dyDescent="0.2">
      <c r="A516" s="796" t="s">
        <v>1569</v>
      </c>
      <c r="B516" s="731" t="s">
        <v>1570</v>
      </c>
      <c r="C516" s="695">
        <v>440000</v>
      </c>
      <c r="D516" s="695"/>
      <c r="E516" s="695"/>
      <c r="F516" s="695"/>
      <c r="G516" s="695"/>
    </row>
    <row r="517" spans="1:7" x14ac:dyDescent="0.2">
      <c r="A517" s="730">
        <v>3613</v>
      </c>
      <c r="B517" s="797" t="s">
        <v>1283</v>
      </c>
      <c r="C517" s="798">
        <f>SUM(C518:C519)</f>
        <v>300000</v>
      </c>
      <c r="D517" s="798"/>
      <c r="E517" s="798"/>
      <c r="F517" s="798"/>
      <c r="G517" s="798"/>
    </row>
    <row r="518" spans="1:7" x14ac:dyDescent="0.2">
      <c r="A518" s="796" t="s">
        <v>553</v>
      </c>
      <c r="B518" s="731" t="s">
        <v>1571</v>
      </c>
      <c r="C518" s="695">
        <v>300000</v>
      </c>
      <c r="D518" s="695"/>
      <c r="E518" s="695"/>
      <c r="F518" s="695"/>
      <c r="G518" s="798"/>
    </row>
    <row r="519" spans="1:7" x14ac:dyDescent="0.2">
      <c r="A519" s="796" t="s">
        <v>1292</v>
      </c>
      <c r="B519" s="731" t="s">
        <v>1572</v>
      </c>
      <c r="C519" s="695">
        <v>0</v>
      </c>
      <c r="D519" s="695"/>
      <c r="E519" s="695"/>
      <c r="F519" s="695"/>
      <c r="G519" s="695"/>
    </row>
    <row r="520" spans="1:7" x14ac:dyDescent="0.2">
      <c r="A520" s="730">
        <v>3631</v>
      </c>
      <c r="B520" s="797" t="s">
        <v>1294</v>
      </c>
      <c r="C520" s="798">
        <f>SUM(C521:C529)</f>
        <v>4150000</v>
      </c>
      <c r="D520" s="798"/>
      <c r="E520" s="798"/>
      <c r="F520" s="798"/>
      <c r="G520" s="695"/>
    </row>
    <row r="521" spans="1:7" x14ac:dyDescent="0.2">
      <c r="A521" s="796" t="s">
        <v>1300</v>
      </c>
      <c r="B521" s="731" t="s">
        <v>1573</v>
      </c>
      <c r="C521" s="695">
        <v>0</v>
      </c>
      <c r="D521" s="695"/>
      <c r="E521" s="695"/>
      <c r="F521" s="695"/>
      <c r="G521" s="695"/>
    </row>
    <row r="522" spans="1:7" x14ac:dyDescent="0.2">
      <c r="A522" s="796" t="s">
        <v>567</v>
      </c>
      <c r="B522" s="731" t="s">
        <v>1574</v>
      </c>
      <c r="C522" s="695">
        <v>100000</v>
      </c>
      <c r="D522" s="695"/>
      <c r="E522" s="695"/>
      <c r="F522" s="695"/>
      <c r="G522" s="798"/>
    </row>
    <row r="523" spans="1:7" x14ac:dyDescent="0.2">
      <c r="A523" s="796" t="s">
        <v>1302</v>
      </c>
      <c r="B523" s="731" t="s">
        <v>1575</v>
      </c>
      <c r="C523" s="695">
        <v>0</v>
      </c>
      <c r="D523" s="695"/>
      <c r="E523" s="695"/>
      <c r="F523" s="695"/>
      <c r="G523" s="695"/>
    </row>
    <row r="524" spans="1:7" x14ac:dyDescent="0.2">
      <c r="A524" s="796" t="s">
        <v>1304</v>
      </c>
      <c r="B524" s="731" t="s">
        <v>1576</v>
      </c>
      <c r="C524" s="695">
        <v>0</v>
      </c>
      <c r="D524" s="695"/>
      <c r="E524" s="695"/>
      <c r="F524" s="695"/>
      <c r="G524" s="695"/>
    </row>
    <row r="525" spans="1:7" ht="15.75" x14ac:dyDescent="0.2">
      <c r="A525" s="796" t="s">
        <v>1306</v>
      </c>
      <c r="B525" s="731" t="s">
        <v>1577</v>
      </c>
      <c r="C525" s="695">
        <v>0</v>
      </c>
      <c r="D525" s="695"/>
      <c r="E525" s="695"/>
      <c r="F525" s="695"/>
      <c r="G525" s="841"/>
    </row>
    <row r="526" spans="1:7" x14ac:dyDescent="0.2">
      <c r="A526" s="796" t="s">
        <v>577</v>
      </c>
      <c r="B526" s="731" t="s">
        <v>578</v>
      </c>
      <c r="C526" s="695">
        <v>1750000</v>
      </c>
      <c r="D526" s="695"/>
      <c r="E526" s="695"/>
      <c r="F526" s="695"/>
      <c r="G526" s="695"/>
    </row>
    <row r="527" spans="1:7" x14ac:dyDescent="0.2">
      <c r="A527" s="796" t="s">
        <v>579</v>
      </c>
      <c r="B527" s="731" t="s">
        <v>1578</v>
      </c>
      <c r="C527" s="695">
        <v>0</v>
      </c>
      <c r="D527" s="695"/>
      <c r="E527" s="695"/>
      <c r="F527" s="695"/>
      <c r="G527" s="842"/>
    </row>
    <row r="528" spans="1:7" x14ac:dyDescent="0.2">
      <c r="A528" s="796" t="s">
        <v>581</v>
      </c>
      <c r="B528" s="731" t="s">
        <v>1579</v>
      </c>
      <c r="C528" s="695">
        <v>2300000</v>
      </c>
      <c r="D528" s="695"/>
      <c r="E528" s="695"/>
      <c r="F528" s="695"/>
      <c r="G528" s="843"/>
    </row>
    <row r="529" spans="1:7" x14ac:dyDescent="0.2">
      <c r="A529" s="796" t="s">
        <v>585</v>
      </c>
      <c r="B529" s="731" t="s">
        <v>1580</v>
      </c>
      <c r="C529" s="695">
        <v>0</v>
      </c>
      <c r="D529" s="695"/>
      <c r="E529" s="695"/>
      <c r="F529" s="695"/>
      <c r="G529" s="843"/>
    </row>
    <row r="530" spans="1:7" x14ac:dyDescent="0.2">
      <c r="A530" s="730">
        <v>3632</v>
      </c>
      <c r="B530" s="797" t="s">
        <v>1309</v>
      </c>
      <c r="C530" s="798">
        <f>SUM(C531:C533)</f>
        <v>850000</v>
      </c>
      <c r="D530" s="798"/>
      <c r="E530" s="798"/>
      <c r="F530" s="798"/>
      <c r="G530" s="843"/>
    </row>
    <row r="531" spans="1:7" x14ac:dyDescent="0.2">
      <c r="A531" s="796" t="s">
        <v>1581</v>
      </c>
      <c r="B531" s="731" t="s">
        <v>1582</v>
      </c>
      <c r="C531" s="695">
        <v>620000</v>
      </c>
      <c r="D531" s="695"/>
      <c r="E531" s="695"/>
      <c r="F531" s="695"/>
      <c r="G531" s="798"/>
    </row>
    <row r="532" spans="1:7" x14ac:dyDescent="0.2">
      <c r="A532" s="796" t="s">
        <v>1581</v>
      </c>
      <c r="B532" s="809" t="s">
        <v>1583</v>
      </c>
      <c r="C532" s="695">
        <v>230000</v>
      </c>
      <c r="D532" s="695"/>
      <c r="E532" s="695"/>
      <c r="F532" s="695"/>
      <c r="G532" s="843"/>
    </row>
    <row r="533" spans="1:7" x14ac:dyDescent="0.2">
      <c r="A533" s="796" t="s">
        <v>1584</v>
      </c>
      <c r="B533" s="809" t="s">
        <v>1585</v>
      </c>
      <c r="C533" s="695">
        <v>0</v>
      </c>
      <c r="D533" s="695"/>
      <c r="E533" s="695"/>
      <c r="F533" s="695"/>
      <c r="G533" s="843"/>
    </row>
    <row r="534" spans="1:7" ht="15.75" x14ac:dyDescent="0.2">
      <c r="A534" s="730">
        <v>3633</v>
      </c>
      <c r="B534" s="797" t="s">
        <v>1317</v>
      </c>
      <c r="C534" s="798">
        <f>SUM(C535:C536)</f>
        <v>10000</v>
      </c>
      <c r="D534" s="798"/>
      <c r="E534" s="798"/>
      <c r="F534" s="798"/>
      <c r="G534" s="841"/>
    </row>
    <row r="535" spans="1:7" x14ac:dyDescent="0.2">
      <c r="A535" s="796" t="s">
        <v>592</v>
      </c>
      <c r="B535" s="731" t="s">
        <v>593</v>
      </c>
      <c r="C535" s="695">
        <v>10000</v>
      </c>
      <c r="D535" s="695"/>
      <c r="E535" s="695"/>
      <c r="F535" s="695"/>
      <c r="G535" s="843"/>
    </row>
    <row r="536" spans="1:7" x14ac:dyDescent="0.2">
      <c r="A536" s="799" t="s">
        <v>594</v>
      </c>
      <c r="B536" s="827" t="s">
        <v>1586</v>
      </c>
      <c r="C536" s="728">
        <v>0</v>
      </c>
      <c r="D536" s="728"/>
      <c r="E536" s="728"/>
      <c r="F536" s="728"/>
      <c r="G536" s="844"/>
    </row>
    <row r="537" spans="1:7" ht="15.75" x14ac:dyDescent="0.25">
      <c r="A537" s="621"/>
      <c r="B537" s="845" t="s">
        <v>1587</v>
      </c>
      <c r="C537" s="764">
        <f t="shared" ref="C537:C540" si="0">SUM(C538:C538)</f>
        <v>460000</v>
      </c>
      <c r="D537" s="764"/>
      <c r="E537" s="764"/>
      <c r="F537" s="764"/>
      <c r="G537" s="846"/>
    </row>
    <row r="538" spans="1:7" x14ac:dyDescent="0.2">
      <c r="A538" s="847" t="s">
        <v>603</v>
      </c>
      <c r="B538" s="848" t="s">
        <v>1588</v>
      </c>
      <c r="C538" s="849">
        <v>460000</v>
      </c>
      <c r="D538" s="849"/>
      <c r="E538" s="849"/>
      <c r="F538" s="849"/>
      <c r="G538" s="568"/>
    </row>
    <row r="539" spans="1:7" x14ac:dyDescent="0.2">
      <c r="A539" s="850"/>
      <c r="B539" s="851"/>
      <c r="C539" s="828"/>
      <c r="D539" s="828"/>
      <c r="E539" s="828"/>
      <c r="F539" s="828"/>
      <c r="G539" s="852"/>
    </row>
    <row r="540" spans="1:7" s="85" customFormat="1" ht="20.25" x14ac:dyDescent="0.3">
      <c r="A540" s="853"/>
      <c r="B540" s="854" t="s">
        <v>31</v>
      </c>
      <c r="C540" s="855">
        <f t="shared" si="0"/>
        <v>15000</v>
      </c>
      <c r="D540" s="855"/>
      <c r="E540" s="855"/>
      <c r="F540" s="855"/>
      <c r="G540" s="855"/>
    </row>
    <row r="541" spans="1:7" x14ac:dyDescent="0.2">
      <c r="A541" s="856" t="s">
        <v>1589</v>
      </c>
      <c r="B541" s="688" t="s">
        <v>1590</v>
      </c>
      <c r="C541" s="637">
        <v>15000</v>
      </c>
      <c r="D541" s="637"/>
      <c r="E541" s="637"/>
      <c r="F541" s="637"/>
      <c r="G541" s="807"/>
    </row>
    <row r="542" spans="1:7" s="244" customFormat="1" ht="12.75" customHeight="1" x14ac:dyDescent="0.25">
      <c r="A542" s="857"/>
      <c r="B542" s="738"/>
      <c r="C542" s="785"/>
      <c r="D542" s="785"/>
      <c r="E542" s="785"/>
      <c r="F542" s="785"/>
      <c r="G542" s="858"/>
    </row>
    <row r="543" spans="1:7" s="558" customFormat="1" ht="20.25" x14ac:dyDescent="0.3">
      <c r="A543" s="734"/>
      <c r="B543" s="757" t="s">
        <v>608</v>
      </c>
      <c r="C543" s="859">
        <f>SUM(C544:C547)</f>
        <v>13200772</v>
      </c>
      <c r="D543" s="859"/>
      <c r="E543" s="859"/>
      <c r="F543" s="859"/>
      <c r="G543" s="860"/>
    </row>
    <row r="544" spans="1:7" s="98" customFormat="1" ht="24.75" x14ac:dyDescent="0.2">
      <c r="A544" s="660">
        <v>2141</v>
      </c>
      <c r="B544" s="688" t="s">
        <v>1591</v>
      </c>
      <c r="C544" s="637">
        <v>825800</v>
      </c>
      <c r="D544" s="637"/>
      <c r="E544" s="637"/>
      <c r="F544" s="637"/>
      <c r="G544" s="768"/>
    </row>
    <row r="545" spans="1:7" s="98" customFormat="1" ht="60.75" x14ac:dyDescent="0.2">
      <c r="A545" s="663">
        <v>2143</v>
      </c>
      <c r="B545" s="634" t="s">
        <v>1592</v>
      </c>
      <c r="C545" s="637">
        <v>11485972</v>
      </c>
      <c r="D545" s="637"/>
      <c r="E545" s="637"/>
      <c r="F545" s="637"/>
      <c r="G545" s="798"/>
    </row>
    <row r="546" spans="1:7" s="98" customFormat="1" ht="24.75" x14ac:dyDescent="0.2">
      <c r="A546" s="663">
        <v>3399</v>
      </c>
      <c r="B546" s="634" t="s">
        <v>1593</v>
      </c>
      <c r="C546" s="637">
        <v>174000</v>
      </c>
      <c r="D546" s="637"/>
      <c r="E546" s="637"/>
      <c r="F546" s="637"/>
      <c r="G546" s="798"/>
    </row>
    <row r="547" spans="1:7" s="98" customFormat="1" ht="24.75" x14ac:dyDescent="0.2">
      <c r="A547" s="663">
        <v>6223</v>
      </c>
      <c r="B547" s="634" t="s">
        <v>1594</v>
      </c>
      <c r="C547" s="637">
        <v>715000</v>
      </c>
      <c r="D547" s="637"/>
      <c r="E547" s="637"/>
      <c r="F547" s="637"/>
      <c r="G547" s="798"/>
    </row>
    <row r="548" spans="1:7" s="98" customFormat="1" x14ac:dyDescent="0.2">
      <c r="A548" s="861"/>
      <c r="B548" s="862"/>
      <c r="C548" s="785"/>
      <c r="D548" s="785"/>
      <c r="E548" s="785"/>
      <c r="F548" s="785"/>
      <c r="G548" s="863"/>
    </row>
    <row r="549" spans="1:7" s="558" customFormat="1" ht="20.25" x14ac:dyDescent="0.3">
      <c r="A549" s="864"/>
      <c r="B549" s="865" t="s">
        <v>33</v>
      </c>
      <c r="C549" s="866">
        <f>SUM(C550,C551)</f>
        <v>10220291</v>
      </c>
      <c r="D549" s="866"/>
      <c r="E549" s="866"/>
      <c r="F549" s="866"/>
      <c r="G549" s="860"/>
    </row>
    <row r="550" spans="1:7" s="98" customFormat="1" ht="24.75" x14ac:dyDescent="0.2">
      <c r="A550" s="663">
        <v>2223</v>
      </c>
      <c r="B550" s="634" t="s">
        <v>1595</v>
      </c>
      <c r="C550" s="687">
        <v>80000</v>
      </c>
      <c r="D550" s="687"/>
      <c r="E550" s="687"/>
      <c r="F550" s="687"/>
      <c r="G550" s="631"/>
    </row>
    <row r="551" spans="1:7" s="98" customFormat="1" x14ac:dyDescent="0.2">
      <c r="A551" s="663">
        <v>2292</v>
      </c>
      <c r="B551" s="629" t="s">
        <v>1596</v>
      </c>
      <c r="C551" s="637">
        <f>SUM(C552:C556)</f>
        <v>10140291</v>
      </c>
      <c r="D551" s="637"/>
      <c r="E551" s="637"/>
      <c r="F551" s="637"/>
      <c r="G551" s="633"/>
    </row>
    <row r="552" spans="1:7" s="98" customFormat="1" x14ac:dyDescent="0.2">
      <c r="A552" s="663"/>
      <c r="B552" s="643" t="s">
        <v>617</v>
      </c>
      <c r="C552" s="644">
        <v>2078191</v>
      </c>
      <c r="D552" s="644"/>
      <c r="E552" s="644"/>
      <c r="F552" s="644"/>
      <c r="G552" s="671"/>
    </row>
    <row r="553" spans="1:7" s="98" customFormat="1" x14ac:dyDescent="0.2">
      <c r="A553" s="663"/>
      <c r="B553" s="643" t="s">
        <v>1597</v>
      </c>
      <c r="C553" s="644">
        <v>7500000</v>
      </c>
      <c r="D553" s="644"/>
      <c r="E553" s="644"/>
      <c r="F553" s="644"/>
      <c r="G553" s="671"/>
    </row>
    <row r="554" spans="1:7" s="98" customFormat="1" x14ac:dyDescent="0.2">
      <c r="A554" s="663"/>
      <c r="B554" s="650" t="s">
        <v>1598</v>
      </c>
      <c r="C554" s="644">
        <v>150000</v>
      </c>
      <c r="D554" s="644"/>
      <c r="E554" s="644"/>
      <c r="F554" s="644"/>
      <c r="G554" s="671"/>
    </row>
    <row r="555" spans="1:7" s="98" customFormat="1" x14ac:dyDescent="0.2">
      <c r="A555" s="710"/>
      <c r="B555" s="867" t="s">
        <v>1599</v>
      </c>
      <c r="C555" s="652">
        <v>400000</v>
      </c>
      <c r="D555" s="652"/>
      <c r="E555" s="652"/>
      <c r="F555" s="652"/>
      <c r="G555" s="671"/>
    </row>
    <row r="556" spans="1:7" s="98" customFormat="1" x14ac:dyDescent="0.2">
      <c r="A556" s="729"/>
      <c r="B556" s="868" t="s">
        <v>1600</v>
      </c>
      <c r="C556" s="678">
        <v>12100</v>
      </c>
      <c r="D556" s="678"/>
      <c r="E556" s="678"/>
      <c r="F556" s="678"/>
      <c r="G556" s="869"/>
    </row>
    <row r="557" spans="1:7" s="98" customFormat="1" x14ac:dyDescent="0.2">
      <c r="A557" s="863"/>
      <c r="B557" s="868"/>
      <c r="C557" s="682"/>
      <c r="D557" s="682"/>
      <c r="E557" s="682"/>
      <c r="F557" s="682"/>
      <c r="G557" s="870"/>
    </row>
    <row r="558" spans="1:7" s="558" customFormat="1" ht="20.25" x14ac:dyDescent="0.3">
      <c r="A558" s="734"/>
      <c r="B558" s="757" t="s">
        <v>34</v>
      </c>
      <c r="C558" s="871">
        <f>SUM(C559:C560)</f>
        <v>162000</v>
      </c>
      <c r="D558" s="871"/>
      <c r="E558" s="871"/>
      <c r="F558" s="871"/>
      <c r="G558" s="761"/>
    </row>
    <row r="559" spans="1:7" s="98" customFormat="1" ht="12.75" customHeight="1" x14ac:dyDescent="0.2">
      <c r="A559" s="663">
        <v>2223</v>
      </c>
      <c r="B559" s="629" t="s">
        <v>1601</v>
      </c>
      <c r="C559" s="637">
        <v>150000</v>
      </c>
      <c r="D559" s="637"/>
      <c r="E559" s="637"/>
      <c r="F559" s="637"/>
      <c r="G559" s="872"/>
    </row>
    <row r="560" spans="1:7" s="98" customFormat="1" x14ac:dyDescent="0.2">
      <c r="A560" s="663">
        <v>6171</v>
      </c>
      <c r="B560" s="629" t="s">
        <v>1602</v>
      </c>
      <c r="C560" s="637">
        <v>12000</v>
      </c>
      <c r="D560" s="637"/>
      <c r="E560" s="637"/>
      <c r="F560" s="637"/>
      <c r="G560" s="579"/>
    </row>
    <row r="561" spans="1:7" s="98" customFormat="1" x14ac:dyDescent="0.2">
      <c r="A561" s="732"/>
      <c r="B561" s="629"/>
      <c r="C561" s="785"/>
      <c r="D561" s="785"/>
      <c r="E561" s="785"/>
      <c r="F561" s="785"/>
      <c r="G561" s="863"/>
    </row>
    <row r="562" spans="1:7" s="558" customFormat="1" ht="20.25" x14ac:dyDescent="0.3">
      <c r="A562" s="864"/>
      <c r="B562" s="757" t="s">
        <v>624</v>
      </c>
      <c r="C562" s="760">
        <f>SUM(C563:C564)</f>
        <v>250000</v>
      </c>
      <c r="D562" s="760"/>
      <c r="E562" s="760"/>
      <c r="F562" s="760"/>
      <c r="G562" s="761"/>
    </row>
    <row r="563" spans="1:7" s="98" customFormat="1" x14ac:dyDescent="0.2">
      <c r="A563" s="660">
        <v>6115</v>
      </c>
      <c r="B563" s="626" t="s">
        <v>1603</v>
      </c>
      <c r="C563" s="637">
        <v>0</v>
      </c>
      <c r="D563" s="637"/>
      <c r="E563" s="637"/>
      <c r="F563" s="637"/>
      <c r="G563" s="639"/>
    </row>
    <row r="564" spans="1:7" s="98" customFormat="1" x14ac:dyDescent="0.2">
      <c r="A564" s="663">
        <v>6118</v>
      </c>
      <c r="B564" s="629" t="s">
        <v>1604</v>
      </c>
      <c r="C564" s="635">
        <v>250000</v>
      </c>
      <c r="D564" s="635"/>
      <c r="E564" s="635"/>
      <c r="F564" s="635"/>
      <c r="G564" s="636"/>
    </row>
    <row r="565" spans="1:7" s="98" customFormat="1" x14ac:dyDescent="0.2">
      <c r="A565" s="732"/>
      <c r="B565" s="629"/>
      <c r="C565" s="873"/>
      <c r="D565" s="873"/>
      <c r="E565" s="873"/>
      <c r="F565" s="873"/>
      <c r="G565" s="874"/>
    </row>
    <row r="566" spans="1:7" s="875" customFormat="1" ht="20.25" x14ac:dyDescent="0.3">
      <c r="A566" s="853"/>
      <c r="B566" s="876" t="s">
        <v>36</v>
      </c>
      <c r="C566" s="871">
        <f>C567+C620+C645</f>
        <v>117668120</v>
      </c>
      <c r="D566" s="871"/>
      <c r="E566" s="871"/>
      <c r="F566" s="871"/>
      <c r="G566" s="871"/>
    </row>
    <row r="567" spans="1:7" s="877" customFormat="1" ht="16.5" customHeight="1" x14ac:dyDescent="0.25">
      <c r="A567" s="802"/>
      <c r="B567" s="878" t="s">
        <v>627</v>
      </c>
      <c r="C567" s="702">
        <f>SUM(C568,C588,C619,C614)</f>
        <v>48246000</v>
      </c>
      <c r="D567" s="702"/>
      <c r="E567" s="702"/>
      <c r="F567" s="702"/>
      <c r="G567" s="879"/>
    </row>
    <row r="568" spans="1:7" s="877" customFormat="1" x14ac:dyDescent="0.2">
      <c r="A568" s="793">
        <v>3111</v>
      </c>
      <c r="B568" s="880" t="s">
        <v>628</v>
      </c>
      <c r="C568" s="807">
        <f>SUM(C569:C571)</f>
        <v>11238000</v>
      </c>
      <c r="D568" s="807"/>
      <c r="E568" s="807"/>
      <c r="F568" s="807"/>
      <c r="G568" s="834"/>
    </row>
    <row r="569" spans="1:7" s="877" customFormat="1" ht="12.75" customHeight="1" x14ac:dyDescent="0.2">
      <c r="A569" s="832"/>
      <c r="B569" s="881" t="s">
        <v>629</v>
      </c>
      <c r="C569" s="695">
        <f t="shared" ref="C569:C571" si="1">+C574+C579+C584</f>
        <v>8640000</v>
      </c>
      <c r="D569" s="695"/>
      <c r="E569" s="695"/>
      <c r="F569" s="695"/>
      <c r="G569" s="579"/>
    </row>
    <row r="570" spans="1:7" s="877" customFormat="1" ht="12.75" customHeight="1" x14ac:dyDescent="0.2">
      <c r="A570" s="832"/>
      <c r="B570" s="881" t="s">
        <v>1605</v>
      </c>
      <c r="C570" s="695">
        <f t="shared" si="1"/>
        <v>2001000</v>
      </c>
      <c r="D570" s="695"/>
      <c r="E570" s="695"/>
      <c r="F570" s="695"/>
      <c r="G570" s="579"/>
    </row>
    <row r="571" spans="1:7" s="882" customFormat="1" ht="12.75" customHeight="1" x14ac:dyDescent="0.25">
      <c r="A571" s="832"/>
      <c r="B571" s="881" t="s">
        <v>1606</v>
      </c>
      <c r="C571" s="695">
        <f t="shared" si="1"/>
        <v>597000</v>
      </c>
      <c r="D571" s="695"/>
      <c r="E571" s="695"/>
      <c r="F571" s="695"/>
      <c r="G571" s="883"/>
    </row>
    <row r="572" spans="1:7" s="877" customFormat="1" ht="12.75" customHeight="1" x14ac:dyDescent="0.2">
      <c r="A572" s="832"/>
      <c r="B572" s="881"/>
      <c r="C572" s="695"/>
      <c r="D572" s="695"/>
      <c r="E572" s="695"/>
      <c r="F572" s="695"/>
      <c r="G572" s="579"/>
    </row>
    <row r="573" spans="1:7" s="882" customFormat="1" ht="12.75" customHeight="1" x14ac:dyDescent="0.25">
      <c r="A573" s="832"/>
      <c r="B573" s="884" t="s">
        <v>1607</v>
      </c>
      <c r="C573" s="798">
        <f>C574+C575+C576</f>
        <v>4061000</v>
      </c>
      <c r="D573" s="798"/>
      <c r="E573" s="798"/>
      <c r="F573" s="798"/>
      <c r="G573" s="883"/>
    </row>
    <row r="574" spans="1:7" s="877" customFormat="1" ht="12.75" customHeight="1" x14ac:dyDescent="0.2">
      <c r="A574" s="832"/>
      <c r="B574" s="884" t="s">
        <v>1608</v>
      </c>
      <c r="C574" s="816">
        <v>2815000</v>
      </c>
      <c r="D574" s="816"/>
      <c r="E574" s="816"/>
      <c r="F574" s="816"/>
      <c r="G574" s="579"/>
    </row>
    <row r="575" spans="1:7" s="885" customFormat="1" ht="36.75" x14ac:dyDescent="0.2">
      <c r="A575" s="832" t="s">
        <v>634</v>
      </c>
      <c r="B575" s="884" t="s">
        <v>1609</v>
      </c>
      <c r="C575" s="816">
        <v>1246000</v>
      </c>
      <c r="D575" s="816"/>
      <c r="E575" s="816"/>
      <c r="F575" s="816"/>
      <c r="G575" s="842"/>
    </row>
    <row r="576" spans="1:7" s="885" customFormat="1" ht="15.75" customHeight="1" x14ac:dyDescent="0.2">
      <c r="A576" s="832"/>
      <c r="B576" s="884" t="s">
        <v>1610</v>
      </c>
      <c r="C576" s="816">
        <v>0</v>
      </c>
      <c r="D576" s="816"/>
      <c r="E576" s="816"/>
      <c r="F576" s="816"/>
      <c r="G576" s="842"/>
    </row>
    <row r="577" spans="1:7" s="885" customFormat="1" x14ac:dyDescent="0.2">
      <c r="A577" s="832"/>
      <c r="B577" s="884"/>
      <c r="C577" s="695"/>
      <c r="D577" s="695"/>
      <c r="E577" s="695"/>
      <c r="F577" s="695"/>
      <c r="G577" s="842"/>
    </row>
    <row r="578" spans="1:7" s="885" customFormat="1" x14ac:dyDescent="0.2">
      <c r="A578" s="832"/>
      <c r="B578" s="886" t="s">
        <v>1611</v>
      </c>
      <c r="C578" s="798">
        <f>SUM(C579:C581)</f>
        <v>3456000</v>
      </c>
      <c r="D578" s="798"/>
      <c r="E578" s="798"/>
      <c r="F578" s="798"/>
      <c r="G578" s="842"/>
    </row>
    <row r="579" spans="1:7" s="885" customFormat="1" ht="12.75" customHeight="1" x14ac:dyDescent="0.2">
      <c r="A579" s="832"/>
      <c r="B579" s="884" t="s">
        <v>1612</v>
      </c>
      <c r="C579" s="816">
        <v>3179000</v>
      </c>
      <c r="D579" s="816"/>
      <c r="E579" s="816"/>
      <c r="F579" s="816"/>
      <c r="G579" s="842"/>
    </row>
    <row r="580" spans="1:7" s="885" customFormat="1" ht="24.75" x14ac:dyDescent="0.2">
      <c r="A580" s="832"/>
      <c r="B580" s="884" t="s">
        <v>1613</v>
      </c>
      <c r="C580" s="816">
        <v>0</v>
      </c>
      <c r="D580" s="816"/>
      <c r="E580" s="816"/>
      <c r="F580" s="816"/>
      <c r="G580" s="842"/>
    </row>
    <row r="581" spans="1:7" s="885" customFormat="1" ht="13.5" customHeight="1" x14ac:dyDescent="0.2">
      <c r="A581" s="832"/>
      <c r="B581" s="884" t="s">
        <v>1614</v>
      </c>
      <c r="C581" s="816">
        <v>277000</v>
      </c>
      <c r="D581" s="816"/>
      <c r="E581" s="816"/>
      <c r="F581" s="816"/>
      <c r="G581" s="887"/>
    </row>
    <row r="582" spans="1:7" s="885" customFormat="1" ht="12.75" customHeight="1" x14ac:dyDescent="0.2">
      <c r="A582" s="832"/>
      <c r="B582" s="884"/>
      <c r="C582" s="816"/>
      <c r="D582" s="816"/>
      <c r="E582" s="816"/>
      <c r="F582" s="816"/>
      <c r="G582" s="842"/>
    </row>
    <row r="583" spans="1:7" s="885" customFormat="1" ht="12.75" customHeight="1" x14ac:dyDescent="0.2">
      <c r="A583" s="832"/>
      <c r="B583" s="884" t="s">
        <v>1615</v>
      </c>
      <c r="C583" s="798">
        <f>SUM(C584:C586)</f>
        <v>3721000</v>
      </c>
      <c r="D583" s="798"/>
      <c r="E583" s="798"/>
      <c r="F583" s="798"/>
      <c r="G583" s="842"/>
    </row>
    <row r="584" spans="1:7" s="885" customFormat="1" ht="12.75" customHeight="1" x14ac:dyDescent="0.2">
      <c r="A584" s="832"/>
      <c r="B584" s="884" t="s">
        <v>1616</v>
      </c>
      <c r="C584" s="816">
        <v>2646000</v>
      </c>
      <c r="D584" s="816"/>
      <c r="E584" s="816"/>
      <c r="F584" s="816"/>
      <c r="G584" s="842"/>
    </row>
    <row r="585" spans="1:7" s="885" customFormat="1" ht="44.25" customHeight="1" x14ac:dyDescent="0.2">
      <c r="A585" s="832"/>
      <c r="B585" s="884" t="s">
        <v>1617</v>
      </c>
      <c r="C585" s="816">
        <v>755000</v>
      </c>
      <c r="D585" s="816"/>
      <c r="E585" s="816"/>
      <c r="F585" s="816"/>
      <c r="G585" s="842"/>
    </row>
    <row r="586" spans="1:7" s="885" customFormat="1" ht="38.25" customHeight="1" x14ac:dyDescent="0.2">
      <c r="A586" s="832"/>
      <c r="B586" s="884" t="s">
        <v>1618</v>
      </c>
      <c r="C586" s="816">
        <v>320000</v>
      </c>
      <c r="D586" s="816"/>
      <c r="E586" s="816"/>
      <c r="F586" s="816"/>
      <c r="G586" s="842"/>
    </row>
    <row r="587" spans="1:7" s="885" customFormat="1" ht="12.75" customHeight="1" x14ac:dyDescent="0.2">
      <c r="A587" s="832"/>
      <c r="B587" s="884"/>
      <c r="C587" s="816"/>
      <c r="D587" s="816"/>
      <c r="E587" s="816"/>
      <c r="F587" s="816"/>
      <c r="G587" s="842"/>
    </row>
    <row r="588" spans="1:7" s="885" customFormat="1" x14ac:dyDescent="0.2">
      <c r="A588" s="730">
        <v>3113</v>
      </c>
      <c r="B588" s="888" t="s">
        <v>644</v>
      </c>
      <c r="C588" s="798">
        <f>SUM(C589:C592)</f>
        <v>34258000</v>
      </c>
      <c r="D588" s="798"/>
      <c r="E588" s="798"/>
      <c r="F588" s="798"/>
      <c r="G588" s="842"/>
    </row>
    <row r="589" spans="1:7" s="885" customFormat="1" ht="12.75" customHeight="1" x14ac:dyDescent="0.2">
      <c r="A589" s="730"/>
      <c r="B589" s="884" t="s">
        <v>645</v>
      </c>
      <c r="C589" s="816">
        <v>400000</v>
      </c>
      <c r="D589" s="816"/>
      <c r="E589" s="816"/>
      <c r="F589" s="816"/>
      <c r="G589" s="842"/>
    </row>
    <row r="590" spans="1:7" s="885" customFormat="1" ht="12.75" customHeight="1" x14ac:dyDescent="0.2">
      <c r="A590" s="832"/>
      <c r="B590" s="884" t="s">
        <v>646</v>
      </c>
      <c r="C590" s="695">
        <f t="shared" ref="C590:C592" si="2">+C595+C600+C605+C610</f>
        <v>26483000</v>
      </c>
      <c r="D590" s="695"/>
      <c r="E590" s="695"/>
      <c r="F590" s="695"/>
      <c r="G590" s="842"/>
    </row>
    <row r="591" spans="1:7" s="885" customFormat="1" ht="12.75" customHeight="1" x14ac:dyDescent="0.2">
      <c r="A591" s="832"/>
      <c r="B591" s="884" t="s">
        <v>647</v>
      </c>
      <c r="C591" s="695">
        <f t="shared" si="2"/>
        <v>2985000</v>
      </c>
      <c r="D591" s="695"/>
      <c r="E591" s="695"/>
      <c r="F591" s="695"/>
      <c r="G591" s="842"/>
    </row>
    <row r="592" spans="1:7" s="885" customFormat="1" ht="12.75" customHeight="1" x14ac:dyDescent="0.2">
      <c r="A592" s="832"/>
      <c r="B592" s="884" t="s">
        <v>648</v>
      </c>
      <c r="C592" s="889">
        <f t="shared" si="2"/>
        <v>4390000</v>
      </c>
      <c r="D592" s="889"/>
      <c r="E592" s="889"/>
      <c r="F592" s="889"/>
      <c r="G592" s="842"/>
    </row>
    <row r="593" spans="1:7" s="877" customFormat="1" ht="12.75" customHeight="1" x14ac:dyDescent="0.2">
      <c r="A593" s="832"/>
      <c r="B593" s="884"/>
      <c r="C593" s="889"/>
      <c r="D593" s="889"/>
      <c r="E593" s="889"/>
      <c r="F593" s="889"/>
      <c r="G593" s="579"/>
    </row>
    <row r="594" spans="1:7" s="885" customFormat="1" x14ac:dyDescent="0.2">
      <c r="A594" s="832"/>
      <c r="B594" s="884" t="s">
        <v>1619</v>
      </c>
      <c r="C594" s="798">
        <f>SUM(C595:C597)</f>
        <v>10197000</v>
      </c>
      <c r="D594" s="798"/>
      <c r="E594" s="798"/>
      <c r="F594" s="798"/>
      <c r="G594" s="842"/>
    </row>
    <row r="595" spans="1:7" s="885" customFormat="1" ht="12.75" customHeight="1" x14ac:dyDescent="0.2">
      <c r="A595" s="832"/>
      <c r="B595" s="884" t="s">
        <v>1620</v>
      </c>
      <c r="C595" s="816">
        <f>9447000</f>
        <v>9447000</v>
      </c>
      <c r="D595" s="816"/>
      <c r="E595" s="816"/>
      <c r="F595" s="816"/>
      <c r="G595" s="842"/>
    </row>
    <row r="596" spans="1:7" s="885" customFormat="1" ht="24.75" x14ac:dyDescent="0.2">
      <c r="A596" s="832"/>
      <c r="B596" s="884" t="s">
        <v>1621</v>
      </c>
      <c r="C596" s="816">
        <v>150000</v>
      </c>
      <c r="D596" s="816"/>
      <c r="E596" s="816"/>
      <c r="F596" s="816"/>
      <c r="G596" s="842"/>
    </row>
    <row r="597" spans="1:7" s="885" customFormat="1" ht="27.75" customHeight="1" x14ac:dyDescent="0.2">
      <c r="A597" s="832"/>
      <c r="B597" s="884" t="s">
        <v>1622</v>
      </c>
      <c r="C597" s="816">
        <f>500000+600000-500000</f>
        <v>600000</v>
      </c>
      <c r="D597" s="816"/>
      <c r="E597" s="816"/>
      <c r="F597" s="816"/>
      <c r="G597" s="842"/>
    </row>
    <row r="598" spans="1:7" s="885" customFormat="1" ht="12.75" customHeight="1" x14ac:dyDescent="0.2">
      <c r="A598" s="832"/>
      <c r="B598" s="884"/>
      <c r="C598" s="695"/>
      <c r="D598" s="695"/>
      <c r="E598" s="695"/>
      <c r="F598" s="695"/>
      <c r="G598" s="842"/>
    </row>
    <row r="599" spans="1:7" s="885" customFormat="1" x14ac:dyDescent="0.2">
      <c r="A599" s="832"/>
      <c r="B599" s="884" t="s">
        <v>1623</v>
      </c>
      <c r="C599" s="798">
        <f>SUM(C600:C602)</f>
        <v>6765000</v>
      </c>
      <c r="D599" s="798"/>
      <c r="E599" s="798"/>
      <c r="F599" s="798"/>
      <c r="G599" s="842"/>
    </row>
    <row r="600" spans="1:7" s="885" customFormat="1" ht="12.75" customHeight="1" x14ac:dyDescent="0.2">
      <c r="A600" s="832"/>
      <c r="B600" s="884" t="s">
        <v>1624</v>
      </c>
      <c r="C600" s="816">
        <v>5565000</v>
      </c>
      <c r="D600" s="816"/>
      <c r="E600" s="816"/>
      <c r="F600" s="816"/>
      <c r="G600" s="842"/>
    </row>
    <row r="601" spans="1:7" s="885" customFormat="1" ht="36.75" customHeight="1" x14ac:dyDescent="0.2">
      <c r="A601" s="832"/>
      <c r="B601" s="884" t="s">
        <v>1625</v>
      </c>
      <c r="C601" s="816">
        <v>0</v>
      </c>
      <c r="D601" s="816"/>
      <c r="E601" s="816"/>
      <c r="F601" s="816"/>
      <c r="G601" s="842"/>
    </row>
    <row r="602" spans="1:7" s="885" customFormat="1" x14ac:dyDescent="0.2">
      <c r="A602" s="832"/>
      <c r="B602" s="884" t="s">
        <v>1626</v>
      </c>
      <c r="C602" s="816">
        <f>1200000</f>
        <v>1200000</v>
      </c>
      <c r="D602" s="816"/>
      <c r="E602" s="816"/>
      <c r="F602" s="816"/>
      <c r="G602" s="842"/>
    </row>
    <row r="603" spans="1:7" s="885" customFormat="1" ht="12.75" customHeight="1" x14ac:dyDescent="0.2">
      <c r="A603" s="832"/>
      <c r="B603" s="884"/>
      <c r="C603" s="695"/>
      <c r="D603" s="695"/>
      <c r="E603" s="695"/>
      <c r="F603" s="695"/>
      <c r="G603" s="842"/>
    </row>
    <row r="604" spans="1:7" s="885" customFormat="1" ht="12.75" customHeight="1" x14ac:dyDescent="0.2">
      <c r="A604" s="832"/>
      <c r="B604" s="884" t="s">
        <v>1627</v>
      </c>
      <c r="C604" s="798">
        <f>SUM(C605:C607)</f>
        <v>7346000</v>
      </c>
      <c r="D604" s="798"/>
      <c r="E604" s="798"/>
      <c r="F604" s="798"/>
      <c r="G604" s="842"/>
    </row>
    <row r="605" spans="1:7" s="885" customFormat="1" ht="12.75" customHeight="1" x14ac:dyDescent="0.2">
      <c r="A605" s="832"/>
      <c r="B605" s="884" t="s">
        <v>1628</v>
      </c>
      <c r="C605" s="816">
        <v>4661000</v>
      </c>
      <c r="D605" s="816"/>
      <c r="E605" s="816"/>
      <c r="F605" s="816"/>
      <c r="G605" s="842"/>
    </row>
    <row r="606" spans="1:7" s="885" customFormat="1" ht="29.25" customHeight="1" x14ac:dyDescent="0.2">
      <c r="A606" s="832"/>
      <c r="B606" s="884" t="s">
        <v>1629</v>
      </c>
      <c r="C606" s="816">
        <v>1285000</v>
      </c>
      <c r="D606" s="816"/>
      <c r="E606" s="816"/>
      <c r="F606" s="816"/>
      <c r="G606" s="842"/>
    </row>
    <row r="607" spans="1:7" s="885" customFormat="1" ht="24.75" customHeight="1" x14ac:dyDescent="0.2">
      <c r="A607" s="832"/>
      <c r="B607" s="884" t="s">
        <v>1630</v>
      </c>
      <c r="C607" s="816">
        <f>1400000</f>
        <v>1400000</v>
      </c>
      <c r="D607" s="816"/>
      <c r="E607" s="816"/>
      <c r="F607" s="816"/>
      <c r="G607" s="842"/>
    </row>
    <row r="608" spans="1:7" s="885" customFormat="1" ht="12.75" customHeight="1" x14ac:dyDescent="0.2">
      <c r="A608" s="832"/>
      <c r="B608" s="884"/>
      <c r="C608" s="795"/>
      <c r="D608" s="795"/>
      <c r="E608" s="795"/>
      <c r="F608" s="795"/>
      <c r="G608" s="842"/>
    </row>
    <row r="609" spans="1:7" s="885" customFormat="1" x14ac:dyDescent="0.2">
      <c r="A609" s="832"/>
      <c r="B609" s="884" t="s">
        <v>1631</v>
      </c>
      <c r="C609" s="798">
        <f>SUM(C610:C612)</f>
        <v>9550000</v>
      </c>
      <c r="D609" s="798"/>
      <c r="E609" s="798"/>
      <c r="F609" s="798"/>
      <c r="G609" s="842"/>
    </row>
    <row r="610" spans="1:7" s="885" customFormat="1" ht="12.75" customHeight="1" x14ac:dyDescent="0.2">
      <c r="A610" s="832"/>
      <c r="B610" s="884" t="s">
        <v>1632</v>
      </c>
      <c r="C610" s="816">
        <v>6810000</v>
      </c>
      <c r="D610" s="816"/>
      <c r="E610" s="816"/>
      <c r="F610" s="816"/>
      <c r="G610" s="842"/>
    </row>
    <row r="611" spans="1:7" s="885" customFormat="1" ht="24.75" x14ac:dyDescent="0.2">
      <c r="A611" s="832"/>
      <c r="B611" s="884" t="s">
        <v>1633</v>
      </c>
      <c r="C611" s="816">
        <f>3250000-1700000</f>
        <v>1550000</v>
      </c>
      <c r="D611" s="816"/>
      <c r="E611" s="816"/>
      <c r="F611" s="816"/>
      <c r="G611" s="842"/>
    </row>
    <row r="612" spans="1:7" s="885" customFormat="1" ht="25.5" x14ac:dyDescent="0.2">
      <c r="A612" s="832"/>
      <c r="B612" s="884" t="s">
        <v>1634</v>
      </c>
      <c r="C612" s="816">
        <f>1190000</f>
        <v>1190000</v>
      </c>
      <c r="D612" s="816"/>
      <c r="E612" s="816"/>
      <c r="F612" s="816"/>
      <c r="G612" s="842"/>
    </row>
    <row r="613" spans="1:7" s="885" customFormat="1" ht="12.75" customHeight="1" x14ac:dyDescent="0.2">
      <c r="A613" s="832"/>
      <c r="B613" s="884"/>
      <c r="C613" s="816"/>
      <c r="D613" s="816"/>
      <c r="E613" s="816"/>
      <c r="F613" s="816"/>
      <c r="G613" s="842"/>
    </row>
    <row r="614" spans="1:7" s="885" customFormat="1" x14ac:dyDescent="0.2">
      <c r="A614" s="730">
        <v>3233</v>
      </c>
      <c r="B614" s="888" t="s">
        <v>665</v>
      </c>
      <c r="C614" s="798">
        <f>C615</f>
        <v>2670000</v>
      </c>
      <c r="D614" s="798"/>
      <c r="E614" s="798"/>
      <c r="F614" s="798"/>
      <c r="G614" s="842"/>
    </row>
    <row r="615" spans="1:7" s="885" customFormat="1" ht="12.75" customHeight="1" x14ac:dyDescent="0.2">
      <c r="A615" s="730"/>
      <c r="B615" s="884" t="s">
        <v>1635</v>
      </c>
      <c r="C615" s="890">
        <f>SUM(C616:C618)</f>
        <v>2670000</v>
      </c>
      <c r="D615" s="890"/>
      <c r="E615" s="890"/>
      <c r="F615" s="890"/>
      <c r="G615" s="842"/>
    </row>
    <row r="616" spans="1:7" s="885" customFormat="1" ht="12.75" customHeight="1" x14ac:dyDescent="0.2">
      <c r="A616" s="730"/>
      <c r="B616" s="884" t="s">
        <v>1636</v>
      </c>
      <c r="C616" s="816">
        <v>2267000</v>
      </c>
      <c r="D616" s="816"/>
      <c r="E616" s="816"/>
      <c r="F616" s="816"/>
      <c r="G616" s="842"/>
    </row>
    <row r="617" spans="1:7" s="885" customFormat="1" ht="32.25" customHeight="1" x14ac:dyDescent="0.2">
      <c r="A617" s="730"/>
      <c r="B617" s="884" t="s">
        <v>1637</v>
      </c>
      <c r="C617" s="816">
        <v>275000</v>
      </c>
      <c r="D617" s="816"/>
      <c r="E617" s="816"/>
      <c r="F617" s="816"/>
      <c r="G617" s="842"/>
    </row>
    <row r="618" spans="1:7" s="885" customFormat="1" ht="24.75" x14ac:dyDescent="0.2">
      <c r="A618" s="730"/>
      <c r="B618" s="884" t="s">
        <v>1638</v>
      </c>
      <c r="C618" s="816">
        <f>+(4175+41+87-175-4000)*1000</f>
        <v>128000</v>
      </c>
      <c r="D618" s="816"/>
      <c r="E618" s="816"/>
      <c r="F618" s="816"/>
      <c r="G618" s="842"/>
    </row>
    <row r="619" spans="1:7" s="877" customFormat="1" x14ac:dyDescent="0.2">
      <c r="A619" s="730">
        <v>3419</v>
      </c>
      <c r="B619" s="888" t="s">
        <v>1639</v>
      </c>
      <c r="C619" s="795">
        <v>80000</v>
      </c>
      <c r="D619" s="795"/>
      <c r="E619" s="795"/>
      <c r="F619" s="795"/>
      <c r="G619" s="583"/>
    </row>
    <row r="620" spans="1:7" s="877" customFormat="1" ht="15.75" x14ac:dyDescent="0.25">
      <c r="A620" s="802"/>
      <c r="B620" s="878" t="s">
        <v>671</v>
      </c>
      <c r="C620" s="702">
        <f>SUM(C621,C624,C627,C632,C636,C643)</f>
        <v>47038000</v>
      </c>
      <c r="D620" s="702"/>
      <c r="E620" s="702"/>
      <c r="F620" s="702"/>
      <c r="G620" s="702"/>
    </row>
    <row r="621" spans="1:7" s="877" customFormat="1" x14ac:dyDescent="0.2">
      <c r="A621" s="891">
        <v>3311</v>
      </c>
      <c r="B621" s="892" t="s">
        <v>1640</v>
      </c>
      <c r="C621" s="795">
        <f>SUM(C622:C623)</f>
        <v>14547000</v>
      </c>
      <c r="D621" s="795"/>
      <c r="E621" s="795"/>
      <c r="F621" s="795"/>
      <c r="G621" s="834"/>
    </row>
    <row r="622" spans="1:7" s="877" customFormat="1" ht="12.75" customHeight="1" x14ac:dyDescent="0.2">
      <c r="A622" s="893"/>
      <c r="B622" s="894" t="s">
        <v>1641</v>
      </c>
      <c r="C622" s="816">
        <v>14547000</v>
      </c>
      <c r="D622" s="816"/>
      <c r="E622" s="816"/>
      <c r="F622" s="816"/>
      <c r="G622" s="579"/>
    </row>
    <row r="623" spans="1:7" s="877" customFormat="1" x14ac:dyDescent="0.2">
      <c r="A623" s="893"/>
      <c r="B623" s="894" t="s">
        <v>1642</v>
      </c>
      <c r="C623" s="816">
        <v>0</v>
      </c>
      <c r="D623" s="816"/>
      <c r="E623" s="816"/>
      <c r="F623" s="816"/>
      <c r="G623" s="579"/>
    </row>
    <row r="624" spans="1:7" s="885" customFormat="1" x14ac:dyDescent="0.2">
      <c r="A624" s="895">
        <v>3319</v>
      </c>
      <c r="B624" s="896" t="s">
        <v>676</v>
      </c>
      <c r="C624" s="798">
        <f>SUM(C625:C626)</f>
        <v>1160000</v>
      </c>
      <c r="D624" s="798"/>
      <c r="E624" s="798"/>
      <c r="F624" s="798"/>
      <c r="G624" s="842"/>
    </row>
    <row r="625" spans="1:7" s="885" customFormat="1" ht="12.75" customHeight="1" x14ac:dyDescent="0.2">
      <c r="A625" s="895"/>
      <c r="B625" s="894" t="s">
        <v>1643</v>
      </c>
      <c r="C625" s="816">
        <v>530000</v>
      </c>
      <c r="D625" s="816"/>
      <c r="E625" s="816"/>
      <c r="F625" s="816"/>
      <c r="G625" s="842"/>
    </row>
    <row r="626" spans="1:7" s="885" customFormat="1" x14ac:dyDescent="0.2">
      <c r="A626" s="895"/>
      <c r="B626" s="897" t="s">
        <v>678</v>
      </c>
      <c r="C626" s="816">
        <v>630000</v>
      </c>
      <c r="D626" s="816"/>
      <c r="E626" s="816"/>
      <c r="F626" s="816"/>
      <c r="G626" s="842"/>
    </row>
    <row r="627" spans="1:7" s="885" customFormat="1" x14ac:dyDescent="0.2">
      <c r="A627" s="895" t="s">
        <v>1644</v>
      </c>
      <c r="B627" s="896" t="s">
        <v>679</v>
      </c>
      <c r="C627" s="798">
        <f>C628+C629+C630+C631</f>
        <v>811000</v>
      </c>
      <c r="D627" s="798"/>
      <c r="E627" s="798"/>
      <c r="F627" s="798"/>
      <c r="G627" s="842"/>
    </row>
    <row r="628" spans="1:7" s="885" customFormat="1" ht="12.75" customHeight="1" x14ac:dyDescent="0.2">
      <c r="A628" s="893"/>
      <c r="B628" s="894" t="s">
        <v>1645</v>
      </c>
      <c r="C628" s="816">
        <v>20000</v>
      </c>
      <c r="D628" s="816"/>
      <c r="E628" s="816"/>
      <c r="F628" s="816"/>
      <c r="G628" s="842"/>
    </row>
    <row r="629" spans="1:7" s="885" customFormat="1" x14ac:dyDescent="0.2">
      <c r="A629" s="893"/>
      <c r="B629" s="894" t="s">
        <v>1646</v>
      </c>
      <c r="C629" s="816">
        <v>100000</v>
      </c>
      <c r="D629" s="816"/>
      <c r="E629" s="816"/>
      <c r="F629" s="816"/>
      <c r="G629" s="842"/>
    </row>
    <row r="630" spans="1:7" s="885" customFormat="1" ht="27" customHeight="1" x14ac:dyDescent="0.2">
      <c r="A630" s="893"/>
      <c r="B630" s="894" t="s">
        <v>1647</v>
      </c>
      <c r="C630" s="816">
        <v>91000</v>
      </c>
      <c r="D630" s="816"/>
      <c r="E630" s="816"/>
      <c r="F630" s="816"/>
      <c r="G630" s="842"/>
    </row>
    <row r="631" spans="1:7" s="877" customFormat="1" ht="25.5" x14ac:dyDescent="0.2">
      <c r="A631" s="893"/>
      <c r="B631" s="894" t="s">
        <v>1648</v>
      </c>
      <c r="C631" s="816">
        <v>600000</v>
      </c>
      <c r="D631" s="816"/>
      <c r="E631" s="816"/>
      <c r="F631" s="816"/>
      <c r="G631" s="579"/>
    </row>
    <row r="632" spans="1:7" s="877" customFormat="1" x14ac:dyDescent="0.2">
      <c r="A632" s="895" t="s">
        <v>1649</v>
      </c>
      <c r="B632" s="896" t="s">
        <v>684</v>
      </c>
      <c r="C632" s="798">
        <f>C633+C634+C635</f>
        <v>1715000</v>
      </c>
      <c r="D632" s="798"/>
      <c r="E632" s="798"/>
      <c r="F632" s="798"/>
      <c r="G632" s="579"/>
    </row>
    <row r="633" spans="1:7" s="877" customFormat="1" ht="27" customHeight="1" x14ac:dyDescent="0.2">
      <c r="A633" s="893"/>
      <c r="B633" s="894" t="s">
        <v>1650</v>
      </c>
      <c r="C633" s="816">
        <v>1700000</v>
      </c>
      <c r="D633" s="816"/>
      <c r="E633" s="816"/>
      <c r="F633" s="816"/>
      <c r="G633" s="579"/>
    </row>
    <row r="634" spans="1:7" s="877" customFormat="1" ht="12.75" customHeight="1" x14ac:dyDescent="0.2">
      <c r="A634" s="893"/>
      <c r="B634" s="894"/>
      <c r="C634" s="816">
        <v>0</v>
      </c>
      <c r="D634" s="816"/>
      <c r="E634" s="816"/>
      <c r="F634" s="816"/>
      <c r="G634" s="579"/>
    </row>
    <row r="635" spans="1:7" s="877" customFormat="1" x14ac:dyDescent="0.2">
      <c r="A635" s="893"/>
      <c r="B635" s="894" t="s">
        <v>1651</v>
      </c>
      <c r="C635" s="816">
        <v>15000</v>
      </c>
      <c r="D635" s="816"/>
      <c r="E635" s="816"/>
      <c r="F635" s="816"/>
      <c r="G635" s="579"/>
    </row>
    <row r="636" spans="1:7" s="885" customFormat="1" ht="12.75" customHeight="1" x14ac:dyDescent="0.2">
      <c r="A636" s="895">
        <v>3392</v>
      </c>
      <c r="B636" s="896" t="s">
        <v>687</v>
      </c>
      <c r="C636" s="798">
        <f>C638+C637</f>
        <v>28535000</v>
      </c>
      <c r="D636" s="798"/>
      <c r="E636" s="798"/>
      <c r="F636" s="798"/>
      <c r="G636" s="842"/>
    </row>
    <row r="637" spans="1:7" s="885" customFormat="1" x14ac:dyDescent="0.2">
      <c r="A637" s="895"/>
      <c r="B637" s="894" t="s">
        <v>688</v>
      </c>
      <c r="C637" s="816">
        <v>26000</v>
      </c>
      <c r="D637" s="816"/>
      <c r="E637" s="816"/>
      <c r="F637" s="816"/>
      <c r="G637" s="842"/>
    </row>
    <row r="638" spans="1:7" s="885" customFormat="1" ht="12.75" customHeight="1" x14ac:dyDescent="0.2">
      <c r="A638" s="893"/>
      <c r="B638" s="894" t="s">
        <v>1652</v>
      </c>
      <c r="C638" s="798">
        <f>SUM(C639+C642+C641)</f>
        <v>28509000</v>
      </c>
      <c r="D638" s="798"/>
      <c r="E638" s="798"/>
      <c r="F638" s="798"/>
      <c r="G638" s="842"/>
    </row>
    <row r="639" spans="1:7" s="885" customFormat="1" ht="12.75" customHeight="1" x14ac:dyDescent="0.2">
      <c r="A639" s="893"/>
      <c r="B639" s="894" t="s">
        <v>1653</v>
      </c>
      <c r="C639" s="816">
        <v>27025000</v>
      </c>
      <c r="D639" s="816"/>
      <c r="E639" s="816"/>
      <c r="F639" s="816"/>
      <c r="G639" s="842"/>
    </row>
    <row r="640" spans="1:7" s="885" customFormat="1" ht="12.75" customHeight="1" x14ac:dyDescent="0.2">
      <c r="A640" s="893"/>
      <c r="B640" s="894" t="s">
        <v>1654</v>
      </c>
      <c r="C640" s="816"/>
      <c r="D640" s="816"/>
      <c r="E640" s="816"/>
      <c r="F640" s="816"/>
      <c r="G640" s="842"/>
    </row>
    <row r="641" spans="1:7" s="877" customFormat="1" ht="25.5" x14ac:dyDescent="0.2">
      <c r="A641" s="893"/>
      <c r="B641" s="894" t="s">
        <v>1655</v>
      </c>
      <c r="C641" s="816">
        <v>0</v>
      </c>
      <c r="D641" s="816"/>
      <c r="E641" s="816"/>
      <c r="F641" s="816"/>
      <c r="G641" s="579"/>
    </row>
    <row r="642" spans="1:7" s="877" customFormat="1" ht="23.25" customHeight="1" x14ac:dyDescent="0.2">
      <c r="A642" s="893"/>
      <c r="B642" s="894" t="s">
        <v>1656</v>
      </c>
      <c r="C642" s="816">
        <f>484000+1000000</f>
        <v>1484000</v>
      </c>
      <c r="D642" s="816"/>
      <c r="E642" s="816"/>
      <c r="F642" s="816"/>
      <c r="G642" s="579"/>
    </row>
    <row r="643" spans="1:7" s="885" customFormat="1" ht="12.75" customHeight="1" x14ac:dyDescent="0.2">
      <c r="A643" s="895">
        <v>3399</v>
      </c>
      <c r="B643" s="896" t="s">
        <v>694</v>
      </c>
      <c r="C643" s="798">
        <f>C644</f>
        <v>270000</v>
      </c>
      <c r="D643" s="798"/>
      <c r="E643" s="798"/>
      <c r="F643" s="798"/>
      <c r="G643" s="842"/>
    </row>
    <row r="644" spans="1:7" s="885" customFormat="1" x14ac:dyDescent="0.2">
      <c r="A644" s="893"/>
      <c r="B644" s="894" t="s">
        <v>695</v>
      </c>
      <c r="C644" s="816">
        <v>270000</v>
      </c>
      <c r="D644" s="816"/>
      <c r="E644" s="816"/>
      <c r="F644" s="816"/>
      <c r="G644" s="852"/>
    </row>
    <row r="645" spans="1:7" s="885" customFormat="1" ht="15.75" x14ac:dyDescent="0.25">
      <c r="A645" s="802"/>
      <c r="B645" s="803" t="s">
        <v>696</v>
      </c>
      <c r="C645" s="898">
        <f>C646</f>
        <v>22384120</v>
      </c>
      <c r="D645" s="898"/>
      <c r="E645" s="898"/>
      <c r="F645" s="898"/>
      <c r="G645" s="898"/>
    </row>
    <row r="646" spans="1:7" s="885" customFormat="1" ht="12.75" customHeight="1" x14ac:dyDescent="0.2">
      <c r="A646" s="730"/>
      <c r="B646" s="880" t="s">
        <v>697</v>
      </c>
      <c r="C646" s="632">
        <f>SUM(C647:C656)</f>
        <v>22384120</v>
      </c>
      <c r="D646" s="632"/>
      <c r="E646" s="632"/>
      <c r="F646" s="632"/>
      <c r="G646" s="568"/>
    </row>
    <row r="647" spans="1:7" s="877" customFormat="1" ht="12.75" customHeight="1" x14ac:dyDescent="0.2">
      <c r="A647" s="832"/>
      <c r="B647" s="884" t="s">
        <v>698</v>
      </c>
      <c r="C647" s="816">
        <v>1125000</v>
      </c>
      <c r="D647" s="816"/>
      <c r="E647" s="816"/>
      <c r="F647" s="816"/>
      <c r="G647" s="579"/>
    </row>
    <row r="648" spans="1:7" s="877" customFormat="1" ht="12.75" customHeight="1" x14ac:dyDescent="0.2">
      <c r="A648" s="832"/>
      <c r="B648" s="884" t="s">
        <v>699</v>
      </c>
      <c r="C648" s="816">
        <v>375000</v>
      </c>
      <c r="D648" s="816"/>
      <c r="E648" s="816"/>
      <c r="F648" s="816"/>
      <c r="G648" s="579"/>
    </row>
    <row r="649" spans="1:7" s="877" customFormat="1" ht="12.75" customHeight="1" x14ac:dyDescent="0.2">
      <c r="A649" s="832"/>
      <c r="B649" s="884" t="s">
        <v>700</v>
      </c>
      <c r="C649" s="816">
        <v>3700000</v>
      </c>
      <c r="D649" s="816"/>
      <c r="E649" s="816"/>
      <c r="F649" s="816"/>
      <c r="G649" s="579"/>
    </row>
    <row r="650" spans="1:7" s="885" customFormat="1" ht="12.75" customHeight="1" x14ac:dyDescent="0.2">
      <c r="A650" s="832"/>
      <c r="B650" s="884" t="s">
        <v>701</v>
      </c>
      <c r="C650" s="816">
        <v>6150000</v>
      </c>
      <c r="D650" s="816"/>
      <c r="E650" s="816"/>
      <c r="F650" s="816"/>
      <c r="G650" s="842"/>
    </row>
    <row r="651" spans="1:7" s="885" customFormat="1" ht="12.75" customHeight="1" x14ac:dyDescent="0.2">
      <c r="A651" s="832"/>
      <c r="B651" s="884" t="s">
        <v>702</v>
      </c>
      <c r="C651" s="816">
        <v>50000</v>
      </c>
      <c r="D651" s="816"/>
      <c r="E651" s="816"/>
      <c r="F651" s="816"/>
      <c r="G651" s="842"/>
    </row>
    <row r="652" spans="1:7" s="885" customFormat="1" ht="12.75" customHeight="1" x14ac:dyDescent="0.2">
      <c r="A652" s="832"/>
      <c r="B652" s="884" t="s">
        <v>703</v>
      </c>
      <c r="C652" s="816">
        <v>8100000</v>
      </c>
      <c r="D652" s="816"/>
      <c r="E652" s="816"/>
      <c r="F652" s="816"/>
      <c r="G652" s="842"/>
    </row>
    <row r="653" spans="1:7" s="885" customFormat="1" ht="12.75" customHeight="1" x14ac:dyDescent="0.2">
      <c r="A653" s="832"/>
      <c r="B653" s="884" t="s">
        <v>706</v>
      </c>
      <c r="C653" s="816">
        <v>1065000</v>
      </c>
      <c r="D653" s="816"/>
      <c r="E653" s="816"/>
      <c r="F653" s="816"/>
      <c r="G653" s="842"/>
    </row>
    <row r="654" spans="1:7" s="885" customFormat="1" ht="12.75" customHeight="1" x14ac:dyDescent="0.2">
      <c r="A654" s="832"/>
      <c r="B654" s="884" t="s">
        <v>707</v>
      </c>
      <c r="C654" s="816">
        <v>135000</v>
      </c>
      <c r="D654" s="816"/>
      <c r="E654" s="816"/>
      <c r="F654" s="816"/>
      <c r="G654" s="842"/>
    </row>
    <row r="655" spans="1:7" s="885" customFormat="1" ht="12.75" customHeight="1" x14ac:dyDescent="0.2">
      <c r="A655" s="832"/>
      <c r="B655" s="884" t="s">
        <v>708</v>
      </c>
      <c r="C655" s="816">
        <v>500000</v>
      </c>
      <c r="D655" s="816"/>
      <c r="E655" s="816"/>
      <c r="F655" s="816"/>
      <c r="G655" s="842"/>
    </row>
    <row r="656" spans="1:7" s="885" customFormat="1" ht="43.5" customHeight="1" x14ac:dyDescent="0.2">
      <c r="A656" s="730"/>
      <c r="B656" s="884" t="s">
        <v>1657</v>
      </c>
      <c r="C656" s="816">
        <f>+(273+555.3+50.82+90+15+200)*1000</f>
        <v>1184120</v>
      </c>
      <c r="D656" s="816"/>
      <c r="E656" s="816"/>
      <c r="F656" s="816"/>
      <c r="G656" s="842"/>
    </row>
    <row r="657" spans="1:7" x14ac:dyDescent="0.2">
      <c r="A657" s="663"/>
      <c r="B657" s="899"/>
      <c r="C657" s="694"/>
      <c r="D657" s="694"/>
      <c r="E657" s="694"/>
      <c r="F657" s="694"/>
      <c r="G657" s="900"/>
    </row>
    <row r="658" spans="1:7" s="85" customFormat="1" ht="21" customHeight="1" x14ac:dyDescent="0.3">
      <c r="A658" s="734"/>
      <c r="B658" s="757" t="s">
        <v>710</v>
      </c>
      <c r="C658" s="901">
        <f>C659</f>
        <v>28556700</v>
      </c>
      <c r="D658" s="901"/>
      <c r="E658" s="901"/>
      <c r="F658" s="901"/>
      <c r="G658" s="860"/>
    </row>
    <row r="659" spans="1:7" ht="12" customHeight="1" x14ac:dyDescent="0.2">
      <c r="A659" s="663">
        <v>5311</v>
      </c>
      <c r="B659" s="629" t="s">
        <v>711</v>
      </c>
      <c r="C659" s="637">
        <f>SUM(18300+4538.4+1647+ 0+2+350+2+132.5+143+20+264+1+245+30+3+109+3+635+275+200+15+50+10+100+6+123.8+170+750+432 )*1000</f>
        <v>28556700</v>
      </c>
      <c r="D659" s="637"/>
      <c r="E659" s="637"/>
      <c r="F659" s="637"/>
      <c r="G659" s="768"/>
    </row>
    <row r="660" spans="1:7" ht="76.5" x14ac:dyDescent="0.2">
      <c r="A660" s="663"/>
      <c r="B660" s="650" t="s">
        <v>1658</v>
      </c>
      <c r="C660" s="902" t="s">
        <v>1659</v>
      </c>
      <c r="D660" s="902"/>
      <c r="E660" s="902"/>
      <c r="F660" s="902"/>
      <c r="G660" s="903"/>
    </row>
    <row r="661" spans="1:7" ht="12.75" customHeight="1" x14ac:dyDescent="0.2">
      <c r="A661" s="732"/>
      <c r="B661" s="904"/>
      <c r="C661" s="682"/>
      <c r="D661" s="682"/>
      <c r="E661" s="682"/>
      <c r="F661" s="682"/>
      <c r="G661" s="900"/>
    </row>
    <row r="662" spans="1:7" s="85" customFormat="1" ht="20.25" x14ac:dyDescent="0.3">
      <c r="A662" s="734"/>
      <c r="B662" s="757" t="s">
        <v>41</v>
      </c>
      <c r="C662" s="871">
        <f>SUM(C663:C670)+C678+C679</f>
        <v>31499210</v>
      </c>
      <c r="D662" s="871"/>
      <c r="E662" s="871"/>
      <c r="F662" s="871"/>
      <c r="G662" s="905"/>
    </row>
    <row r="663" spans="1:7" ht="36.75" x14ac:dyDescent="0.25">
      <c r="A663" s="906">
        <v>3429</v>
      </c>
      <c r="B663" s="650" t="s">
        <v>1660</v>
      </c>
      <c r="C663" s="687">
        <v>690000</v>
      </c>
      <c r="D663" s="687"/>
      <c r="E663" s="687"/>
      <c r="F663" s="687"/>
      <c r="G663" s="907"/>
    </row>
    <row r="664" spans="1:7" s="98" customFormat="1" ht="36.75" x14ac:dyDescent="0.2">
      <c r="A664" s="660">
        <v>5212</v>
      </c>
      <c r="B664" s="688" t="s">
        <v>1661</v>
      </c>
      <c r="C664" s="637">
        <v>110000</v>
      </c>
      <c r="D664" s="637"/>
      <c r="E664" s="637"/>
      <c r="F664" s="637"/>
      <c r="G664" s="639"/>
    </row>
    <row r="665" spans="1:7" s="244" customFormat="1" ht="36.75" x14ac:dyDescent="0.25">
      <c r="A665" s="663">
        <v>5213</v>
      </c>
      <c r="B665" s="634" t="s">
        <v>1662</v>
      </c>
      <c r="C665" s="637">
        <v>200000</v>
      </c>
      <c r="D665" s="637"/>
      <c r="E665" s="637"/>
      <c r="F665" s="637"/>
      <c r="G665" s="639"/>
    </row>
    <row r="666" spans="1:7" s="98" customFormat="1" ht="24.75" x14ac:dyDescent="0.2">
      <c r="A666" s="663">
        <v>5273</v>
      </c>
      <c r="B666" s="634" t="s">
        <v>1663</v>
      </c>
      <c r="C666" s="637">
        <v>5000</v>
      </c>
      <c r="D666" s="637"/>
      <c r="E666" s="637"/>
      <c r="F666" s="637"/>
      <c r="G666" s="636"/>
    </row>
    <row r="667" spans="1:7" s="244" customFormat="1" ht="15.75" x14ac:dyDescent="0.25">
      <c r="A667" s="663">
        <v>5511</v>
      </c>
      <c r="B667" s="634" t="s">
        <v>1664</v>
      </c>
      <c r="C667" s="637">
        <v>2100000</v>
      </c>
      <c r="D667" s="637"/>
      <c r="E667" s="637"/>
      <c r="F667" s="637"/>
      <c r="G667" s="636"/>
    </row>
    <row r="668" spans="1:7" s="244" customFormat="1" ht="36.75" x14ac:dyDescent="0.25">
      <c r="A668" s="663">
        <v>5512</v>
      </c>
      <c r="B668" s="634" t="s">
        <v>1665</v>
      </c>
      <c r="C668" s="637">
        <v>125000</v>
      </c>
      <c r="D668" s="637"/>
      <c r="E668" s="637"/>
      <c r="F668" s="637"/>
      <c r="G668" s="636"/>
    </row>
    <row r="669" spans="1:7" s="244" customFormat="1" ht="15.75" x14ac:dyDescent="0.25">
      <c r="A669" s="663">
        <v>6112</v>
      </c>
      <c r="B669" s="634" t="s">
        <v>1666</v>
      </c>
      <c r="C669" s="637">
        <v>0</v>
      </c>
      <c r="D669" s="637"/>
      <c r="E669" s="637"/>
      <c r="F669" s="637"/>
      <c r="G669" s="636"/>
    </row>
    <row r="670" spans="1:7" s="244" customFormat="1" ht="12.75" customHeight="1" x14ac:dyDescent="0.25">
      <c r="A670" s="663">
        <v>6171</v>
      </c>
      <c r="B670" s="629" t="s">
        <v>719</v>
      </c>
      <c r="C670" s="635">
        <f>SUM(C671+C672+C673+C674+C675+C676+C677)</f>
        <v>26719210</v>
      </c>
      <c r="D670" s="635"/>
      <c r="E670" s="635"/>
      <c r="F670" s="635"/>
      <c r="G670" s="633"/>
    </row>
    <row r="671" spans="1:7" s="244" customFormat="1" ht="132" x14ac:dyDescent="0.25">
      <c r="A671" s="663"/>
      <c r="B671" s="908" t="s">
        <v>1667</v>
      </c>
      <c r="C671" s="644">
        <v>19068500</v>
      </c>
      <c r="D671" s="644"/>
      <c r="E671" s="644"/>
      <c r="F671" s="644"/>
      <c r="G671" s="651"/>
    </row>
    <row r="672" spans="1:7" s="244" customFormat="1" ht="15.75" x14ac:dyDescent="0.25">
      <c r="A672" s="663"/>
      <c r="B672" s="908" t="s">
        <v>1668</v>
      </c>
      <c r="C672" s="644">
        <v>200000</v>
      </c>
      <c r="D672" s="644"/>
      <c r="E672" s="644"/>
      <c r="F672" s="644"/>
      <c r="G672" s="651"/>
    </row>
    <row r="673" spans="1:7" s="98" customFormat="1" ht="36" x14ac:dyDescent="0.2">
      <c r="A673" s="664"/>
      <c r="B673" s="909" t="s">
        <v>1669</v>
      </c>
      <c r="C673" s="644">
        <v>5480300</v>
      </c>
      <c r="D673" s="644"/>
      <c r="E673" s="644"/>
      <c r="F673" s="644"/>
      <c r="G673" s="651"/>
    </row>
    <row r="674" spans="1:7" ht="24" x14ac:dyDescent="0.2">
      <c r="A674" s="664"/>
      <c r="B674" s="909" t="s">
        <v>1670</v>
      </c>
      <c r="C674" s="644">
        <v>1512810</v>
      </c>
      <c r="D674" s="644"/>
      <c r="E674" s="644"/>
      <c r="F674" s="644"/>
      <c r="G674" s="651"/>
    </row>
    <row r="675" spans="1:7" x14ac:dyDescent="0.2">
      <c r="A675" s="664"/>
      <c r="B675" s="643" t="s">
        <v>1671</v>
      </c>
      <c r="C675" s="644">
        <v>200000</v>
      </c>
      <c r="D675" s="644"/>
      <c r="E675" s="644"/>
      <c r="F675" s="644"/>
      <c r="G675" s="651"/>
    </row>
    <row r="676" spans="1:7" x14ac:dyDescent="0.2">
      <c r="A676" s="664"/>
      <c r="B676" s="643" t="s">
        <v>1672</v>
      </c>
      <c r="C676" s="644">
        <v>60000</v>
      </c>
      <c r="D676" s="644"/>
      <c r="E676" s="644"/>
      <c r="F676" s="644"/>
      <c r="G676" s="651"/>
    </row>
    <row r="677" spans="1:7" ht="24.75" x14ac:dyDescent="0.2">
      <c r="A677" s="664"/>
      <c r="B677" s="650" t="s">
        <v>1673</v>
      </c>
      <c r="C677" s="644">
        <v>197600</v>
      </c>
      <c r="D677" s="644"/>
      <c r="E677" s="644"/>
      <c r="F677" s="644"/>
      <c r="G677" s="651"/>
    </row>
    <row r="678" spans="1:7" x14ac:dyDescent="0.2">
      <c r="A678" s="663">
        <v>6221</v>
      </c>
      <c r="B678" s="634" t="s">
        <v>1674</v>
      </c>
      <c r="C678" s="637">
        <v>0</v>
      </c>
      <c r="D678" s="637"/>
      <c r="E678" s="637"/>
      <c r="F678" s="637"/>
      <c r="G678" s="651"/>
    </row>
    <row r="679" spans="1:7" ht="12.75" customHeight="1" x14ac:dyDescent="0.2">
      <c r="A679" s="663">
        <v>6320</v>
      </c>
      <c r="B679" s="629" t="s">
        <v>1675</v>
      </c>
      <c r="C679" s="637">
        <v>1550000</v>
      </c>
      <c r="D679" s="637"/>
      <c r="E679" s="637"/>
      <c r="F679" s="637"/>
      <c r="G679" s="636"/>
    </row>
    <row r="680" spans="1:7" ht="12.75" customHeight="1" x14ac:dyDescent="0.2">
      <c r="A680" s="861"/>
      <c r="B680" s="910"/>
      <c r="C680" s="682"/>
      <c r="D680" s="682"/>
      <c r="E680" s="682"/>
      <c r="F680" s="682"/>
      <c r="G680" s="911"/>
    </row>
    <row r="681" spans="1:7" s="85" customFormat="1" ht="20.25" x14ac:dyDescent="0.3">
      <c r="A681" s="734"/>
      <c r="B681" s="757" t="s">
        <v>729</v>
      </c>
      <c r="C681" s="912">
        <f>C683+C684+C688+C682</f>
        <v>166253060</v>
      </c>
      <c r="D681" s="912"/>
      <c r="E681" s="912"/>
      <c r="F681" s="912"/>
      <c r="G681" s="913"/>
    </row>
    <row r="682" spans="1:7" s="98" customFormat="1" x14ac:dyDescent="0.2">
      <c r="A682" s="737">
        <v>3341</v>
      </c>
      <c r="B682" s="914" t="s">
        <v>1676</v>
      </c>
      <c r="C682" s="637">
        <v>2601000</v>
      </c>
      <c r="D682" s="637"/>
      <c r="E682" s="637"/>
      <c r="F682" s="637"/>
      <c r="G682" s="915"/>
    </row>
    <row r="683" spans="1:7" s="98" customFormat="1" ht="36.75" x14ac:dyDescent="0.2">
      <c r="A683" s="663">
        <v>6112</v>
      </c>
      <c r="B683" s="634" t="s">
        <v>1677</v>
      </c>
      <c r="C683" s="637">
        <v>9066800</v>
      </c>
      <c r="D683" s="637"/>
      <c r="E683" s="637"/>
      <c r="F683" s="637"/>
      <c r="G683" s="729"/>
    </row>
    <row r="684" spans="1:7" x14ac:dyDescent="0.2">
      <c r="A684" s="663">
        <v>6171</v>
      </c>
      <c r="B684" s="629" t="s">
        <v>719</v>
      </c>
      <c r="C684" s="637">
        <f>SUM(C685:C687)</f>
        <v>148579260</v>
      </c>
      <c r="D684" s="637"/>
      <c r="E684" s="637"/>
      <c r="F684" s="637"/>
      <c r="G684" s="916"/>
    </row>
    <row r="685" spans="1:7" ht="45.75" customHeight="1" x14ac:dyDescent="0.2">
      <c r="A685" s="660"/>
      <c r="B685" s="917" t="s">
        <v>1678</v>
      </c>
      <c r="C685" s="644">
        <f>130618600+94000</f>
        <v>130712600</v>
      </c>
      <c r="D685" s="644"/>
      <c r="E685" s="644"/>
      <c r="F685" s="644"/>
      <c r="G685" s="746"/>
    </row>
    <row r="686" spans="1:7" ht="15.75" x14ac:dyDescent="0.25">
      <c r="A686" s="918"/>
      <c r="B686" s="650" t="s">
        <v>1679</v>
      </c>
      <c r="C686" s="644">
        <v>9025940</v>
      </c>
      <c r="D686" s="644"/>
      <c r="E686" s="644"/>
      <c r="F686" s="644"/>
      <c r="G686" s="751"/>
    </row>
    <row r="687" spans="1:7" ht="36.75" x14ac:dyDescent="0.25">
      <c r="A687" s="918"/>
      <c r="B687" s="634" t="s">
        <v>1680</v>
      </c>
      <c r="C687" s="644">
        <f>8934720-94000</f>
        <v>8840720</v>
      </c>
      <c r="D687" s="644"/>
      <c r="E687" s="644"/>
      <c r="F687" s="644"/>
      <c r="G687" s="746"/>
    </row>
    <row r="688" spans="1:7" x14ac:dyDescent="0.2">
      <c r="A688" s="663">
        <v>6330</v>
      </c>
      <c r="B688" s="629" t="s">
        <v>734</v>
      </c>
      <c r="C688" s="919">
        <v>6006000</v>
      </c>
      <c r="D688" s="919"/>
      <c r="E688" s="919"/>
      <c r="F688" s="919"/>
      <c r="G688" s="696"/>
    </row>
    <row r="689" spans="1:7" s="85" customFormat="1" ht="20.25" x14ac:dyDescent="0.3">
      <c r="A689" s="734"/>
      <c r="B689" s="757" t="s">
        <v>43</v>
      </c>
      <c r="C689" s="920">
        <f>C690+C717</f>
        <v>15923250</v>
      </c>
      <c r="D689" s="920"/>
      <c r="E689" s="920"/>
      <c r="F689" s="920"/>
      <c r="G689" s="921"/>
    </row>
    <row r="690" spans="1:7" ht="15.75" x14ac:dyDescent="0.25">
      <c r="A690" s="621"/>
      <c r="B690" s="657" t="s">
        <v>735</v>
      </c>
      <c r="C690" s="623">
        <f>C691+C692+C693+C694+C697+C699+C701+C703+C705+C707+C715+C716</f>
        <v>1300000</v>
      </c>
      <c r="D690" s="623"/>
      <c r="E690" s="623"/>
      <c r="F690" s="623"/>
      <c r="G690" s="742"/>
    </row>
    <row r="691" spans="1:7" x14ac:dyDescent="0.2">
      <c r="A691" s="663">
        <v>2293</v>
      </c>
      <c r="B691" s="629" t="s">
        <v>736</v>
      </c>
      <c r="C691" s="637">
        <v>0</v>
      </c>
      <c r="D691" s="637"/>
      <c r="E691" s="637"/>
      <c r="F691" s="637"/>
      <c r="G691" s="639"/>
    </row>
    <row r="692" spans="1:7" x14ac:dyDescent="0.2">
      <c r="A692" s="663">
        <v>3613</v>
      </c>
      <c r="B692" s="629" t="s">
        <v>1681</v>
      </c>
      <c r="C692" s="637">
        <v>3000</v>
      </c>
      <c r="D692" s="637"/>
      <c r="E692" s="637"/>
      <c r="F692" s="637"/>
      <c r="G692" s="639"/>
    </row>
    <row r="693" spans="1:7" s="244" customFormat="1" ht="15.75" x14ac:dyDescent="0.25">
      <c r="A693" s="663">
        <v>3632</v>
      </c>
      <c r="B693" s="629" t="s">
        <v>1682</v>
      </c>
      <c r="C693" s="637">
        <v>200000</v>
      </c>
      <c r="D693" s="637"/>
      <c r="E693" s="637"/>
      <c r="F693" s="637"/>
      <c r="G693" s="639"/>
    </row>
    <row r="694" spans="1:7" s="244" customFormat="1" ht="12.75" customHeight="1" x14ac:dyDescent="0.25">
      <c r="A694" s="663">
        <v>4329</v>
      </c>
      <c r="B694" s="629" t="s">
        <v>739</v>
      </c>
      <c r="C694" s="635">
        <f>SUM(C695:C696)</f>
        <v>258000</v>
      </c>
      <c r="D694" s="635"/>
      <c r="E694" s="635"/>
      <c r="F694" s="635"/>
      <c r="G694" s="636"/>
    </row>
    <row r="695" spans="1:7" s="98" customFormat="1" x14ac:dyDescent="0.2">
      <c r="A695" s="663"/>
      <c r="B695" s="672" t="s">
        <v>1683</v>
      </c>
      <c r="C695" s="644">
        <v>8000</v>
      </c>
      <c r="D695" s="644"/>
      <c r="E695" s="644"/>
      <c r="F695" s="644"/>
      <c r="G695" s="670"/>
    </row>
    <row r="696" spans="1:7" s="98" customFormat="1" x14ac:dyDescent="0.2">
      <c r="A696" s="663"/>
      <c r="B696" s="672" t="s">
        <v>1684</v>
      </c>
      <c r="C696" s="644">
        <v>250000</v>
      </c>
      <c r="D696" s="644"/>
      <c r="E696" s="644"/>
      <c r="F696" s="644"/>
      <c r="G696" s="670"/>
    </row>
    <row r="697" spans="1:7" s="98" customFormat="1" x14ac:dyDescent="0.2">
      <c r="A697" s="663">
        <v>4344</v>
      </c>
      <c r="B697" s="629" t="s">
        <v>745</v>
      </c>
      <c r="C697" s="635">
        <f t="shared" ref="C697:C705" si="3">SUM(C698:C698)</f>
        <v>0</v>
      </c>
      <c r="D697" s="635"/>
      <c r="E697" s="635"/>
      <c r="F697" s="635"/>
      <c r="G697" s="636"/>
    </row>
    <row r="698" spans="1:7" s="98" customFormat="1" x14ac:dyDescent="0.2">
      <c r="A698" s="664"/>
      <c r="B698" s="629" t="s">
        <v>1685</v>
      </c>
      <c r="C698" s="644">
        <v>0</v>
      </c>
      <c r="D698" s="644"/>
      <c r="E698" s="644"/>
      <c r="F698" s="644"/>
      <c r="G698" s="922"/>
    </row>
    <row r="699" spans="1:7" x14ac:dyDescent="0.2">
      <c r="A699" s="663">
        <v>4349</v>
      </c>
      <c r="B699" s="629" t="s">
        <v>747</v>
      </c>
      <c r="C699" s="635">
        <f t="shared" si="3"/>
        <v>300000</v>
      </c>
      <c r="D699" s="635"/>
      <c r="E699" s="635"/>
      <c r="F699" s="635"/>
      <c r="G699" s="636"/>
    </row>
    <row r="700" spans="1:7" x14ac:dyDescent="0.2">
      <c r="A700" s="664"/>
      <c r="B700" s="643" t="s">
        <v>1686</v>
      </c>
      <c r="C700" s="644">
        <v>300000</v>
      </c>
      <c r="D700" s="644"/>
      <c r="E700" s="644"/>
      <c r="F700" s="644"/>
      <c r="G700" s="784"/>
    </row>
    <row r="701" spans="1:7" x14ac:dyDescent="0.2">
      <c r="A701" s="663">
        <v>4351</v>
      </c>
      <c r="B701" s="629" t="s">
        <v>750</v>
      </c>
      <c r="C701" s="635">
        <f t="shared" si="3"/>
        <v>0</v>
      </c>
      <c r="D701" s="635"/>
      <c r="E701" s="635"/>
      <c r="F701" s="635"/>
      <c r="G701" s="636"/>
    </row>
    <row r="702" spans="1:7" s="98" customFormat="1" x14ac:dyDescent="0.2">
      <c r="A702" s="664"/>
      <c r="B702" s="672" t="s">
        <v>1687</v>
      </c>
      <c r="C702" s="644">
        <v>0</v>
      </c>
      <c r="D702" s="644"/>
      <c r="E702" s="644"/>
      <c r="F702" s="644"/>
      <c r="G702" s="645"/>
    </row>
    <row r="703" spans="1:7" x14ac:dyDescent="0.2">
      <c r="A703" s="663">
        <v>4371</v>
      </c>
      <c r="B703" s="629" t="s">
        <v>752</v>
      </c>
      <c r="C703" s="635">
        <f t="shared" si="3"/>
        <v>0</v>
      </c>
      <c r="D703" s="635"/>
      <c r="E703" s="635"/>
      <c r="F703" s="635"/>
      <c r="G703" s="636"/>
    </row>
    <row r="704" spans="1:7" x14ac:dyDescent="0.2">
      <c r="A704" s="664"/>
      <c r="B704" s="672" t="s">
        <v>1687</v>
      </c>
      <c r="C704" s="644">
        <v>0</v>
      </c>
      <c r="D704" s="644"/>
      <c r="E704" s="644"/>
      <c r="F704" s="644"/>
      <c r="G704" s="645"/>
    </row>
    <row r="705" spans="1:7" s="98" customFormat="1" x14ac:dyDescent="0.2">
      <c r="A705" s="663">
        <v>4374</v>
      </c>
      <c r="B705" s="923" t="s">
        <v>753</v>
      </c>
      <c r="C705" s="635">
        <f t="shared" si="3"/>
        <v>0</v>
      </c>
      <c r="D705" s="635"/>
      <c r="E705" s="635"/>
      <c r="F705" s="635"/>
      <c r="G705" s="636"/>
    </row>
    <row r="706" spans="1:7" x14ac:dyDescent="0.2">
      <c r="A706" s="664"/>
      <c r="B706" s="672" t="s">
        <v>1687</v>
      </c>
      <c r="C706" s="644">
        <v>0</v>
      </c>
      <c r="D706" s="644"/>
      <c r="E706" s="644"/>
      <c r="F706" s="644"/>
      <c r="G706" s="645"/>
    </row>
    <row r="707" spans="1:7" s="98" customFormat="1" x14ac:dyDescent="0.2">
      <c r="A707" s="663">
        <v>4379</v>
      </c>
      <c r="B707" s="629" t="s">
        <v>754</v>
      </c>
      <c r="C707" s="635">
        <f>SUM(C708:C714)</f>
        <v>434000</v>
      </c>
      <c r="D707" s="635"/>
      <c r="E707" s="635"/>
      <c r="F707" s="635"/>
      <c r="G707" s="636"/>
    </row>
    <row r="708" spans="1:7" x14ac:dyDescent="0.2">
      <c r="A708" s="664"/>
      <c r="B708" s="643" t="s">
        <v>1688</v>
      </c>
      <c r="C708" s="644">
        <v>209000</v>
      </c>
      <c r="D708" s="644"/>
      <c r="E708" s="644"/>
      <c r="F708" s="644"/>
      <c r="G708" s="645"/>
    </row>
    <row r="709" spans="1:7" s="419" customFormat="1" x14ac:dyDescent="0.2">
      <c r="A709" s="664"/>
      <c r="B709" s="643" t="s">
        <v>1689</v>
      </c>
      <c r="C709" s="644">
        <v>62000</v>
      </c>
      <c r="D709" s="644"/>
      <c r="E709" s="644"/>
      <c r="F709" s="644"/>
      <c r="G709" s="645"/>
    </row>
    <row r="710" spans="1:7" x14ac:dyDescent="0.2">
      <c r="A710" s="664"/>
      <c r="B710" s="643" t="s">
        <v>1690</v>
      </c>
      <c r="C710" s="644">
        <v>53000</v>
      </c>
      <c r="D710" s="644"/>
      <c r="E710" s="644"/>
      <c r="F710" s="644"/>
      <c r="G710" s="645"/>
    </row>
    <row r="711" spans="1:7" s="98" customFormat="1" x14ac:dyDescent="0.2">
      <c r="A711" s="664"/>
      <c r="B711" s="643" t="s">
        <v>1691</v>
      </c>
      <c r="C711" s="644">
        <v>10000</v>
      </c>
      <c r="D711" s="644"/>
      <c r="E711" s="644"/>
      <c r="F711" s="644"/>
      <c r="G711" s="645"/>
    </row>
    <row r="712" spans="1:7" s="98" customFormat="1" x14ac:dyDescent="0.2">
      <c r="A712" s="664"/>
      <c r="B712" s="643" t="s">
        <v>1692</v>
      </c>
      <c r="C712" s="644">
        <v>100000</v>
      </c>
      <c r="D712" s="644"/>
      <c r="E712" s="644"/>
      <c r="F712" s="644"/>
      <c r="G712" s="645"/>
    </row>
    <row r="713" spans="1:7" s="98" customFormat="1" x14ac:dyDescent="0.2">
      <c r="A713" s="664"/>
      <c r="B713" s="643" t="s">
        <v>1693</v>
      </c>
      <c r="C713" s="644">
        <v>0</v>
      </c>
      <c r="D713" s="644"/>
      <c r="E713" s="644"/>
      <c r="F713" s="644"/>
      <c r="G713" s="645"/>
    </row>
    <row r="714" spans="1:7" s="98" customFormat="1" x14ac:dyDescent="0.2">
      <c r="A714" s="664"/>
      <c r="B714" s="643" t="s">
        <v>1694</v>
      </c>
      <c r="C714" s="644">
        <v>0</v>
      </c>
      <c r="D714" s="644"/>
      <c r="E714" s="644"/>
      <c r="F714" s="644"/>
      <c r="G714" s="645"/>
    </row>
    <row r="715" spans="1:7" x14ac:dyDescent="0.2">
      <c r="A715" s="663">
        <v>4399</v>
      </c>
      <c r="B715" s="629" t="s">
        <v>1695</v>
      </c>
      <c r="C715" s="637">
        <v>5000</v>
      </c>
      <c r="D715" s="637"/>
      <c r="E715" s="637"/>
      <c r="F715" s="637"/>
      <c r="G715" s="633"/>
    </row>
    <row r="716" spans="1:7" x14ac:dyDescent="0.2">
      <c r="A716" s="699">
        <v>6409</v>
      </c>
      <c r="B716" s="924" t="s">
        <v>1696</v>
      </c>
      <c r="C716" s="919">
        <v>100000</v>
      </c>
      <c r="D716" s="919"/>
      <c r="E716" s="919"/>
      <c r="F716" s="919"/>
      <c r="G716" s="638"/>
    </row>
    <row r="717" spans="1:7" ht="15.75" x14ac:dyDescent="0.25">
      <c r="A717" s="621"/>
      <c r="B717" s="657" t="s">
        <v>761</v>
      </c>
      <c r="C717" s="777">
        <f>C718</f>
        <v>14623250</v>
      </c>
      <c r="D717" s="777"/>
      <c r="E717" s="777"/>
      <c r="F717" s="777"/>
      <c r="G717" s="685"/>
    </row>
    <row r="718" spans="1:7" x14ac:dyDescent="0.2">
      <c r="A718" s="692"/>
      <c r="B718" s="626" t="s">
        <v>762</v>
      </c>
      <c r="C718" s="635">
        <f>SUM(C719:C730)</f>
        <v>14623250</v>
      </c>
      <c r="D718" s="635"/>
      <c r="E718" s="635"/>
      <c r="F718" s="635"/>
      <c r="G718" s="636"/>
    </row>
    <row r="719" spans="1:7" s="98" customFormat="1" x14ac:dyDescent="0.2">
      <c r="A719" s="692"/>
      <c r="B719" s="643" t="s">
        <v>763</v>
      </c>
      <c r="C719" s="644">
        <v>420000</v>
      </c>
      <c r="D719" s="644"/>
      <c r="E719" s="644"/>
      <c r="F719" s="644"/>
      <c r="G719" s="925"/>
    </row>
    <row r="720" spans="1:7" x14ac:dyDescent="0.2">
      <c r="A720" s="692"/>
      <c r="B720" s="643" t="s">
        <v>764</v>
      </c>
      <c r="C720" s="644">
        <v>170000</v>
      </c>
      <c r="D720" s="644"/>
      <c r="E720" s="644"/>
      <c r="F720" s="644"/>
      <c r="G720" s="647"/>
    </row>
    <row r="721" spans="1:7" x14ac:dyDescent="0.2">
      <c r="A721" s="692"/>
      <c r="B721" s="643" t="s">
        <v>765</v>
      </c>
      <c r="C721" s="644">
        <v>8008175</v>
      </c>
      <c r="D721" s="644"/>
      <c r="E721" s="644"/>
      <c r="F721" s="644"/>
      <c r="G721" s="645"/>
    </row>
    <row r="722" spans="1:7" x14ac:dyDescent="0.2">
      <c r="A722" s="692"/>
      <c r="B722" s="643" t="s">
        <v>766</v>
      </c>
      <c r="C722" s="644">
        <v>1102075</v>
      </c>
      <c r="D722" s="644"/>
      <c r="E722" s="644"/>
      <c r="F722" s="644"/>
      <c r="G722" s="647"/>
    </row>
    <row r="723" spans="1:7" x14ac:dyDescent="0.2">
      <c r="A723" s="692"/>
      <c r="B723" s="643" t="s">
        <v>767</v>
      </c>
      <c r="C723" s="644">
        <v>200000</v>
      </c>
      <c r="D723" s="644"/>
      <c r="E723" s="644"/>
      <c r="F723" s="644"/>
      <c r="G723" s="645"/>
    </row>
    <row r="724" spans="1:7" x14ac:dyDescent="0.2">
      <c r="A724" s="692"/>
      <c r="B724" s="643" t="s">
        <v>768</v>
      </c>
      <c r="C724" s="644">
        <v>220000</v>
      </c>
      <c r="D724" s="644"/>
      <c r="E724" s="644"/>
      <c r="F724" s="644"/>
      <c r="G724" s="645"/>
    </row>
    <row r="725" spans="1:7" x14ac:dyDescent="0.2">
      <c r="A725" s="692"/>
      <c r="B725" s="643" t="s">
        <v>1697</v>
      </c>
      <c r="C725" s="644">
        <v>2000000</v>
      </c>
      <c r="D725" s="644"/>
      <c r="E725" s="644"/>
      <c r="F725" s="644"/>
      <c r="G725" s="645"/>
    </row>
    <row r="726" spans="1:7" x14ac:dyDescent="0.2">
      <c r="A726" s="663"/>
      <c r="B726" s="643" t="s">
        <v>769</v>
      </c>
      <c r="C726" s="644">
        <v>150000</v>
      </c>
      <c r="D726" s="644"/>
      <c r="E726" s="644"/>
      <c r="F726" s="644"/>
      <c r="G726" s="645"/>
    </row>
    <row r="727" spans="1:7" ht="24.75" customHeight="1" x14ac:dyDescent="0.2">
      <c r="A727" s="663"/>
      <c r="B727" s="926" t="s">
        <v>1698</v>
      </c>
      <c r="C727" s="644">
        <v>0</v>
      </c>
      <c r="D727" s="644"/>
      <c r="E727" s="644"/>
      <c r="F727" s="644"/>
      <c r="G727" s="925"/>
    </row>
    <row r="728" spans="1:7" ht="24.75" customHeight="1" x14ac:dyDescent="0.2">
      <c r="A728" s="663"/>
      <c r="B728" s="926" t="s">
        <v>1699</v>
      </c>
      <c r="C728" s="644">
        <v>2310000</v>
      </c>
      <c r="D728" s="644"/>
      <c r="E728" s="644"/>
      <c r="F728" s="644"/>
      <c r="G728" s="925"/>
    </row>
    <row r="729" spans="1:7" x14ac:dyDescent="0.2">
      <c r="A729" s="663"/>
      <c r="B729" s="643" t="s">
        <v>770</v>
      </c>
      <c r="C729" s="644">
        <v>0</v>
      </c>
      <c r="D729" s="644"/>
      <c r="E729" s="644"/>
      <c r="F729" s="644"/>
      <c r="G729" s="645"/>
    </row>
    <row r="730" spans="1:7" x14ac:dyDescent="0.2">
      <c r="A730" s="663"/>
      <c r="B730" s="643" t="s">
        <v>1700</v>
      </c>
      <c r="C730" s="644">
        <v>43000</v>
      </c>
      <c r="D730" s="644"/>
      <c r="E730" s="644"/>
      <c r="F730" s="644"/>
      <c r="G730" s="645"/>
    </row>
    <row r="731" spans="1:7" x14ac:dyDescent="0.2">
      <c r="A731" s="699"/>
      <c r="B731" s="700"/>
      <c r="C731" s="694"/>
      <c r="D731" s="694"/>
      <c r="E731" s="694"/>
      <c r="F731" s="694"/>
      <c r="G731" s="647"/>
    </row>
    <row r="732" spans="1:7" s="85" customFormat="1" ht="20.25" x14ac:dyDescent="0.3">
      <c r="A732" s="853"/>
      <c r="B732" s="854" t="s">
        <v>771</v>
      </c>
      <c r="C732" s="855">
        <f>C733</f>
        <v>18717400</v>
      </c>
      <c r="D732" s="855"/>
      <c r="E732" s="855"/>
      <c r="F732" s="855"/>
      <c r="G732" s="860"/>
    </row>
    <row r="733" spans="1:7" x14ac:dyDescent="0.2">
      <c r="A733" s="699">
        <v>4351</v>
      </c>
      <c r="B733" s="626" t="s">
        <v>772</v>
      </c>
      <c r="C733" s="927">
        <f>SUM(C734:C737)</f>
        <v>18717400</v>
      </c>
      <c r="D733" s="927"/>
      <c r="E733" s="927"/>
      <c r="F733" s="927"/>
      <c r="G733" s="928"/>
    </row>
    <row r="734" spans="1:7" ht="60.75" x14ac:dyDescent="0.2">
      <c r="A734" s="664"/>
      <c r="B734" s="917" t="s">
        <v>1701</v>
      </c>
      <c r="C734" s="652">
        <v>8129900</v>
      </c>
      <c r="D734" s="652"/>
      <c r="E734" s="652"/>
      <c r="F734" s="652"/>
      <c r="G734" s="651"/>
    </row>
    <row r="735" spans="1:7" ht="48.75" x14ac:dyDescent="0.2">
      <c r="A735" s="664"/>
      <c r="B735" s="917" t="s">
        <v>1702</v>
      </c>
      <c r="C735" s="644">
        <v>2171000</v>
      </c>
      <c r="D735" s="644"/>
      <c r="E735" s="644"/>
      <c r="F735" s="644"/>
      <c r="G735" s="670"/>
    </row>
    <row r="736" spans="1:7" ht="36.75" x14ac:dyDescent="0.2">
      <c r="A736" s="663"/>
      <c r="B736" s="917" t="s">
        <v>1703</v>
      </c>
      <c r="C736" s="644">
        <v>6516500</v>
      </c>
      <c r="D736" s="644"/>
      <c r="E736" s="644"/>
      <c r="F736" s="644"/>
      <c r="G736" s="670"/>
    </row>
    <row r="737" spans="1:7" x14ac:dyDescent="0.2">
      <c r="A737" s="699"/>
      <c r="B737" s="929" t="s">
        <v>1704</v>
      </c>
      <c r="C737" s="678">
        <v>1900000</v>
      </c>
      <c r="D737" s="678"/>
      <c r="E737" s="678"/>
      <c r="F737" s="678"/>
      <c r="G737" s="784"/>
    </row>
    <row r="738" spans="1:7" x14ac:dyDescent="0.2">
      <c r="A738" s="732"/>
      <c r="B738" s="776"/>
      <c r="C738" s="732"/>
      <c r="D738" s="732"/>
      <c r="E738" s="732"/>
      <c r="F738" s="732"/>
      <c r="G738" s="930"/>
    </row>
    <row r="739" spans="1:7" s="85" customFormat="1" ht="20.25" x14ac:dyDescent="0.3">
      <c r="A739" s="734"/>
      <c r="B739" s="757" t="s">
        <v>50</v>
      </c>
      <c r="C739" s="859">
        <f>SUM(C740,C741,C742,C743,C744,C745,C746,C747,C751,C752,C753,C754,C759,C760,C761)</f>
        <v>87547000</v>
      </c>
      <c r="D739" s="859"/>
      <c r="E739" s="859"/>
      <c r="F739" s="859"/>
      <c r="G739" s="931"/>
    </row>
    <row r="740" spans="1:7" x14ac:dyDescent="0.2">
      <c r="A740" s="660">
        <v>1014</v>
      </c>
      <c r="B740" s="626" t="s">
        <v>776</v>
      </c>
      <c r="C740" s="637">
        <v>530000</v>
      </c>
      <c r="D740" s="637"/>
      <c r="E740" s="637"/>
      <c r="F740" s="637"/>
      <c r="G740" s="662"/>
    </row>
    <row r="741" spans="1:7" x14ac:dyDescent="0.2">
      <c r="A741" s="663">
        <v>1031</v>
      </c>
      <c r="B741" s="629" t="s">
        <v>1705</v>
      </c>
      <c r="C741" s="637">
        <v>651000</v>
      </c>
      <c r="D741" s="637"/>
      <c r="E741" s="637"/>
      <c r="F741" s="637"/>
      <c r="G741" s="639"/>
    </row>
    <row r="742" spans="1:7" x14ac:dyDescent="0.2">
      <c r="A742" s="663">
        <v>1036</v>
      </c>
      <c r="B742" s="629" t="s">
        <v>778</v>
      </c>
      <c r="C742" s="637">
        <v>120000</v>
      </c>
      <c r="D742" s="637"/>
      <c r="E742" s="637"/>
      <c r="F742" s="637"/>
      <c r="G742" s="639"/>
    </row>
    <row r="743" spans="1:7" s="244" customFormat="1" ht="15.75" x14ac:dyDescent="0.25">
      <c r="A743" s="663">
        <v>1037</v>
      </c>
      <c r="B743" s="629" t="s">
        <v>1706</v>
      </c>
      <c r="C743" s="637">
        <v>21000</v>
      </c>
      <c r="D743" s="637"/>
      <c r="E743" s="637"/>
      <c r="F743" s="637"/>
      <c r="G743" s="639"/>
    </row>
    <row r="744" spans="1:7" s="98" customFormat="1" x14ac:dyDescent="0.2">
      <c r="A744" s="663">
        <v>1039</v>
      </c>
      <c r="B744" s="629" t="s">
        <v>780</v>
      </c>
      <c r="C744" s="637">
        <v>260000</v>
      </c>
      <c r="D744" s="637"/>
      <c r="E744" s="637"/>
      <c r="F744" s="637"/>
      <c r="G744" s="639"/>
    </row>
    <row r="745" spans="1:7" s="98" customFormat="1" x14ac:dyDescent="0.2">
      <c r="A745" s="663">
        <v>2369</v>
      </c>
      <c r="B745" s="629" t="s">
        <v>1707</v>
      </c>
      <c r="C745" s="637">
        <v>370000</v>
      </c>
      <c r="D745" s="637"/>
      <c r="E745" s="637"/>
      <c r="F745" s="637"/>
      <c r="G745" s="639"/>
    </row>
    <row r="746" spans="1:7" s="98" customFormat="1" x14ac:dyDescent="0.2">
      <c r="A746" s="663">
        <v>3721</v>
      </c>
      <c r="B746" s="629" t="s">
        <v>1708</v>
      </c>
      <c r="C746" s="637">
        <v>50000</v>
      </c>
      <c r="D746" s="637"/>
      <c r="E746" s="637"/>
      <c r="F746" s="637"/>
      <c r="G746" s="639"/>
    </row>
    <row r="747" spans="1:7" s="98" customFormat="1" x14ac:dyDescent="0.2">
      <c r="A747" s="663">
        <v>3722</v>
      </c>
      <c r="B747" s="629" t="s">
        <v>783</v>
      </c>
      <c r="C747" s="635">
        <f>SUM(C748:C750)</f>
        <v>37150000</v>
      </c>
      <c r="D747" s="635"/>
      <c r="E747" s="635"/>
      <c r="F747" s="635"/>
      <c r="G747" s="636"/>
    </row>
    <row r="748" spans="1:7" s="98" customFormat="1" x14ac:dyDescent="0.2">
      <c r="A748" s="663"/>
      <c r="B748" s="672" t="s">
        <v>784</v>
      </c>
      <c r="C748" s="644">
        <v>30600000</v>
      </c>
      <c r="D748" s="644"/>
      <c r="E748" s="644"/>
      <c r="F748" s="644"/>
      <c r="G748" s="670"/>
    </row>
    <row r="749" spans="1:7" s="98" customFormat="1" x14ac:dyDescent="0.2">
      <c r="A749" s="663"/>
      <c r="B749" s="672" t="s">
        <v>785</v>
      </c>
      <c r="C749" s="644">
        <v>3050000</v>
      </c>
      <c r="D749" s="644"/>
      <c r="E749" s="644"/>
      <c r="F749" s="644"/>
      <c r="G749" s="670"/>
    </row>
    <row r="750" spans="1:7" s="98" customFormat="1" x14ac:dyDescent="0.2">
      <c r="A750" s="663"/>
      <c r="B750" s="650" t="s">
        <v>1709</v>
      </c>
      <c r="C750" s="644">
        <v>3500000</v>
      </c>
      <c r="D750" s="644"/>
      <c r="E750" s="644"/>
      <c r="F750" s="644"/>
      <c r="G750" s="670"/>
    </row>
    <row r="751" spans="1:7" s="98" customFormat="1" x14ac:dyDescent="0.2">
      <c r="A751" s="663">
        <v>3733</v>
      </c>
      <c r="B751" s="629" t="s">
        <v>1710</v>
      </c>
      <c r="C751" s="637">
        <v>65000</v>
      </c>
      <c r="D751" s="637"/>
      <c r="E751" s="637"/>
      <c r="F751" s="637"/>
      <c r="G751" s="639"/>
    </row>
    <row r="752" spans="1:7" s="98" customFormat="1" x14ac:dyDescent="0.2">
      <c r="A752" s="663">
        <v>3742</v>
      </c>
      <c r="B752" s="634" t="s">
        <v>1711</v>
      </c>
      <c r="C752" s="637">
        <v>100000</v>
      </c>
      <c r="D752" s="637"/>
      <c r="E752" s="637"/>
      <c r="F752" s="637"/>
      <c r="G752" s="639"/>
    </row>
    <row r="753" spans="1:8" s="98" customFormat="1" x14ac:dyDescent="0.2">
      <c r="A753" s="663">
        <v>3743</v>
      </c>
      <c r="B753" s="629" t="s">
        <v>789</v>
      </c>
      <c r="C753" s="637">
        <v>0</v>
      </c>
      <c r="D753" s="637"/>
      <c r="E753" s="637"/>
      <c r="F753" s="637"/>
      <c r="G753" s="639"/>
    </row>
    <row r="754" spans="1:8" s="98" customFormat="1" x14ac:dyDescent="0.2">
      <c r="A754" s="663">
        <v>3745</v>
      </c>
      <c r="B754" s="629" t="s">
        <v>790</v>
      </c>
      <c r="C754" s="635">
        <f>SUM(C755:C758)</f>
        <v>47785000</v>
      </c>
      <c r="D754" s="635"/>
      <c r="E754" s="635"/>
      <c r="F754" s="635"/>
      <c r="G754" s="636"/>
    </row>
    <row r="755" spans="1:8" s="98" customFormat="1" x14ac:dyDescent="0.2">
      <c r="A755" s="663"/>
      <c r="B755" s="672" t="s">
        <v>1712</v>
      </c>
      <c r="C755" s="644">
        <v>250000</v>
      </c>
      <c r="D755" s="644"/>
      <c r="E755" s="644"/>
      <c r="F755" s="644"/>
      <c r="G755" s="670"/>
    </row>
    <row r="756" spans="1:8" s="98" customFormat="1" x14ac:dyDescent="0.2">
      <c r="A756" s="664"/>
      <c r="B756" s="672" t="s">
        <v>792</v>
      </c>
      <c r="C756" s="644">
        <v>19450000</v>
      </c>
      <c r="D756" s="644"/>
      <c r="E756" s="644"/>
      <c r="F756" s="644"/>
      <c r="G756" s="670"/>
    </row>
    <row r="757" spans="1:8" s="98" customFormat="1" x14ac:dyDescent="0.2">
      <c r="A757" s="664"/>
      <c r="B757" s="672" t="s">
        <v>793</v>
      </c>
      <c r="C757" s="644">
        <v>2150000</v>
      </c>
      <c r="D757" s="644"/>
      <c r="E757" s="644"/>
      <c r="F757" s="644"/>
      <c r="G757" s="670"/>
    </row>
    <row r="758" spans="1:8" s="98" customFormat="1" x14ac:dyDescent="0.2">
      <c r="A758" s="663"/>
      <c r="B758" s="650" t="s">
        <v>1713</v>
      </c>
      <c r="C758" s="644">
        <v>25935000</v>
      </c>
      <c r="D758" s="644"/>
      <c r="E758" s="644"/>
      <c r="F758" s="644"/>
      <c r="G758" s="670"/>
    </row>
    <row r="759" spans="1:8" x14ac:dyDescent="0.2">
      <c r="A759" s="663">
        <v>3792</v>
      </c>
      <c r="B759" s="629" t="s">
        <v>795</v>
      </c>
      <c r="C759" s="637">
        <v>145000</v>
      </c>
      <c r="D759" s="637"/>
      <c r="E759" s="637"/>
      <c r="F759" s="637"/>
      <c r="G759" s="932"/>
    </row>
    <row r="760" spans="1:8" x14ac:dyDescent="0.2">
      <c r="A760" s="663">
        <v>3639</v>
      </c>
      <c r="B760" s="629" t="s">
        <v>1714</v>
      </c>
      <c r="C760" s="637">
        <v>0</v>
      </c>
      <c r="D760" s="637"/>
      <c r="E760" s="637"/>
      <c r="F760" s="637"/>
      <c r="G760" s="930"/>
    </row>
    <row r="761" spans="1:8" ht="15.75" x14ac:dyDescent="0.25">
      <c r="A761" s="933"/>
      <c r="B761" s="934" t="s">
        <v>1715</v>
      </c>
      <c r="C761" s="935">
        <f>SUM(C762:C763)</f>
        <v>300000</v>
      </c>
      <c r="D761" s="935"/>
      <c r="E761" s="935"/>
      <c r="F761" s="935"/>
      <c r="G761" s="936"/>
    </row>
    <row r="762" spans="1:8" x14ac:dyDescent="0.2">
      <c r="A762" s="937" t="s">
        <v>1716</v>
      </c>
      <c r="B762" s="938" t="s">
        <v>600</v>
      </c>
      <c r="C762" s="687">
        <v>150000</v>
      </c>
      <c r="D762" s="687"/>
      <c r="E762" s="687"/>
      <c r="F762" s="687"/>
      <c r="G762" s="939"/>
    </row>
    <row r="763" spans="1:8" x14ac:dyDescent="0.2">
      <c r="A763" s="940" t="s">
        <v>1717</v>
      </c>
      <c r="B763" s="941" t="s">
        <v>602</v>
      </c>
      <c r="C763" s="655">
        <v>150000</v>
      </c>
      <c r="D763" s="655"/>
      <c r="E763" s="655"/>
      <c r="F763" s="655"/>
      <c r="G763" s="942"/>
    </row>
    <row r="764" spans="1:8" x14ac:dyDescent="0.2">
      <c r="A764" s="732"/>
      <c r="B764" s="943"/>
      <c r="C764" s="694"/>
      <c r="D764" s="694"/>
      <c r="E764" s="694"/>
      <c r="F764" s="694"/>
      <c r="G764" s="944"/>
    </row>
    <row r="765" spans="1:8" s="85" customFormat="1" ht="20.25" x14ac:dyDescent="0.3">
      <c r="A765" s="945"/>
      <c r="B765" s="865" t="s">
        <v>797</v>
      </c>
      <c r="C765" s="855">
        <f>SUM(C766,C767,C801,C850,C908,C922,C923,C927+C934)</f>
        <v>151698000</v>
      </c>
      <c r="D765" s="855"/>
      <c r="E765" s="855"/>
      <c r="F765" s="855"/>
      <c r="G765" s="859"/>
    </row>
    <row r="766" spans="1:8" ht="12.75" customHeight="1" x14ac:dyDescent="0.2">
      <c r="A766" s="946">
        <v>3122</v>
      </c>
      <c r="B766" s="947" t="s">
        <v>1718</v>
      </c>
      <c r="C766" s="637">
        <v>403000</v>
      </c>
      <c r="D766" s="637"/>
      <c r="E766" s="637"/>
      <c r="F766" s="637"/>
      <c r="G766" s="948"/>
      <c r="H766" s="19"/>
    </row>
    <row r="767" spans="1:8" ht="12.75" customHeight="1" x14ac:dyDescent="0.25">
      <c r="A767" s="628">
        <v>3412</v>
      </c>
      <c r="B767" s="629" t="s">
        <v>799</v>
      </c>
      <c r="C767" s="635">
        <f>C768+C788</f>
        <v>55320000</v>
      </c>
      <c r="D767" s="635"/>
      <c r="E767" s="635"/>
      <c r="F767" s="635"/>
      <c r="G767" s="839"/>
      <c r="H767" s="19"/>
    </row>
    <row r="768" spans="1:8" ht="12.75" customHeight="1" x14ac:dyDescent="0.2">
      <c r="A768" s="628"/>
      <c r="B768" s="949" t="s">
        <v>1719</v>
      </c>
      <c r="C768" s="635">
        <f>C769+C773+C783</f>
        <v>33650000</v>
      </c>
      <c r="D768" s="635"/>
      <c r="E768" s="635"/>
      <c r="F768" s="635"/>
      <c r="G768" s="950"/>
      <c r="H768" s="19"/>
    </row>
    <row r="769" spans="1:8" ht="12.75" customHeight="1" x14ac:dyDescent="0.2">
      <c r="A769" s="628"/>
      <c r="B769" s="720" t="s">
        <v>801</v>
      </c>
      <c r="C769" s="951">
        <f>C770+C771+C772</f>
        <v>1680000</v>
      </c>
      <c r="D769" s="951"/>
      <c r="E769" s="951"/>
      <c r="F769" s="951"/>
      <c r="G769" s="950"/>
      <c r="H769" s="19"/>
    </row>
    <row r="770" spans="1:8" ht="12.75" customHeight="1" x14ac:dyDescent="0.2">
      <c r="A770" s="628"/>
      <c r="B770" s="668" t="s">
        <v>1720</v>
      </c>
      <c r="C770" s="652">
        <v>0</v>
      </c>
      <c r="D770" s="652"/>
      <c r="E770" s="652"/>
      <c r="F770" s="652"/>
      <c r="G770" s="950"/>
      <c r="H770" s="19"/>
    </row>
    <row r="771" spans="1:8" ht="12.75" customHeight="1" x14ac:dyDescent="0.2">
      <c r="A771" s="628"/>
      <c r="B771" s="952" t="s">
        <v>1721</v>
      </c>
      <c r="C771" s="652">
        <v>1500000</v>
      </c>
      <c r="D771" s="652"/>
      <c r="E771" s="652"/>
      <c r="F771" s="652"/>
      <c r="G771" s="950"/>
      <c r="H771" s="19"/>
    </row>
    <row r="772" spans="1:8" ht="25.5" x14ac:dyDescent="0.2">
      <c r="A772" s="628"/>
      <c r="B772" s="952" t="s">
        <v>1722</v>
      </c>
      <c r="C772" s="652">
        <v>180000</v>
      </c>
      <c r="D772" s="652"/>
      <c r="E772" s="652"/>
      <c r="F772" s="652"/>
      <c r="G772" s="950"/>
      <c r="H772" s="19"/>
    </row>
    <row r="773" spans="1:8" s="953" customFormat="1" ht="12.75" customHeight="1" x14ac:dyDescent="0.25">
      <c r="A773" s="628"/>
      <c r="B773" s="954" t="s">
        <v>823</v>
      </c>
      <c r="C773" s="955">
        <f>SUM(C774:C782)</f>
        <v>1900000</v>
      </c>
      <c r="D773" s="955"/>
      <c r="E773" s="955"/>
      <c r="F773" s="955"/>
      <c r="G773" s="956"/>
      <c r="H773" s="957"/>
    </row>
    <row r="774" spans="1:8" ht="12.75" customHeight="1" x14ac:dyDescent="0.2">
      <c r="A774" s="628"/>
      <c r="B774" s="668" t="s">
        <v>1723</v>
      </c>
      <c r="C774" s="652">
        <v>150000</v>
      </c>
      <c r="D774" s="652"/>
      <c r="E774" s="652"/>
      <c r="F774" s="652"/>
      <c r="G774" s="950"/>
      <c r="H774" s="19"/>
    </row>
    <row r="775" spans="1:8" ht="12.75" customHeight="1" x14ac:dyDescent="0.2">
      <c r="A775" s="628"/>
      <c r="B775" s="668" t="s">
        <v>1724</v>
      </c>
      <c r="C775" s="694">
        <v>100000</v>
      </c>
      <c r="D775" s="694"/>
      <c r="E775" s="694"/>
      <c r="F775" s="694"/>
      <c r="G775" s="950"/>
      <c r="H775" s="19"/>
    </row>
    <row r="776" spans="1:8" ht="12.75" customHeight="1" x14ac:dyDescent="0.2">
      <c r="A776" s="628"/>
      <c r="B776" s="668" t="s">
        <v>1725</v>
      </c>
      <c r="C776" s="652">
        <v>0</v>
      </c>
      <c r="D776" s="652"/>
      <c r="E776" s="652"/>
      <c r="F776" s="652"/>
      <c r="G776" s="950"/>
      <c r="H776" s="19"/>
    </row>
    <row r="777" spans="1:8" ht="12.75" customHeight="1" x14ac:dyDescent="0.2">
      <c r="A777" s="628"/>
      <c r="B777" s="668" t="s">
        <v>1726</v>
      </c>
      <c r="C777" s="652">
        <v>0</v>
      </c>
      <c r="D777" s="652"/>
      <c r="E777" s="652"/>
      <c r="F777" s="652"/>
      <c r="G777" s="950"/>
      <c r="H777" s="19"/>
    </row>
    <row r="778" spans="1:8" ht="12.75" customHeight="1" x14ac:dyDescent="0.2">
      <c r="A778" s="628"/>
      <c r="B778" s="958" t="s">
        <v>1727</v>
      </c>
      <c r="C778" s="652">
        <v>350000</v>
      </c>
      <c r="D778" s="652"/>
      <c r="E778" s="652"/>
      <c r="F778" s="652"/>
      <c r="G778" s="950"/>
      <c r="H778" s="19"/>
    </row>
    <row r="779" spans="1:8" ht="12.75" customHeight="1" x14ac:dyDescent="0.2">
      <c r="A779" s="628"/>
      <c r="B779" s="958" t="s">
        <v>1728</v>
      </c>
      <c r="C779" s="652">
        <v>100000</v>
      </c>
      <c r="D779" s="652"/>
      <c r="E779" s="652"/>
      <c r="F779" s="652"/>
      <c r="G779" s="950"/>
      <c r="H779" s="19"/>
    </row>
    <row r="780" spans="1:8" ht="12.75" customHeight="1" x14ac:dyDescent="0.2">
      <c r="A780" s="628"/>
      <c r="B780" s="958" t="s">
        <v>1729</v>
      </c>
      <c r="C780" s="652">
        <v>100000</v>
      </c>
      <c r="D780" s="652"/>
      <c r="E780" s="652"/>
      <c r="F780" s="652"/>
      <c r="G780" s="950"/>
      <c r="H780" s="19"/>
    </row>
    <row r="781" spans="1:8" ht="12.75" customHeight="1" x14ac:dyDescent="0.2">
      <c r="A781" s="628"/>
      <c r="B781" s="958" t="s">
        <v>1730</v>
      </c>
      <c r="C781" s="652">
        <v>800000</v>
      </c>
      <c r="D781" s="652"/>
      <c r="E781" s="652"/>
      <c r="F781" s="652"/>
      <c r="G781" s="950"/>
      <c r="H781" s="19"/>
    </row>
    <row r="782" spans="1:8" ht="12.75" customHeight="1" x14ac:dyDescent="0.2">
      <c r="A782" s="628"/>
      <c r="B782" s="958" t="s">
        <v>1731</v>
      </c>
      <c r="C782" s="652">
        <v>300000</v>
      </c>
      <c r="D782" s="652"/>
      <c r="E782" s="652"/>
      <c r="F782" s="652"/>
      <c r="G782" s="950"/>
      <c r="H782" s="19"/>
    </row>
    <row r="783" spans="1:8" s="98" customFormat="1" ht="12.75" customHeight="1" x14ac:dyDescent="0.25">
      <c r="A783" s="628"/>
      <c r="B783" s="959" t="s">
        <v>813</v>
      </c>
      <c r="C783" s="951">
        <f>SUM(C784:C787)</f>
        <v>30070000</v>
      </c>
      <c r="D783" s="951"/>
      <c r="E783" s="951"/>
      <c r="F783" s="951"/>
      <c r="G783" s="839"/>
      <c r="H783" s="244"/>
    </row>
    <row r="784" spans="1:8" ht="12.75" customHeight="1" x14ac:dyDescent="0.2">
      <c r="A784" s="628"/>
      <c r="B784" s="668" t="s">
        <v>1732</v>
      </c>
      <c r="C784" s="652">
        <v>30020000</v>
      </c>
      <c r="D784" s="652"/>
      <c r="E784" s="652"/>
      <c r="F784" s="652"/>
      <c r="G784" s="950"/>
      <c r="H784" s="19"/>
    </row>
    <row r="785" spans="1:8" ht="12.75" customHeight="1" x14ac:dyDescent="0.2">
      <c r="A785" s="628"/>
      <c r="B785" s="668" t="s">
        <v>815</v>
      </c>
      <c r="C785" s="652">
        <v>0</v>
      </c>
      <c r="D785" s="652"/>
      <c r="E785" s="652"/>
      <c r="F785" s="652"/>
      <c r="G785" s="950"/>
      <c r="H785" s="19"/>
    </row>
    <row r="786" spans="1:8" ht="12.75" customHeight="1" x14ac:dyDescent="0.2">
      <c r="A786" s="628"/>
      <c r="B786" s="672" t="s">
        <v>816</v>
      </c>
      <c r="C786" s="652">
        <v>0</v>
      </c>
      <c r="D786" s="652"/>
      <c r="E786" s="652"/>
      <c r="F786" s="652"/>
      <c r="G786" s="950"/>
      <c r="H786" s="19"/>
    </row>
    <row r="787" spans="1:8" ht="16.5" customHeight="1" x14ac:dyDescent="0.2">
      <c r="A787" s="628"/>
      <c r="B787" s="679" t="s">
        <v>1733</v>
      </c>
      <c r="C787" s="652">
        <v>50000</v>
      </c>
      <c r="D787" s="652"/>
      <c r="E787" s="652"/>
      <c r="F787" s="652"/>
      <c r="G787" s="950"/>
      <c r="H787" s="19"/>
    </row>
    <row r="788" spans="1:8" s="98" customFormat="1" ht="12.75" customHeight="1" x14ac:dyDescent="0.25">
      <c r="A788" s="628"/>
      <c r="B788" s="960" t="s">
        <v>1734</v>
      </c>
      <c r="C788" s="635">
        <f>C789+C792+C796</f>
        <v>21670000</v>
      </c>
      <c r="D788" s="635"/>
      <c r="E788" s="635"/>
      <c r="F788" s="635"/>
      <c r="G788" s="839"/>
      <c r="H788" s="244"/>
    </row>
    <row r="789" spans="1:8" ht="15" x14ac:dyDescent="0.2">
      <c r="A789" s="649"/>
      <c r="B789" s="720" t="s">
        <v>801</v>
      </c>
      <c r="C789" s="951">
        <f>C790+C791</f>
        <v>5500000</v>
      </c>
      <c r="D789" s="951"/>
      <c r="E789" s="951"/>
      <c r="F789" s="951"/>
      <c r="G789" s="950"/>
      <c r="H789" s="19"/>
    </row>
    <row r="790" spans="1:8" ht="15" x14ac:dyDescent="0.2">
      <c r="A790" s="649"/>
      <c r="B790" s="672" t="s">
        <v>1735</v>
      </c>
      <c r="C790" s="652">
        <v>4650000</v>
      </c>
      <c r="D790" s="652"/>
      <c r="E790" s="652"/>
      <c r="F790" s="652"/>
      <c r="G790" s="950"/>
      <c r="H790" s="19"/>
    </row>
    <row r="791" spans="1:8" ht="15" x14ac:dyDescent="0.2">
      <c r="A791" s="649"/>
      <c r="B791" s="672" t="s">
        <v>1736</v>
      </c>
      <c r="C791" s="652">
        <v>850000</v>
      </c>
      <c r="D791" s="652"/>
      <c r="E791" s="652"/>
      <c r="F791" s="652"/>
      <c r="G791" s="950"/>
      <c r="H791" s="19"/>
    </row>
    <row r="792" spans="1:8" ht="15" x14ac:dyDescent="0.2">
      <c r="A792" s="649"/>
      <c r="B792" s="720" t="s">
        <v>813</v>
      </c>
      <c r="C792" s="961">
        <f>C793+C794+C795</f>
        <v>14350000</v>
      </c>
      <c r="D792" s="961"/>
      <c r="E792" s="961"/>
      <c r="F792" s="961"/>
      <c r="G792" s="950"/>
      <c r="H792" s="19"/>
    </row>
    <row r="793" spans="1:8" ht="15" x14ac:dyDescent="0.2">
      <c r="A793" s="649"/>
      <c r="B793" s="668" t="s">
        <v>1737</v>
      </c>
      <c r="C793" s="652">
        <v>14300000</v>
      </c>
      <c r="D793" s="652"/>
      <c r="E793" s="652"/>
      <c r="F793" s="652"/>
      <c r="G793" s="950"/>
      <c r="H793" s="19"/>
    </row>
    <row r="794" spans="1:8" ht="15" x14ac:dyDescent="0.2">
      <c r="A794" s="649"/>
      <c r="B794" s="962" t="s">
        <v>821</v>
      </c>
      <c r="C794" s="652">
        <v>0</v>
      </c>
      <c r="D794" s="652"/>
      <c r="E794" s="652"/>
      <c r="F794" s="652"/>
      <c r="G794" s="950"/>
      <c r="H794" s="19"/>
    </row>
    <row r="795" spans="1:8" ht="15" x14ac:dyDescent="0.2">
      <c r="A795" s="649"/>
      <c r="B795" s="962" t="s">
        <v>1738</v>
      </c>
      <c r="C795" s="652">
        <v>50000</v>
      </c>
      <c r="D795" s="652"/>
      <c r="E795" s="652"/>
      <c r="F795" s="652"/>
      <c r="G795" s="950"/>
      <c r="H795" s="19"/>
    </row>
    <row r="796" spans="1:8" ht="16.149999999999999" customHeight="1" x14ac:dyDescent="0.2">
      <c r="A796" s="649"/>
      <c r="B796" s="720" t="s">
        <v>823</v>
      </c>
      <c r="C796" s="951">
        <f>C797+C798+C799+C800</f>
        <v>1820000</v>
      </c>
      <c r="D796" s="951"/>
      <c r="E796" s="951"/>
      <c r="F796" s="951"/>
      <c r="G796" s="950"/>
      <c r="H796" s="19"/>
    </row>
    <row r="797" spans="1:8" ht="12.75" customHeight="1" x14ac:dyDescent="0.2">
      <c r="A797" s="649"/>
      <c r="B797" s="672" t="s">
        <v>824</v>
      </c>
      <c r="C797" s="652">
        <v>200000</v>
      </c>
      <c r="D797" s="652"/>
      <c r="E797" s="652"/>
      <c r="F797" s="652"/>
      <c r="G797" s="950"/>
      <c r="H797" s="19"/>
    </row>
    <row r="798" spans="1:8" ht="12.75" customHeight="1" x14ac:dyDescent="0.2">
      <c r="A798" s="649"/>
      <c r="B798" s="672" t="s">
        <v>1739</v>
      </c>
      <c r="C798" s="652">
        <v>0</v>
      </c>
      <c r="D798" s="652"/>
      <c r="E798" s="652"/>
      <c r="F798" s="652"/>
      <c r="G798" s="950"/>
      <c r="H798" s="19"/>
    </row>
    <row r="799" spans="1:8" ht="12.75" customHeight="1" x14ac:dyDescent="0.2">
      <c r="A799" s="649"/>
      <c r="B799" s="672" t="s">
        <v>1740</v>
      </c>
      <c r="C799" s="652">
        <v>120000</v>
      </c>
      <c r="D799" s="652"/>
      <c r="E799" s="652"/>
      <c r="F799" s="652"/>
      <c r="G799" s="950"/>
      <c r="H799" s="19"/>
    </row>
    <row r="800" spans="1:8" ht="12.75" customHeight="1" x14ac:dyDescent="0.2">
      <c r="A800" s="649"/>
      <c r="B800" s="668" t="s">
        <v>826</v>
      </c>
      <c r="C800" s="652">
        <v>1500000</v>
      </c>
      <c r="D800" s="652"/>
      <c r="E800" s="652"/>
      <c r="F800" s="652"/>
      <c r="G800" s="950"/>
      <c r="H800" s="19"/>
    </row>
    <row r="801" spans="1:8" ht="15" x14ac:dyDescent="0.2">
      <c r="A801" s="628">
        <v>3612</v>
      </c>
      <c r="B801" s="629" t="s">
        <v>827</v>
      </c>
      <c r="C801" s="635">
        <f>C802+C809</f>
        <v>56000000</v>
      </c>
      <c r="D801" s="635"/>
      <c r="E801" s="635"/>
      <c r="F801" s="635"/>
      <c r="G801" s="950"/>
      <c r="H801" s="19"/>
    </row>
    <row r="802" spans="1:8" ht="18.75" customHeight="1" x14ac:dyDescent="0.2">
      <c r="A802" s="649"/>
      <c r="B802" s="720" t="s">
        <v>801</v>
      </c>
      <c r="C802" s="951">
        <f>C803+C804+C805+C806+C807+C808</f>
        <v>1000000</v>
      </c>
      <c r="D802" s="951"/>
      <c r="E802" s="951"/>
      <c r="F802" s="951"/>
      <c r="G802" s="950"/>
      <c r="H802" s="19"/>
    </row>
    <row r="803" spans="1:8" ht="12.75" customHeight="1" x14ac:dyDescent="0.2">
      <c r="A803" s="628"/>
      <c r="B803" s="672" t="s">
        <v>1741</v>
      </c>
      <c r="C803" s="652">
        <v>0</v>
      </c>
      <c r="D803" s="652"/>
      <c r="E803" s="652"/>
      <c r="F803" s="652"/>
      <c r="G803" s="950"/>
      <c r="H803" s="19"/>
    </row>
    <row r="804" spans="1:8" ht="12.75" customHeight="1" x14ac:dyDescent="0.2">
      <c r="A804" s="649"/>
      <c r="B804" s="672" t="s">
        <v>1742</v>
      </c>
      <c r="C804" s="652">
        <v>1000000</v>
      </c>
      <c r="D804" s="652"/>
      <c r="E804" s="652"/>
      <c r="F804" s="652"/>
      <c r="G804" s="950"/>
      <c r="H804" s="19"/>
    </row>
    <row r="805" spans="1:8" ht="12.75" customHeight="1" x14ac:dyDescent="0.2">
      <c r="A805" s="628"/>
      <c r="B805" s="672" t="s">
        <v>1743</v>
      </c>
      <c r="C805" s="644">
        <v>0</v>
      </c>
      <c r="D805" s="644"/>
      <c r="E805" s="644"/>
      <c r="F805" s="644"/>
      <c r="G805" s="950"/>
      <c r="H805" s="19"/>
    </row>
    <row r="806" spans="1:8" ht="12.75" customHeight="1" x14ac:dyDescent="0.2">
      <c r="A806" s="628"/>
      <c r="B806" s="672" t="s">
        <v>1744</v>
      </c>
      <c r="C806" s="709">
        <v>0</v>
      </c>
      <c r="D806" s="709"/>
      <c r="E806" s="709"/>
      <c r="F806" s="709"/>
      <c r="G806" s="950"/>
      <c r="H806" s="19"/>
    </row>
    <row r="807" spans="1:8" ht="12.75" customHeight="1" x14ac:dyDescent="0.2">
      <c r="A807" s="628"/>
      <c r="B807" s="668" t="s">
        <v>1745</v>
      </c>
      <c r="C807" s="652">
        <v>0</v>
      </c>
      <c r="D807" s="652"/>
      <c r="E807" s="652"/>
      <c r="F807" s="652"/>
      <c r="G807" s="950"/>
      <c r="H807" s="19"/>
    </row>
    <row r="808" spans="1:8" ht="12.75" customHeight="1" x14ac:dyDescent="0.2">
      <c r="A808" s="628"/>
      <c r="B808" s="672" t="s">
        <v>1746</v>
      </c>
      <c r="C808" s="712">
        <v>0</v>
      </c>
      <c r="D808" s="712"/>
      <c r="E808" s="712"/>
      <c r="F808" s="712"/>
      <c r="G808" s="950"/>
      <c r="H808" s="19"/>
    </row>
    <row r="809" spans="1:8" ht="12.75" customHeight="1" x14ac:dyDescent="0.2">
      <c r="A809" s="628"/>
      <c r="B809" s="963" t="s">
        <v>838</v>
      </c>
      <c r="C809" s="964">
        <f>C810+C817+C824+C833+C839+C840+C841+C842+C843+C848+C849</f>
        <v>55000000</v>
      </c>
      <c r="D809" s="964"/>
      <c r="E809" s="964"/>
      <c r="F809" s="964"/>
      <c r="G809" s="950"/>
      <c r="H809" s="19"/>
    </row>
    <row r="810" spans="1:8" s="488" customFormat="1" ht="12.75" customHeight="1" x14ac:dyDescent="0.2">
      <c r="A810" s="965"/>
      <c r="B810" s="949" t="s">
        <v>839</v>
      </c>
      <c r="C810" s="966">
        <f>SUM(C811:C816)</f>
        <v>10750000</v>
      </c>
      <c r="D810" s="966"/>
      <c r="E810" s="966"/>
      <c r="F810" s="966"/>
      <c r="G810" s="967"/>
      <c r="H810" s="968"/>
    </row>
    <row r="811" spans="1:8" ht="12.75" customHeight="1" x14ac:dyDescent="0.2">
      <c r="A811" s="628"/>
      <c r="B811" s="668" t="s">
        <v>1747</v>
      </c>
      <c r="C811" s="712">
        <v>5750000</v>
      </c>
      <c r="D811" s="712"/>
      <c r="E811" s="712"/>
      <c r="F811" s="712"/>
      <c r="G811" s="950"/>
      <c r="H811" s="19"/>
    </row>
    <row r="812" spans="1:8" ht="12.75" customHeight="1" x14ac:dyDescent="0.2">
      <c r="A812" s="628"/>
      <c r="B812" s="668" t="s">
        <v>1748</v>
      </c>
      <c r="C812" s="709">
        <v>1000000</v>
      </c>
      <c r="D812" s="709"/>
      <c r="E812" s="709"/>
      <c r="F812" s="709"/>
      <c r="G812" s="950"/>
      <c r="H812" s="19"/>
    </row>
    <row r="813" spans="1:8" ht="12.75" customHeight="1" x14ac:dyDescent="0.2">
      <c r="A813" s="628"/>
      <c r="B813" s="668" t="s">
        <v>1749</v>
      </c>
      <c r="C813" s="709">
        <v>2000000</v>
      </c>
      <c r="D813" s="709"/>
      <c r="E813" s="709"/>
      <c r="F813" s="709"/>
      <c r="G813" s="950"/>
      <c r="H813" s="19"/>
    </row>
    <row r="814" spans="1:8" s="488" customFormat="1" ht="15" customHeight="1" x14ac:dyDescent="0.2">
      <c r="A814" s="969"/>
      <c r="B814" s="952" t="s">
        <v>1750</v>
      </c>
      <c r="C814" s="970">
        <v>0</v>
      </c>
      <c r="D814" s="970"/>
      <c r="E814" s="970"/>
      <c r="F814" s="970"/>
      <c r="G814" s="967"/>
      <c r="H814" s="968"/>
    </row>
    <row r="815" spans="1:8" ht="12.75" customHeight="1" x14ac:dyDescent="0.2">
      <c r="A815" s="628"/>
      <c r="B815" s="668" t="s">
        <v>1751</v>
      </c>
      <c r="C815" s="709">
        <v>2000000</v>
      </c>
      <c r="D815" s="709"/>
      <c r="E815" s="709"/>
      <c r="F815" s="709"/>
      <c r="G815" s="950"/>
      <c r="H815" s="19"/>
    </row>
    <row r="816" spans="1:8" ht="12.75" customHeight="1" x14ac:dyDescent="0.2">
      <c r="A816" s="628">
        <v>5169</v>
      </c>
      <c r="B816" s="672" t="s">
        <v>1752</v>
      </c>
      <c r="C816" s="644">
        <v>0</v>
      </c>
      <c r="D816" s="644"/>
      <c r="E816" s="644"/>
      <c r="F816" s="644"/>
      <c r="G816" s="950"/>
      <c r="H816" s="19"/>
    </row>
    <row r="817" spans="1:8" s="98" customFormat="1" ht="12.75" customHeight="1" x14ac:dyDescent="0.25">
      <c r="A817" s="628"/>
      <c r="B817" s="971" t="s">
        <v>1753</v>
      </c>
      <c r="C817" s="972">
        <f>C818+C819</f>
        <v>3400000</v>
      </c>
      <c r="D817" s="972"/>
      <c r="E817" s="972"/>
      <c r="F817" s="972"/>
      <c r="G817" s="839"/>
      <c r="H817" s="244"/>
    </row>
    <row r="818" spans="1:8" ht="12.75" customHeight="1" x14ac:dyDescent="0.2">
      <c r="A818" s="649"/>
      <c r="B818" s="668" t="s">
        <v>1754</v>
      </c>
      <c r="C818" s="652">
        <v>3000000</v>
      </c>
      <c r="D818" s="652"/>
      <c r="E818" s="652"/>
      <c r="F818" s="652"/>
      <c r="G818" s="950"/>
      <c r="H818" s="19"/>
    </row>
    <row r="819" spans="1:8" ht="21" customHeight="1" x14ac:dyDescent="0.2">
      <c r="A819" s="649"/>
      <c r="B819" s="679" t="s">
        <v>845</v>
      </c>
      <c r="C819" s="652">
        <f>C823+C822+C821+C820</f>
        <v>400000</v>
      </c>
      <c r="D819" s="652"/>
      <c r="E819" s="652"/>
      <c r="F819" s="652"/>
      <c r="G819" s="950"/>
      <c r="H819" s="19"/>
    </row>
    <row r="820" spans="1:8" ht="15" x14ac:dyDescent="0.2">
      <c r="A820" s="649"/>
      <c r="B820" s="679" t="s">
        <v>1755</v>
      </c>
      <c r="C820" s="652">
        <v>400000</v>
      </c>
      <c r="D820" s="652"/>
      <c r="E820" s="652"/>
      <c r="F820" s="652"/>
      <c r="G820" s="950"/>
      <c r="H820" s="19"/>
    </row>
    <row r="821" spans="1:8" ht="12.75" customHeight="1" x14ac:dyDescent="0.2">
      <c r="A821" s="628"/>
      <c r="B821" s="679" t="s">
        <v>1756</v>
      </c>
      <c r="C821" s="652">
        <v>0</v>
      </c>
      <c r="D821" s="652"/>
      <c r="E821" s="652"/>
      <c r="F821" s="652"/>
      <c r="G821" s="950"/>
      <c r="H821" s="19"/>
    </row>
    <row r="822" spans="1:8" ht="12.75" customHeight="1" x14ac:dyDescent="0.2">
      <c r="A822" s="649"/>
      <c r="B822" s="679" t="s">
        <v>1757</v>
      </c>
      <c r="C822" s="652">
        <v>0</v>
      </c>
      <c r="D822" s="652"/>
      <c r="E822" s="652"/>
      <c r="F822" s="652"/>
      <c r="G822" s="950"/>
      <c r="H822" s="19"/>
    </row>
    <row r="823" spans="1:8" ht="12.75" customHeight="1" x14ac:dyDescent="0.2">
      <c r="A823" s="649"/>
      <c r="B823" s="679" t="s">
        <v>1758</v>
      </c>
      <c r="C823" s="652">
        <v>0</v>
      </c>
      <c r="D823" s="652"/>
      <c r="E823" s="652"/>
      <c r="F823" s="652"/>
      <c r="G823" s="950"/>
      <c r="H823" s="19"/>
    </row>
    <row r="824" spans="1:8" s="488" customFormat="1" ht="12.75" customHeight="1" x14ac:dyDescent="0.2">
      <c r="A824" s="969"/>
      <c r="B824" s="973" t="s">
        <v>1759</v>
      </c>
      <c r="C824" s="972">
        <f>C825+C826</f>
        <v>5350000</v>
      </c>
      <c r="D824" s="972"/>
      <c r="E824" s="972"/>
      <c r="F824" s="972"/>
      <c r="G824" s="950"/>
      <c r="H824" s="968"/>
    </row>
    <row r="825" spans="1:8" s="488" customFormat="1" ht="12.75" customHeight="1" x14ac:dyDescent="0.2">
      <c r="A825" s="969"/>
      <c r="B825" s="974" t="s">
        <v>844</v>
      </c>
      <c r="C825" s="975">
        <v>3000000</v>
      </c>
      <c r="D825" s="975"/>
      <c r="E825" s="975"/>
      <c r="F825" s="975"/>
      <c r="G825" s="967"/>
      <c r="H825" s="968"/>
    </row>
    <row r="826" spans="1:8" s="488" customFormat="1" ht="15" x14ac:dyDescent="0.2">
      <c r="A826" s="649"/>
      <c r="B826" s="679" t="s">
        <v>849</v>
      </c>
      <c r="C826" s="652">
        <f>C827+C828+C829+C830+C831+C832</f>
        <v>2350000</v>
      </c>
      <c r="D826" s="652"/>
      <c r="E826" s="652"/>
      <c r="F826" s="652"/>
      <c r="G826" s="967"/>
      <c r="H826" s="968"/>
    </row>
    <row r="827" spans="1:8" ht="17.25" customHeight="1" x14ac:dyDescent="0.2">
      <c r="A827" s="649"/>
      <c r="B827" s="672" t="s">
        <v>1760</v>
      </c>
      <c r="C827" s="652">
        <v>500000</v>
      </c>
      <c r="D827" s="652"/>
      <c r="E827" s="652"/>
      <c r="F827" s="652"/>
      <c r="G827" s="950"/>
      <c r="H827" s="19"/>
    </row>
    <row r="828" spans="1:8" ht="12.75" customHeight="1" x14ac:dyDescent="0.2">
      <c r="A828" s="649"/>
      <c r="B828" s="679" t="s">
        <v>1761</v>
      </c>
      <c r="C828" s="644">
        <v>250000</v>
      </c>
      <c r="D828" s="644"/>
      <c r="E828" s="644"/>
      <c r="F828" s="644"/>
      <c r="G828" s="950"/>
      <c r="H828" s="19"/>
    </row>
    <row r="829" spans="1:8" ht="12.75" customHeight="1" x14ac:dyDescent="0.2">
      <c r="A829" s="969"/>
      <c r="B829" s="668" t="s">
        <v>1762</v>
      </c>
      <c r="C829" s="652">
        <v>600000</v>
      </c>
      <c r="D829" s="652"/>
      <c r="E829" s="652"/>
      <c r="F829" s="652"/>
      <c r="G829" s="950"/>
      <c r="H829" s="19"/>
    </row>
    <row r="830" spans="1:8" ht="12.75" customHeight="1" x14ac:dyDescent="0.2">
      <c r="A830" s="969"/>
      <c r="B830" s="668" t="s">
        <v>1763</v>
      </c>
      <c r="C830" s="652">
        <v>1000000</v>
      </c>
      <c r="D830" s="652"/>
      <c r="E830" s="652"/>
      <c r="F830" s="652"/>
      <c r="G830" s="950"/>
      <c r="H830" s="19"/>
    </row>
    <row r="831" spans="1:8" s="488" customFormat="1" ht="12.75" customHeight="1" x14ac:dyDescent="0.2">
      <c r="A831" s="969"/>
      <c r="B831" s="668" t="s">
        <v>1764</v>
      </c>
      <c r="C831" s="652">
        <v>0</v>
      </c>
      <c r="D831" s="652"/>
      <c r="E831" s="652"/>
      <c r="F831" s="652"/>
      <c r="G831" s="967"/>
      <c r="H831" s="968"/>
    </row>
    <row r="832" spans="1:8" s="488" customFormat="1" ht="12.75" customHeight="1" x14ac:dyDescent="0.2">
      <c r="A832" s="969"/>
      <c r="B832" s="668" t="s">
        <v>1765</v>
      </c>
      <c r="C832" s="652">
        <v>0</v>
      </c>
      <c r="D832" s="652"/>
      <c r="E832" s="652"/>
      <c r="F832" s="652"/>
      <c r="G832" s="967"/>
      <c r="H832" s="968"/>
    </row>
    <row r="833" spans="1:8" s="488" customFormat="1" ht="12.75" customHeight="1" x14ac:dyDescent="0.2">
      <c r="A833" s="969"/>
      <c r="B833" s="976" t="s">
        <v>1766</v>
      </c>
      <c r="C833" s="977">
        <f>C834+C835</f>
        <v>2750000</v>
      </c>
      <c r="D833" s="977"/>
      <c r="E833" s="977"/>
      <c r="F833" s="977"/>
      <c r="G833" s="978"/>
      <c r="H833" s="968"/>
    </row>
    <row r="834" spans="1:8" s="488" customFormat="1" ht="12.75" customHeight="1" x14ac:dyDescent="0.2">
      <c r="A834" s="969"/>
      <c r="B834" s="668" t="s">
        <v>858</v>
      </c>
      <c r="C834" s="644">
        <v>2500000</v>
      </c>
      <c r="D834" s="644"/>
      <c r="E834" s="644"/>
      <c r="F834" s="644"/>
      <c r="G834" s="978"/>
      <c r="H834" s="968"/>
    </row>
    <row r="835" spans="1:8" s="488" customFormat="1" ht="15" x14ac:dyDescent="0.2">
      <c r="A835" s="649"/>
      <c r="B835" s="672" t="s">
        <v>859</v>
      </c>
      <c r="C835" s="644">
        <f>C836+C837+C838</f>
        <v>250000</v>
      </c>
      <c r="D835" s="644"/>
      <c r="E835" s="644"/>
      <c r="F835" s="644"/>
      <c r="G835" s="967"/>
      <c r="H835" s="968"/>
    </row>
    <row r="836" spans="1:8" ht="15" x14ac:dyDescent="0.2">
      <c r="A836" s="649"/>
      <c r="B836" s="672" t="s">
        <v>863</v>
      </c>
      <c r="C836" s="644">
        <v>250000</v>
      </c>
      <c r="D836" s="644"/>
      <c r="E836" s="644"/>
      <c r="F836" s="644"/>
      <c r="G836" s="950"/>
      <c r="H836" s="19"/>
    </row>
    <row r="837" spans="1:8" ht="15" x14ac:dyDescent="0.2">
      <c r="A837" s="649"/>
      <c r="B837" s="979" t="s">
        <v>866</v>
      </c>
      <c r="C837" s="644">
        <v>0</v>
      </c>
      <c r="D837" s="644"/>
      <c r="E837" s="644"/>
      <c r="F837" s="644"/>
      <c r="G837" s="950"/>
      <c r="H837" s="19"/>
    </row>
    <row r="838" spans="1:8" ht="15" x14ac:dyDescent="0.2">
      <c r="A838" s="969"/>
      <c r="B838" s="979" t="s">
        <v>1767</v>
      </c>
      <c r="C838" s="644">
        <v>0</v>
      </c>
      <c r="D838" s="644"/>
      <c r="E838" s="644"/>
      <c r="F838" s="644"/>
      <c r="G838" s="950"/>
      <c r="H838" s="19"/>
    </row>
    <row r="839" spans="1:8" s="488" customFormat="1" ht="15" x14ac:dyDescent="0.2">
      <c r="A839" s="969"/>
      <c r="B839" s="980" t="s">
        <v>1768</v>
      </c>
      <c r="C839" s="644">
        <v>400000</v>
      </c>
      <c r="D839" s="644"/>
      <c r="E839" s="644"/>
      <c r="F839" s="644"/>
      <c r="G839" s="967"/>
      <c r="H839" s="968"/>
    </row>
    <row r="840" spans="1:8" s="488" customFormat="1" ht="25.5" x14ac:dyDescent="0.2">
      <c r="A840" s="969"/>
      <c r="B840" s="980" t="s">
        <v>1769</v>
      </c>
      <c r="C840" s="644">
        <v>3000000</v>
      </c>
      <c r="D840" s="644"/>
      <c r="E840" s="644"/>
      <c r="F840" s="644"/>
      <c r="G840" s="967"/>
      <c r="H840" s="968"/>
    </row>
    <row r="841" spans="1:8" s="488" customFormat="1" ht="15" x14ac:dyDescent="0.2">
      <c r="A841" s="969"/>
      <c r="B841" s="981" t="s">
        <v>1770</v>
      </c>
      <c r="C841" s="644">
        <v>100000</v>
      </c>
      <c r="D841" s="644"/>
      <c r="E841" s="644"/>
      <c r="F841" s="644"/>
      <c r="G841" s="967"/>
      <c r="H841" s="968"/>
    </row>
    <row r="842" spans="1:8" s="488" customFormat="1" ht="15" x14ac:dyDescent="0.2">
      <c r="A842" s="969"/>
      <c r="B842" s="982" t="s">
        <v>1771</v>
      </c>
      <c r="C842" s="652">
        <v>100000</v>
      </c>
      <c r="D842" s="652"/>
      <c r="E842" s="652"/>
      <c r="F842" s="652"/>
      <c r="G842" s="967"/>
      <c r="H842" s="968"/>
    </row>
    <row r="843" spans="1:8" s="488" customFormat="1" ht="15" x14ac:dyDescent="0.2">
      <c r="A843" s="969"/>
      <c r="B843" s="982" t="s">
        <v>1772</v>
      </c>
      <c r="C843" s="644">
        <f>C844+C845+C846+C847</f>
        <v>29050000</v>
      </c>
      <c r="D843" s="644"/>
      <c r="E843" s="644"/>
      <c r="F843" s="644"/>
      <c r="G843" s="967"/>
      <c r="H843" s="968"/>
    </row>
    <row r="844" spans="1:8" s="488" customFormat="1" ht="15" x14ac:dyDescent="0.2">
      <c r="A844" s="969"/>
      <c r="B844" s="983" t="s">
        <v>1773</v>
      </c>
      <c r="C844" s="652">
        <v>5600000</v>
      </c>
      <c r="D844" s="652"/>
      <c r="E844" s="652"/>
      <c r="F844" s="652"/>
      <c r="G844" s="967"/>
      <c r="H844" s="968"/>
    </row>
    <row r="845" spans="1:8" s="488" customFormat="1" ht="15" x14ac:dyDescent="0.2">
      <c r="A845" s="649"/>
      <c r="B845" s="979" t="s">
        <v>1774</v>
      </c>
      <c r="C845" s="644">
        <v>20000000</v>
      </c>
      <c r="D845" s="644"/>
      <c r="E845" s="644"/>
      <c r="F845" s="644"/>
      <c r="G845" s="967"/>
      <c r="H845" s="968"/>
    </row>
    <row r="846" spans="1:8" s="488" customFormat="1" ht="15" x14ac:dyDescent="0.2">
      <c r="A846" s="649">
        <v>9</v>
      </c>
      <c r="B846" s="672" t="s">
        <v>1775</v>
      </c>
      <c r="C846" s="644">
        <v>900000</v>
      </c>
      <c r="D846" s="644"/>
      <c r="E846" s="644"/>
      <c r="F846" s="644"/>
      <c r="G846" s="967"/>
      <c r="H846" s="968"/>
    </row>
    <row r="847" spans="1:8" ht="15" x14ac:dyDescent="0.2">
      <c r="A847" s="649"/>
      <c r="B847" s="668" t="s">
        <v>1776</v>
      </c>
      <c r="C847" s="644">
        <v>2550000</v>
      </c>
      <c r="D847" s="644"/>
      <c r="E847" s="644"/>
      <c r="F847" s="644"/>
      <c r="G847" s="950"/>
      <c r="H847" s="19"/>
    </row>
    <row r="848" spans="1:8" ht="15" x14ac:dyDescent="0.2">
      <c r="A848" s="649"/>
      <c r="B848" s="668" t="s">
        <v>872</v>
      </c>
      <c r="C848" s="644">
        <v>100000</v>
      </c>
      <c r="D848" s="644"/>
      <c r="E848" s="644"/>
      <c r="F848" s="644"/>
      <c r="G848" s="950"/>
      <c r="H848" s="19"/>
    </row>
    <row r="849" spans="1:8" ht="15" x14ac:dyDescent="0.2">
      <c r="A849" s="649"/>
      <c r="B849" s="668" t="s">
        <v>1777</v>
      </c>
      <c r="C849" s="644">
        <v>0</v>
      </c>
      <c r="D849" s="644"/>
      <c r="E849" s="644"/>
      <c r="F849" s="644"/>
      <c r="G849" s="950"/>
      <c r="H849" s="19"/>
    </row>
    <row r="850" spans="1:8" s="98" customFormat="1" ht="15.75" x14ac:dyDescent="0.25">
      <c r="A850" s="628">
        <v>3613</v>
      </c>
      <c r="B850" s="634" t="s">
        <v>873</v>
      </c>
      <c r="C850" s="637">
        <f>C851+C866+C867+C868+C873+C887+C888</f>
        <v>32875000</v>
      </c>
      <c r="D850" s="637"/>
      <c r="E850" s="637"/>
      <c r="F850" s="637"/>
      <c r="G850" s="839"/>
      <c r="H850" s="244"/>
    </row>
    <row r="851" spans="1:8" s="488" customFormat="1" ht="12.75" customHeight="1" x14ac:dyDescent="0.2">
      <c r="A851" s="984"/>
      <c r="B851" s="985" t="s">
        <v>874</v>
      </c>
      <c r="C851" s="961">
        <f>SUM(C852:C865)</f>
        <v>7570000</v>
      </c>
      <c r="D851" s="961"/>
      <c r="E851" s="961"/>
      <c r="F851" s="961"/>
      <c r="G851" s="967"/>
      <c r="H851" s="968"/>
    </row>
    <row r="852" spans="1:8" ht="15" x14ac:dyDescent="0.2">
      <c r="A852" s="625"/>
      <c r="B852" s="668" t="s">
        <v>1778</v>
      </c>
      <c r="C852" s="644">
        <v>400000</v>
      </c>
      <c r="D852" s="644"/>
      <c r="E852" s="644"/>
      <c r="F852" s="644"/>
      <c r="G852" s="950"/>
      <c r="H852" s="19"/>
    </row>
    <row r="853" spans="1:8" ht="25.5" x14ac:dyDescent="0.2">
      <c r="A853" s="965"/>
      <c r="B853" s="668" t="s">
        <v>1779</v>
      </c>
      <c r="C853" s="652">
        <v>0</v>
      </c>
      <c r="D853" s="652"/>
      <c r="E853" s="652"/>
      <c r="F853" s="652"/>
      <c r="G853" s="950"/>
      <c r="H853" s="19"/>
    </row>
    <row r="854" spans="1:8" ht="15" x14ac:dyDescent="0.2">
      <c r="A854" s="965"/>
      <c r="B854" s="668" t="s">
        <v>1780</v>
      </c>
      <c r="C854" s="652">
        <v>220000</v>
      </c>
      <c r="D854" s="652"/>
      <c r="E854" s="652"/>
      <c r="F854" s="652"/>
      <c r="G854" s="950"/>
      <c r="H854" s="19"/>
    </row>
    <row r="855" spans="1:8" s="2" customFormat="1" ht="15" x14ac:dyDescent="0.2">
      <c r="A855" s="628"/>
      <c r="B855" s="668" t="s">
        <v>1781</v>
      </c>
      <c r="C855" s="975">
        <v>0</v>
      </c>
      <c r="D855" s="975"/>
      <c r="E855" s="975"/>
      <c r="F855" s="975"/>
      <c r="G855" s="950"/>
      <c r="H855" s="19"/>
    </row>
    <row r="856" spans="1:8" ht="15" x14ac:dyDescent="0.2">
      <c r="A856" s="628"/>
      <c r="B856" s="986" t="s">
        <v>1782</v>
      </c>
      <c r="C856" s="644">
        <v>150000</v>
      </c>
      <c r="D856" s="644"/>
      <c r="E856" s="644"/>
      <c r="F856" s="644"/>
      <c r="G856" s="950"/>
      <c r="H856" s="19"/>
    </row>
    <row r="857" spans="1:8" ht="15" x14ac:dyDescent="0.2">
      <c r="A857" s="628"/>
      <c r="B857" s="987" t="s">
        <v>1783</v>
      </c>
      <c r="C857" s="644">
        <v>0</v>
      </c>
      <c r="D857" s="644"/>
      <c r="E857" s="644"/>
      <c r="F857" s="644"/>
      <c r="G857" s="950"/>
      <c r="H857" s="19"/>
    </row>
    <row r="858" spans="1:8" ht="25.5" x14ac:dyDescent="0.2">
      <c r="A858" s="625"/>
      <c r="B858" s="987" t="s">
        <v>1784</v>
      </c>
      <c r="C858" s="644">
        <v>0</v>
      </c>
      <c r="D858" s="644"/>
      <c r="E858" s="644"/>
      <c r="F858" s="644"/>
      <c r="G858" s="950"/>
      <c r="H858" s="19"/>
    </row>
    <row r="859" spans="1:8" ht="15" x14ac:dyDescent="0.2">
      <c r="A859" s="625"/>
      <c r="B859" s="987" t="s">
        <v>1785</v>
      </c>
      <c r="C859" s="644">
        <v>0</v>
      </c>
      <c r="D859" s="644"/>
      <c r="E859" s="644"/>
      <c r="F859" s="644"/>
      <c r="G859" s="950"/>
      <c r="H859" s="19"/>
    </row>
    <row r="860" spans="1:8" ht="15" x14ac:dyDescent="0.2">
      <c r="A860" s="625"/>
      <c r="B860" s="672" t="s">
        <v>885</v>
      </c>
      <c r="C860" s="644">
        <v>0</v>
      </c>
      <c r="D860" s="644"/>
      <c r="E860" s="644"/>
      <c r="F860" s="644"/>
      <c r="G860" s="950"/>
      <c r="H860" s="19"/>
    </row>
    <row r="861" spans="1:8" ht="15" x14ac:dyDescent="0.2">
      <c r="A861" s="625"/>
      <c r="B861" s="986" t="s">
        <v>1786</v>
      </c>
      <c r="C861" s="644">
        <v>800000</v>
      </c>
      <c r="D861" s="644"/>
      <c r="E861" s="644"/>
      <c r="F861" s="644"/>
      <c r="G861" s="950"/>
      <c r="H861" s="19"/>
    </row>
    <row r="862" spans="1:8" ht="15" x14ac:dyDescent="0.2">
      <c r="A862" s="625"/>
      <c r="B862" s="672" t="s">
        <v>1787</v>
      </c>
      <c r="C862" s="644">
        <v>4000000</v>
      </c>
      <c r="D862" s="644"/>
      <c r="E862" s="644"/>
      <c r="F862" s="644"/>
      <c r="G862" s="950"/>
      <c r="H862" s="19"/>
    </row>
    <row r="863" spans="1:8" ht="15" x14ac:dyDescent="0.2">
      <c r="A863" s="625"/>
      <c r="B863" s="672" t="s">
        <v>1788</v>
      </c>
      <c r="C863" s="644">
        <v>700000</v>
      </c>
      <c r="D863" s="644"/>
      <c r="E863" s="644"/>
      <c r="F863" s="644"/>
      <c r="G863" s="950"/>
      <c r="H863" s="19"/>
    </row>
    <row r="864" spans="1:8" ht="15" x14ac:dyDescent="0.2">
      <c r="A864" s="625"/>
      <c r="B864" s="672" t="s">
        <v>1789</v>
      </c>
      <c r="C864" s="644">
        <v>900000</v>
      </c>
      <c r="D864" s="644"/>
      <c r="E864" s="644"/>
      <c r="F864" s="644"/>
      <c r="G864" s="950"/>
      <c r="H864" s="19"/>
    </row>
    <row r="865" spans="1:8" ht="12.75" customHeight="1" x14ac:dyDescent="0.2">
      <c r="A865" s="625"/>
      <c r="B865" s="987" t="s">
        <v>1790</v>
      </c>
      <c r="C865" s="644">
        <v>400000</v>
      </c>
      <c r="D865" s="644"/>
      <c r="E865" s="644"/>
      <c r="F865" s="644"/>
      <c r="G865" s="950"/>
      <c r="H865" s="19"/>
    </row>
    <row r="866" spans="1:8" ht="12.75" customHeight="1" x14ac:dyDescent="0.2">
      <c r="A866" s="625"/>
      <c r="B866" s="720" t="s">
        <v>1791</v>
      </c>
      <c r="C866" s="652">
        <v>30000</v>
      </c>
      <c r="D866" s="652"/>
      <c r="E866" s="652"/>
      <c r="F866" s="652"/>
      <c r="G866" s="950"/>
      <c r="H866" s="19"/>
    </row>
    <row r="867" spans="1:8" ht="14.25" customHeight="1" x14ac:dyDescent="0.2">
      <c r="A867" s="625"/>
      <c r="B867" s="720" t="s">
        <v>1792</v>
      </c>
      <c r="C867" s="961">
        <v>80000</v>
      </c>
      <c r="D867" s="961"/>
      <c r="E867" s="961"/>
      <c r="F867" s="961"/>
      <c r="G867" s="950"/>
      <c r="H867" s="19"/>
    </row>
    <row r="868" spans="1:8" ht="18" customHeight="1" x14ac:dyDescent="0.2">
      <c r="A868" s="965"/>
      <c r="B868" s="720" t="s">
        <v>1793</v>
      </c>
      <c r="C868" s="961">
        <f>C869+C870+C871+C872</f>
        <v>7900000</v>
      </c>
      <c r="D868" s="961"/>
      <c r="E868" s="961"/>
      <c r="F868" s="961"/>
      <c r="G868" s="950"/>
      <c r="H868" s="19"/>
    </row>
    <row r="869" spans="1:8" ht="12.75" customHeight="1" x14ac:dyDescent="0.2">
      <c r="A869" s="965"/>
      <c r="B869" s="720" t="s">
        <v>1794</v>
      </c>
      <c r="C869" s="644">
        <v>1000000</v>
      </c>
      <c r="D869" s="644"/>
      <c r="E869" s="644"/>
      <c r="F869" s="644"/>
      <c r="G869" s="950"/>
      <c r="H869" s="19"/>
    </row>
    <row r="870" spans="1:8" ht="12.75" customHeight="1" x14ac:dyDescent="0.2">
      <c r="A870" s="965"/>
      <c r="B870" s="720" t="s">
        <v>891</v>
      </c>
      <c r="C870" s="644">
        <v>2000000</v>
      </c>
      <c r="D870" s="644"/>
      <c r="E870" s="644"/>
      <c r="F870" s="644"/>
      <c r="G870" s="950"/>
      <c r="H870" s="19"/>
    </row>
    <row r="871" spans="1:8" ht="12.75" customHeight="1" x14ac:dyDescent="0.2">
      <c r="A871" s="628"/>
      <c r="B871" s="979" t="s">
        <v>892</v>
      </c>
      <c r="C871" s="652">
        <v>2050000</v>
      </c>
      <c r="D871" s="652"/>
      <c r="E871" s="652"/>
      <c r="F871" s="652"/>
      <c r="G871" s="950"/>
      <c r="H871" s="19"/>
    </row>
    <row r="872" spans="1:8" ht="12.75" customHeight="1" x14ac:dyDescent="0.2">
      <c r="A872" s="628"/>
      <c r="B872" s="979" t="s">
        <v>1795</v>
      </c>
      <c r="C872" s="652">
        <v>2850000</v>
      </c>
      <c r="D872" s="652"/>
      <c r="E872" s="652"/>
      <c r="F872" s="652"/>
      <c r="G872" s="950"/>
      <c r="H872" s="19"/>
    </row>
    <row r="873" spans="1:8" ht="12.75" customHeight="1" x14ac:dyDescent="0.2">
      <c r="A873" s="628"/>
      <c r="B873" s="985" t="s">
        <v>894</v>
      </c>
      <c r="C873" s="951">
        <f>SUM(C874:C886)</f>
        <v>7495000</v>
      </c>
      <c r="D873" s="951"/>
      <c r="E873" s="951"/>
      <c r="F873" s="951"/>
      <c r="G873" s="950"/>
      <c r="H873" s="19"/>
    </row>
    <row r="874" spans="1:8" ht="12.75" customHeight="1" x14ac:dyDescent="0.2">
      <c r="A874" s="628"/>
      <c r="B874" s="979" t="s">
        <v>1796</v>
      </c>
      <c r="C874" s="652">
        <v>700000</v>
      </c>
      <c r="D874" s="652"/>
      <c r="E874" s="652"/>
      <c r="F874" s="652"/>
      <c r="G874" s="950"/>
      <c r="H874" s="19"/>
    </row>
    <row r="875" spans="1:8" ht="12.75" customHeight="1" x14ac:dyDescent="0.2">
      <c r="A875" s="628"/>
      <c r="B875" s="679" t="s">
        <v>1797</v>
      </c>
      <c r="C875" s="652">
        <v>1300000</v>
      </c>
      <c r="D875" s="652"/>
      <c r="E875" s="652"/>
      <c r="F875" s="652"/>
      <c r="G875" s="950"/>
      <c r="H875" s="19"/>
    </row>
    <row r="876" spans="1:8" ht="15.75" customHeight="1" x14ac:dyDescent="0.2">
      <c r="A876" s="628"/>
      <c r="B876" s="679" t="s">
        <v>1798</v>
      </c>
      <c r="C876" s="652">
        <v>50000</v>
      </c>
      <c r="D876" s="652"/>
      <c r="E876" s="652"/>
      <c r="F876" s="652"/>
      <c r="G876" s="950"/>
      <c r="H876" s="19"/>
    </row>
    <row r="877" spans="1:8" ht="12.75" customHeight="1" x14ac:dyDescent="0.2">
      <c r="A877" s="628"/>
      <c r="B877" s="672" t="s">
        <v>900</v>
      </c>
      <c r="C877" s="652">
        <v>100000</v>
      </c>
      <c r="D877" s="652"/>
      <c r="E877" s="652"/>
      <c r="F877" s="652"/>
      <c r="G877" s="950"/>
      <c r="H877" s="19"/>
    </row>
    <row r="878" spans="1:8" ht="12.75" customHeight="1" x14ac:dyDescent="0.2">
      <c r="A878" s="628"/>
      <c r="B878" s="979" t="s">
        <v>1799</v>
      </c>
      <c r="C878" s="652">
        <v>50000</v>
      </c>
      <c r="D878" s="652"/>
      <c r="E878" s="652"/>
      <c r="F878" s="652"/>
      <c r="G878" s="950"/>
      <c r="H878" s="19"/>
    </row>
    <row r="879" spans="1:8" ht="12.75" customHeight="1" x14ac:dyDescent="0.2">
      <c r="A879" s="628"/>
      <c r="B879" s="987" t="s">
        <v>1800</v>
      </c>
      <c r="C879" s="652">
        <v>350000</v>
      </c>
      <c r="D879" s="652"/>
      <c r="E879" s="652"/>
      <c r="F879" s="652"/>
      <c r="G879" s="950"/>
      <c r="H879" s="19"/>
    </row>
    <row r="880" spans="1:8" ht="12.75" customHeight="1" x14ac:dyDescent="0.2">
      <c r="A880" s="628"/>
      <c r="B880" s="988" t="s">
        <v>1801</v>
      </c>
      <c r="C880" s="652">
        <v>150000</v>
      </c>
      <c r="D880" s="652"/>
      <c r="E880" s="652"/>
      <c r="F880" s="652"/>
      <c r="G880" s="950"/>
      <c r="H880" s="19"/>
    </row>
    <row r="881" spans="1:8" ht="12.75" customHeight="1" x14ac:dyDescent="0.2">
      <c r="A881" s="628"/>
      <c r="B881" s="679" t="s">
        <v>1802</v>
      </c>
      <c r="C881" s="652">
        <v>2180000</v>
      </c>
      <c r="D881" s="652"/>
      <c r="E881" s="652"/>
      <c r="F881" s="652"/>
      <c r="G881" s="950"/>
      <c r="H881" s="19"/>
    </row>
    <row r="882" spans="1:8" ht="12.75" customHeight="1" x14ac:dyDescent="0.2">
      <c r="A882" s="628"/>
      <c r="B882" s="987" t="s">
        <v>904</v>
      </c>
      <c r="C882" s="652">
        <v>100000</v>
      </c>
      <c r="D882" s="652"/>
      <c r="E882" s="652"/>
      <c r="F882" s="652"/>
      <c r="G882" s="950"/>
      <c r="H882" s="19"/>
    </row>
    <row r="883" spans="1:8" ht="12.75" customHeight="1" x14ac:dyDescent="0.2">
      <c r="A883" s="628"/>
      <c r="B883" s="672" t="s">
        <v>905</v>
      </c>
      <c r="C883" s="652">
        <v>15000</v>
      </c>
      <c r="D883" s="652"/>
      <c r="E883" s="652"/>
      <c r="F883" s="652"/>
      <c r="G883" s="950"/>
      <c r="H883" s="19"/>
    </row>
    <row r="884" spans="1:8" ht="12.75" customHeight="1" x14ac:dyDescent="0.2">
      <c r="A884" s="628"/>
      <c r="B884" s="987" t="s">
        <v>1803</v>
      </c>
      <c r="C884" s="652">
        <v>0</v>
      </c>
      <c r="D884" s="652"/>
      <c r="E884" s="652"/>
      <c r="F884" s="652"/>
      <c r="G884" s="950"/>
      <c r="H884" s="19"/>
    </row>
    <row r="885" spans="1:8" ht="28.9" customHeight="1" x14ac:dyDescent="0.2">
      <c r="A885" s="628"/>
      <c r="B885" s="668" t="s">
        <v>1804</v>
      </c>
      <c r="C885" s="652">
        <v>2500000</v>
      </c>
      <c r="D885" s="652"/>
      <c r="E885" s="652"/>
      <c r="F885" s="652"/>
      <c r="G885" s="950"/>
      <c r="H885" s="19"/>
    </row>
    <row r="886" spans="1:8" ht="12.75" customHeight="1" x14ac:dyDescent="0.2">
      <c r="A886" s="628"/>
      <c r="B886" s="979" t="s">
        <v>906</v>
      </c>
      <c r="C886" s="652">
        <v>0</v>
      </c>
      <c r="D886" s="652"/>
      <c r="E886" s="652"/>
      <c r="F886" s="652"/>
      <c r="G886" s="950"/>
      <c r="H886" s="19"/>
    </row>
    <row r="887" spans="1:8" ht="12.75" customHeight="1" x14ac:dyDescent="0.2">
      <c r="A887" s="965"/>
      <c r="B887" s="720" t="s">
        <v>907</v>
      </c>
      <c r="C887" s="951">
        <f>C889+C893+C902</f>
        <v>9470000</v>
      </c>
      <c r="D887" s="951"/>
      <c r="E887" s="951"/>
      <c r="F887" s="951"/>
      <c r="G887" s="950"/>
      <c r="H887" s="19"/>
    </row>
    <row r="888" spans="1:8" ht="43.5" customHeight="1" x14ac:dyDescent="0.2">
      <c r="A888" s="965"/>
      <c r="B888" s="668" t="s">
        <v>1805</v>
      </c>
      <c r="C888" s="652">
        <v>330000</v>
      </c>
      <c r="D888" s="652"/>
      <c r="E888" s="652"/>
      <c r="F888" s="652"/>
      <c r="G888" s="950"/>
      <c r="H888" s="19"/>
    </row>
    <row r="889" spans="1:8" ht="12.75" customHeight="1" x14ac:dyDescent="0.2">
      <c r="A889" s="965"/>
      <c r="B889" s="629" t="s">
        <v>1806</v>
      </c>
      <c r="C889" s="972">
        <f>C890+C891</f>
        <v>3700000</v>
      </c>
      <c r="D889" s="972"/>
      <c r="E889" s="972"/>
      <c r="F889" s="972"/>
      <c r="G889" s="950"/>
      <c r="H889" s="19"/>
    </row>
    <row r="890" spans="1:8" ht="12.75" customHeight="1" x14ac:dyDescent="0.2">
      <c r="A890" s="965"/>
      <c r="B890" s="987" t="s">
        <v>910</v>
      </c>
      <c r="C890" s="652">
        <v>2000000</v>
      </c>
      <c r="D890" s="652"/>
      <c r="E890" s="652"/>
      <c r="F890" s="652"/>
      <c r="G890" s="950"/>
      <c r="H890" s="19"/>
    </row>
    <row r="891" spans="1:8" ht="18.75" customHeight="1" x14ac:dyDescent="0.2">
      <c r="A891" s="628"/>
      <c r="B891" s="672" t="s">
        <v>1807</v>
      </c>
      <c r="C891" s="652">
        <f>C892</f>
        <v>1700000</v>
      </c>
      <c r="D891" s="652"/>
      <c r="E891" s="652"/>
      <c r="F891" s="652"/>
      <c r="G891" s="950"/>
      <c r="H891" s="19"/>
    </row>
    <row r="892" spans="1:8" ht="12.75" customHeight="1" x14ac:dyDescent="0.2">
      <c r="A892" s="628"/>
      <c r="B892" s="672" t="s">
        <v>1808</v>
      </c>
      <c r="C892" s="652">
        <v>1700000</v>
      </c>
      <c r="D892" s="652"/>
      <c r="E892" s="652"/>
      <c r="F892" s="652"/>
      <c r="G892" s="950"/>
      <c r="H892" s="19"/>
    </row>
    <row r="893" spans="1:8" s="488" customFormat="1" ht="12.75" customHeight="1" x14ac:dyDescent="0.2">
      <c r="A893" s="965"/>
      <c r="B893" s="989" t="s">
        <v>1809</v>
      </c>
      <c r="C893" s="972">
        <f>SUM(C894:C895)</f>
        <v>3270000</v>
      </c>
      <c r="D893" s="972"/>
      <c r="E893" s="972"/>
      <c r="F893" s="972"/>
      <c r="G893" s="967"/>
      <c r="H893" s="968"/>
    </row>
    <row r="894" spans="1:8" s="488" customFormat="1" ht="12.75" customHeight="1" x14ac:dyDescent="0.2">
      <c r="A894" s="965"/>
      <c r="B894" s="990" t="s">
        <v>921</v>
      </c>
      <c r="C894" s="652">
        <v>1000000</v>
      </c>
      <c r="D894" s="652"/>
      <c r="E894" s="652"/>
      <c r="F894" s="652"/>
      <c r="G894" s="967"/>
      <c r="H894" s="968"/>
    </row>
    <row r="895" spans="1:8" s="488" customFormat="1" ht="15" x14ac:dyDescent="0.2">
      <c r="A895" s="965"/>
      <c r="B895" s="990" t="s">
        <v>1810</v>
      </c>
      <c r="C895" s="652">
        <f>C896+C897+C898+C899+C900+C901</f>
        <v>2270000</v>
      </c>
      <c r="D895" s="652"/>
      <c r="E895" s="652"/>
      <c r="F895" s="652"/>
      <c r="G895" s="967"/>
      <c r="H895" s="968"/>
    </row>
    <row r="896" spans="1:8" s="488" customFormat="1" ht="12.75" customHeight="1" x14ac:dyDescent="0.2">
      <c r="A896" s="628"/>
      <c r="B896" s="672" t="s">
        <v>926</v>
      </c>
      <c r="C896" s="652">
        <v>100000</v>
      </c>
      <c r="D896" s="652"/>
      <c r="E896" s="652"/>
      <c r="F896" s="652"/>
      <c r="G896" s="967"/>
      <c r="H896" s="968"/>
    </row>
    <row r="897" spans="1:8" s="488" customFormat="1" ht="12.75" customHeight="1" x14ac:dyDescent="0.2">
      <c r="A897" s="628"/>
      <c r="B897" s="672" t="s">
        <v>1811</v>
      </c>
      <c r="C897" s="652">
        <v>850000</v>
      </c>
      <c r="D897" s="652"/>
      <c r="E897" s="652"/>
      <c r="F897" s="652"/>
      <c r="G897" s="967"/>
      <c r="H897" s="968"/>
    </row>
    <row r="898" spans="1:8" ht="12.75" customHeight="1" x14ac:dyDescent="0.2">
      <c r="A898" s="965"/>
      <c r="B898" s="668" t="s">
        <v>1812</v>
      </c>
      <c r="C898" s="644">
        <v>0</v>
      </c>
      <c r="D898" s="644"/>
      <c r="E898" s="644"/>
      <c r="F898" s="644"/>
      <c r="G898" s="950"/>
      <c r="H898" s="19"/>
    </row>
    <row r="899" spans="1:8" ht="12.75" customHeight="1" x14ac:dyDescent="0.2">
      <c r="A899" s="965"/>
      <c r="B899" s="981" t="s">
        <v>1813</v>
      </c>
      <c r="C899" s="652">
        <v>620000</v>
      </c>
      <c r="D899" s="652"/>
      <c r="E899" s="652"/>
      <c r="F899" s="652"/>
      <c r="G899" s="950"/>
      <c r="H899" s="19"/>
    </row>
    <row r="900" spans="1:8" s="488" customFormat="1" ht="12.75" customHeight="1" x14ac:dyDescent="0.2">
      <c r="A900" s="965"/>
      <c r="B900" s="981" t="s">
        <v>1814</v>
      </c>
      <c r="C900" s="652">
        <v>500000</v>
      </c>
      <c r="D900" s="652"/>
      <c r="E900" s="652"/>
      <c r="F900" s="652"/>
      <c r="G900" s="967"/>
      <c r="H900" s="968"/>
    </row>
    <row r="901" spans="1:8" s="488" customFormat="1" ht="12.75" customHeight="1" x14ac:dyDescent="0.2">
      <c r="A901" s="965"/>
      <c r="B901" s="668" t="s">
        <v>1815</v>
      </c>
      <c r="C901" s="652">
        <v>200000</v>
      </c>
      <c r="D901" s="652"/>
      <c r="E901" s="652"/>
      <c r="F901" s="652"/>
      <c r="G901" s="967"/>
      <c r="H901" s="968"/>
    </row>
    <row r="902" spans="1:8" s="488" customFormat="1" ht="12.75" customHeight="1" x14ac:dyDescent="0.2">
      <c r="A902" s="965"/>
      <c r="B902" s="991" t="s">
        <v>1816</v>
      </c>
      <c r="C902" s="951">
        <f>SUM(C903:C907)</f>
        <v>2500000</v>
      </c>
      <c r="D902" s="951"/>
      <c r="E902" s="951"/>
      <c r="F902" s="951"/>
      <c r="G902" s="967"/>
      <c r="H902" s="968"/>
    </row>
    <row r="903" spans="1:8" s="488" customFormat="1" ht="16.149999999999999" customHeight="1" x14ac:dyDescent="0.2">
      <c r="A903" s="965"/>
      <c r="B903" s="981" t="s">
        <v>1817</v>
      </c>
      <c r="C903" s="644">
        <v>700000</v>
      </c>
      <c r="D903" s="644"/>
      <c r="E903" s="644"/>
      <c r="F903" s="644"/>
      <c r="G903" s="967"/>
      <c r="H903" s="968"/>
    </row>
    <row r="904" spans="1:8" s="488" customFormat="1" ht="15" x14ac:dyDescent="0.2">
      <c r="A904" s="965"/>
      <c r="B904" s="981" t="s">
        <v>1818</v>
      </c>
      <c r="C904" s="652">
        <v>700000</v>
      </c>
      <c r="D904" s="652"/>
      <c r="E904" s="652"/>
      <c r="F904" s="652"/>
      <c r="G904" s="967"/>
      <c r="H904" s="968"/>
    </row>
    <row r="905" spans="1:8" s="488" customFormat="1" ht="12.75" customHeight="1" x14ac:dyDescent="0.2">
      <c r="A905" s="965"/>
      <c r="B905" s="980" t="s">
        <v>1819</v>
      </c>
      <c r="C905" s="644">
        <v>200000</v>
      </c>
      <c r="D905" s="644"/>
      <c r="E905" s="644"/>
      <c r="F905" s="644"/>
      <c r="G905" s="967"/>
      <c r="H905" s="968"/>
    </row>
    <row r="906" spans="1:8" s="488" customFormat="1" ht="12.75" customHeight="1" x14ac:dyDescent="0.2">
      <c r="A906" s="965"/>
      <c r="B906" s="987" t="s">
        <v>1820</v>
      </c>
      <c r="C906" s="975">
        <v>200000</v>
      </c>
      <c r="D906" s="975"/>
      <c r="E906" s="975"/>
      <c r="F906" s="975"/>
      <c r="G906" s="967"/>
      <c r="H906" s="968"/>
    </row>
    <row r="907" spans="1:8" s="488" customFormat="1" ht="12.75" customHeight="1" x14ac:dyDescent="0.2">
      <c r="A907" s="628"/>
      <c r="B907" s="979" t="s">
        <v>1821</v>
      </c>
      <c r="C907" s="644">
        <v>700000</v>
      </c>
      <c r="D907" s="644"/>
      <c r="E907" s="644"/>
      <c r="F907" s="644"/>
      <c r="G907" s="967"/>
      <c r="H907" s="968"/>
    </row>
    <row r="908" spans="1:8" s="992" customFormat="1" ht="12.75" customHeight="1" x14ac:dyDescent="0.25">
      <c r="A908" s="628">
        <v>3634</v>
      </c>
      <c r="B908" s="993" t="s">
        <v>1822</v>
      </c>
      <c r="C908" s="637">
        <f>SUM(C909:C913)</f>
        <v>4450000</v>
      </c>
      <c r="D908" s="637"/>
      <c r="E908" s="637"/>
      <c r="F908" s="637"/>
      <c r="G908" s="839"/>
      <c r="H908" s="994"/>
    </row>
    <row r="909" spans="1:8" s="488" customFormat="1" ht="12.75" customHeight="1" x14ac:dyDescent="0.2">
      <c r="A909" s="628"/>
      <c r="B909" s="981" t="s">
        <v>1823</v>
      </c>
      <c r="C909" s="644">
        <v>350000</v>
      </c>
      <c r="D909" s="644"/>
      <c r="E909" s="644"/>
      <c r="F909" s="644"/>
      <c r="G909" s="967"/>
      <c r="H909" s="968"/>
    </row>
    <row r="910" spans="1:8" s="488" customFormat="1" ht="12.75" customHeight="1" x14ac:dyDescent="0.2">
      <c r="A910" s="628"/>
      <c r="B910" s="981" t="s">
        <v>1824</v>
      </c>
      <c r="C910" s="644">
        <v>1000000</v>
      </c>
      <c r="D910" s="644"/>
      <c r="E910" s="644"/>
      <c r="F910" s="644"/>
      <c r="G910" s="967"/>
      <c r="H910" s="968"/>
    </row>
    <row r="911" spans="1:8" ht="12.75" customHeight="1" x14ac:dyDescent="0.2">
      <c r="A911" s="628"/>
      <c r="B911" s="981" t="s">
        <v>943</v>
      </c>
      <c r="C911" s="652">
        <v>500000</v>
      </c>
      <c r="D911" s="652"/>
      <c r="E911" s="652"/>
      <c r="F911" s="652"/>
      <c r="G911" s="950"/>
      <c r="H911" s="19"/>
    </row>
    <row r="912" spans="1:8" ht="12.75" customHeight="1" x14ac:dyDescent="0.2">
      <c r="A912" s="625"/>
      <c r="B912" s="981" t="s">
        <v>1825</v>
      </c>
      <c r="C912" s="652">
        <v>500000</v>
      </c>
      <c r="D912" s="652"/>
      <c r="E912" s="652"/>
      <c r="F912" s="652"/>
      <c r="G912" s="950"/>
      <c r="H912" s="19"/>
    </row>
    <row r="913" spans="1:8" ht="15" x14ac:dyDescent="0.2">
      <c r="A913" s="625"/>
      <c r="B913" s="995" t="s">
        <v>945</v>
      </c>
      <c r="C913" s="644">
        <f>C914+C915+C916+C917+C918+C919+C920+C921</f>
        <v>2100000</v>
      </c>
      <c r="D913" s="644"/>
      <c r="E913" s="644"/>
      <c r="F913" s="644"/>
      <c r="G913" s="950"/>
      <c r="H913" s="19"/>
    </row>
    <row r="914" spans="1:8" ht="14.25" customHeight="1" x14ac:dyDescent="0.2">
      <c r="A914" s="649"/>
      <c r="B914" s="987" t="s">
        <v>1826</v>
      </c>
      <c r="C914" s="652">
        <v>0</v>
      </c>
      <c r="D914" s="652"/>
      <c r="E914" s="652"/>
      <c r="F914" s="652"/>
      <c r="G914" s="950"/>
      <c r="H914" s="19"/>
    </row>
    <row r="915" spans="1:8" s="2" customFormat="1" ht="12.75" customHeight="1" x14ac:dyDescent="0.2">
      <c r="A915" s="649"/>
      <c r="B915" s="987" t="s">
        <v>1827</v>
      </c>
      <c r="C915" s="652">
        <v>0</v>
      </c>
      <c r="D915" s="652"/>
      <c r="E915" s="652"/>
      <c r="F915" s="652"/>
      <c r="G915" s="950"/>
      <c r="H915" s="19"/>
    </row>
    <row r="916" spans="1:8" s="2" customFormat="1" ht="12.75" customHeight="1" x14ac:dyDescent="0.2">
      <c r="A916" s="649"/>
      <c r="B916" s="987" t="s">
        <v>1828</v>
      </c>
      <c r="C916" s="652">
        <v>0</v>
      </c>
      <c r="D916" s="652"/>
      <c r="E916" s="652"/>
      <c r="F916" s="652"/>
      <c r="G916" s="950"/>
      <c r="H916" s="19"/>
    </row>
    <row r="917" spans="1:8" s="2" customFormat="1" ht="12.75" customHeight="1" x14ac:dyDescent="0.2">
      <c r="A917" s="649"/>
      <c r="B917" s="987" t="s">
        <v>1829</v>
      </c>
      <c r="C917" s="652">
        <v>0</v>
      </c>
      <c r="D917" s="652"/>
      <c r="E917" s="652"/>
      <c r="F917" s="652"/>
      <c r="G917" s="950"/>
      <c r="H917" s="19"/>
    </row>
    <row r="918" spans="1:8" s="2" customFormat="1" ht="12.75" customHeight="1" x14ac:dyDescent="0.2">
      <c r="A918" s="649"/>
      <c r="B918" s="996" t="s">
        <v>1830</v>
      </c>
      <c r="C918" s="652">
        <v>0</v>
      </c>
      <c r="D918" s="652"/>
      <c r="E918" s="652"/>
      <c r="F918" s="652"/>
      <c r="G918" s="950"/>
      <c r="H918" s="19"/>
    </row>
    <row r="919" spans="1:8" s="2" customFormat="1" ht="12.75" customHeight="1" x14ac:dyDescent="0.2">
      <c r="A919" s="649"/>
      <c r="B919" s="997" t="s">
        <v>1831</v>
      </c>
      <c r="C919" s="652">
        <v>600000</v>
      </c>
      <c r="D919" s="652"/>
      <c r="E919" s="652"/>
      <c r="F919" s="652"/>
      <c r="G919" s="950"/>
      <c r="H919" s="19"/>
    </row>
    <row r="920" spans="1:8" s="2" customFormat="1" ht="12.75" customHeight="1" x14ac:dyDescent="0.2">
      <c r="A920" s="649"/>
      <c r="B920" s="997" t="s">
        <v>1832</v>
      </c>
      <c r="C920" s="644">
        <v>0</v>
      </c>
      <c r="D920" s="644"/>
      <c r="E920" s="644"/>
      <c r="F920" s="644"/>
      <c r="G920" s="950"/>
      <c r="H920" s="19"/>
    </row>
    <row r="921" spans="1:8" s="2" customFormat="1" ht="12.75" customHeight="1" x14ac:dyDescent="0.2">
      <c r="A921" s="649"/>
      <c r="B921" s="997" t="s">
        <v>1833</v>
      </c>
      <c r="C921" s="644">
        <v>1500000</v>
      </c>
      <c r="D921" s="644"/>
      <c r="E921" s="644"/>
      <c r="F921" s="644"/>
      <c r="G921" s="950"/>
      <c r="H921" s="19"/>
    </row>
    <row r="922" spans="1:8" s="2" customFormat="1" ht="12.75" customHeight="1" x14ac:dyDescent="0.2">
      <c r="A922" s="628">
        <v>4351</v>
      </c>
      <c r="B922" s="998" t="s">
        <v>1834</v>
      </c>
      <c r="C922" s="635">
        <v>10000</v>
      </c>
      <c r="D922" s="635"/>
      <c r="E922" s="635"/>
      <c r="F922" s="635"/>
      <c r="G922" s="950"/>
      <c r="H922" s="19"/>
    </row>
    <row r="923" spans="1:8" s="2" customFormat="1" ht="12.75" customHeight="1" x14ac:dyDescent="0.2">
      <c r="A923" s="628">
        <v>4374</v>
      </c>
      <c r="B923" s="998" t="s">
        <v>753</v>
      </c>
      <c r="C923" s="635">
        <f>C924</f>
        <v>1140000</v>
      </c>
      <c r="D923" s="635"/>
      <c r="E923" s="635"/>
      <c r="F923" s="635"/>
      <c r="G923" s="950"/>
      <c r="H923" s="19"/>
    </row>
    <row r="924" spans="1:8" s="2" customFormat="1" ht="15.75" customHeight="1" x14ac:dyDescent="0.2">
      <c r="A924" s="649"/>
      <c r="B924" s="997" t="s">
        <v>1835</v>
      </c>
      <c r="C924" s="652">
        <f>C925+C926</f>
        <v>1140000</v>
      </c>
      <c r="D924" s="652"/>
      <c r="E924" s="652"/>
      <c r="F924" s="652"/>
      <c r="G924" s="950"/>
      <c r="H924" s="19"/>
    </row>
    <row r="925" spans="1:8" s="2" customFormat="1" ht="21" customHeight="1" x14ac:dyDescent="0.2">
      <c r="A925" s="649"/>
      <c r="B925" s="997" t="s">
        <v>1836</v>
      </c>
      <c r="C925" s="644">
        <v>1000000</v>
      </c>
      <c r="D925" s="644"/>
      <c r="E925" s="644"/>
      <c r="F925" s="644"/>
      <c r="G925" s="950"/>
      <c r="H925" s="19"/>
    </row>
    <row r="926" spans="1:8" s="2" customFormat="1" ht="12.75" customHeight="1" x14ac:dyDescent="0.2">
      <c r="A926" s="628"/>
      <c r="B926" s="679" t="s">
        <v>1837</v>
      </c>
      <c r="C926" s="652">
        <v>140000</v>
      </c>
      <c r="D926" s="652"/>
      <c r="E926" s="652"/>
      <c r="F926" s="652"/>
      <c r="G926" s="950"/>
      <c r="H926" s="19"/>
    </row>
    <row r="927" spans="1:8" s="2" customFormat="1" ht="12.75" customHeight="1" x14ac:dyDescent="0.2">
      <c r="A927" s="628">
        <v>6171</v>
      </c>
      <c r="B927" s="999" t="s">
        <v>969</v>
      </c>
      <c r="C927" s="637">
        <f>SUM(C928:C933)</f>
        <v>1500000</v>
      </c>
      <c r="D927" s="637"/>
      <c r="E927" s="637"/>
      <c r="F927" s="637"/>
      <c r="G927" s="950"/>
      <c r="H927" s="19"/>
    </row>
    <row r="928" spans="1:8" s="2" customFormat="1" ht="12.75" customHeight="1" x14ac:dyDescent="0.2">
      <c r="A928" s="628"/>
      <c r="B928" s="679" t="s">
        <v>970</v>
      </c>
      <c r="C928" s="652">
        <v>50000</v>
      </c>
      <c r="D928" s="652"/>
      <c r="E928" s="652"/>
      <c r="F928" s="652"/>
      <c r="G928" s="950"/>
      <c r="H928" s="19"/>
    </row>
    <row r="929" spans="1:251" ht="12.75" customHeight="1" x14ac:dyDescent="0.2">
      <c r="A929" s="1000"/>
      <c r="B929" s="1001" t="s">
        <v>1838</v>
      </c>
      <c r="C929" s="652">
        <v>820000</v>
      </c>
      <c r="D929" s="652"/>
      <c r="E929" s="652"/>
      <c r="F929" s="652"/>
      <c r="G929" s="950"/>
      <c r="H929" s="19"/>
    </row>
    <row r="930" spans="1:251" ht="12.75" customHeight="1" x14ac:dyDescent="0.2">
      <c r="A930" s="1000"/>
      <c r="B930" s="1001" t="s">
        <v>1839</v>
      </c>
      <c r="C930" s="652">
        <v>180000</v>
      </c>
      <c r="D930" s="652"/>
      <c r="E930" s="652"/>
      <c r="F930" s="652"/>
      <c r="G930" s="950"/>
      <c r="H930" s="19"/>
    </row>
    <row r="931" spans="1:251" ht="12.75" customHeight="1" x14ac:dyDescent="0.2">
      <c r="A931" s="628"/>
      <c r="B931" s="679" t="s">
        <v>1840</v>
      </c>
      <c r="C931" s="652">
        <v>0</v>
      </c>
      <c r="D931" s="652"/>
      <c r="E931" s="652"/>
      <c r="F931" s="652"/>
      <c r="G931" s="1002"/>
      <c r="H931" s="19"/>
    </row>
    <row r="932" spans="1:251" ht="12.75" customHeight="1" x14ac:dyDescent="0.2">
      <c r="A932" s="649"/>
      <c r="B932" s="679" t="s">
        <v>1841</v>
      </c>
      <c r="C932" s="652">
        <v>200000</v>
      </c>
      <c r="D932" s="652"/>
      <c r="E932" s="652"/>
      <c r="F932" s="652"/>
      <c r="G932" s="950"/>
      <c r="H932" s="19"/>
    </row>
    <row r="933" spans="1:251" ht="12.75" customHeight="1" x14ac:dyDescent="0.2">
      <c r="A933" s="1000"/>
      <c r="B933" s="1003" t="s">
        <v>1842</v>
      </c>
      <c r="C933" s="785">
        <v>250000</v>
      </c>
      <c r="D933" s="785"/>
      <c r="E933" s="785"/>
      <c r="F933" s="785"/>
      <c r="G933" s="950"/>
      <c r="H933" s="19"/>
    </row>
    <row r="934" spans="1:251" ht="12.75" customHeight="1" x14ac:dyDescent="0.2">
      <c r="A934" s="1004"/>
      <c r="B934" s="809" t="s">
        <v>1843</v>
      </c>
      <c r="C934" s="695">
        <v>0</v>
      </c>
      <c r="D934" s="695"/>
      <c r="E934" s="695"/>
      <c r="F934" s="695"/>
      <c r="G934" s="1005"/>
      <c r="H934" s="19"/>
    </row>
    <row r="935" spans="1:251" ht="12.75" customHeight="1" x14ac:dyDescent="0.2">
      <c r="A935" s="1006"/>
      <c r="B935" s="1007"/>
      <c r="C935" s="739"/>
      <c r="D935" s="739"/>
      <c r="E935" s="739"/>
      <c r="F935" s="739"/>
      <c r="G935" s="1008"/>
    </row>
    <row r="936" spans="1:251" s="1009" customFormat="1" ht="20.25" x14ac:dyDescent="0.3">
      <c r="A936" s="734"/>
      <c r="B936" s="757" t="s">
        <v>52</v>
      </c>
      <c r="C936" s="859">
        <f>SUM(C937+C941+C944)</f>
        <v>1145000</v>
      </c>
      <c r="D936" s="859"/>
      <c r="E936" s="859"/>
      <c r="F936" s="859"/>
      <c r="G936" s="860"/>
      <c r="IK936" s="558"/>
      <c r="IL936" s="558"/>
      <c r="IM936" s="558"/>
      <c r="IN936" s="558"/>
      <c r="IO936" s="558"/>
      <c r="IP936" s="558"/>
      <c r="IQ936" s="558"/>
    </row>
    <row r="937" spans="1:251" s="545" customFormat="1" x14ac:dyDescent="0.2">
      <c r="A937" s="660">
        <v>2169</v>
      </c>
      <c r="B937" s="626" t="s">
        <v>1844</v>
      </c>
      <c r="C937" s="637">
        <f>SUM(C938:C940)</f>
        <v>250000</v>
      </c>
      <c r="D937" s="637"/>
      <c r="E937" s="637"/>
      <c r="F937" s="637"/>
      <c r="G937" s="639"/>
      <c r="IK937" s="98"/>
      <c r="IL937" s="98"/>
      <c r="IM937" s="98"/>
      <c r="IN937" s="98"/>
      <c r="IO937" s="98"/>
      <c r="IP937" s="98"/>
      <c r="IQ937" s="98"/>
    </row>
    <row r="938" spans="1:251" s="545" customFormat="1" x14ac:dyDescent="0.2">
      <c r="A938" s="660"/>
      <c r="B938" s="679" t="s">
        <v>976</v>
      </c>
      <c r="C938" s="644">
        <v>47000</v>
      </c>
      <c r="D938" s="644"/>
      <c r="E938" s="644"/>
      <c r="F938" s="644"/>
      <c r="G938" s="670"/>
      <c r="IK938" s="98"/>
      <c r="IL938" s="98"/>
      <c r="IM938" s="98"/>
      <c r="IN938" s="98"/>
      <c r="IO938" s="98"/>
      <c r="IP938" s="98"/>
      <c r="IQ938" s="98"/>
    </row>
    <row r="939" spans="1:251" s="545" customFormat="1" x14ac:dyDescent="0.2">
      <c r="A939" s="660"/>
      <c r="B939" s="679" t="s">
        <v>977</v>
      </c>
      <c r="C939" s="644">
        <v>200000</v>
      </c>
      <c r="D939" s="644"/>
      <c r="E939" s="644"/>
      <c r="F939" s="644"/>
      <c r="G939" s="670"/>
      <c r="IK939" s="98"/>
      <c r="IL939" s="98"/>
      <c r="IM939" s="98"/>
      <c r="IN939" s="98"/>
      <c r="IO939" s="98"/>
      <c r="IP939" s="98"/>
      <c r="IQ939" s="98"/>
    </row>
    <row r="940" spans="1:251" s="545" customFormat="1" x14ac:dyDescent="0.2">
      <c r="A940" s="660"/>
      <c r="B940" s="679" t="s">
        <v>978</v>
      </c>
      <c r="C940" s="644">
        <v>3000</v>
      </c>
      <c r="D940" s="644"/>
      <c r="E940" s="644"/>
      <c r="F940" s="644"/>
      <c r="G940" s="670"/>
      <c r="IK940" s="98"/>
      <c r="IL940" s="98"/>
      <c r="IM940" s="98"/>
      <c r="IN940" s="98"/>
      <c r="IO940" s="98"/>
      <c r="IP940" s="98"/>
      <c r="IQ940" s="98"/>
    </row>
    <row r="941" spans="1:251" s="545" customFormat="1" x14ac:dyDescent="0.2">
      <c r="A941" s="663">
        <v>3635</v>
      </c>
      <c r="B941" s="629" t="s">
        <v>980</v>
      </c>
      <c r="C941" s="635">
        <f>SUM(C942:C943)</f>
        <v>300000</v>
      </c>
      <c r="D941" s="635"/>
      <c r="E941" s="635"/>
      <c r="F941" s="635"/>
      <c r="G941" s="636"/>
      <c r="IK941" s="98"/>
      <c r="IL941" s="98"/>
      <c r="IM941" s="98"/>
      <c r="IN941" s="98"/>
      <c r="IO941" s="98"/>
      <c r="IP941" s="98"/>
      <c r="IQ941" s="98"/>
    </row>
    <row r="942" spans="1:251" s="545" customFormat="1" x14ac:dyDescent="0.2">
      <c r="A942" s="664"/>
      <c r="B942" s="643" t="s">
        <v>981</v>
      </c>
      <c r="C942" s="644">
        <v>0</v>
      </c>
      <c r="D942" s="644"/>
      <c r="E942" s="644"/>
      <c r="F942" s="644"/>
      <c r="G942" s="670"/>
      <c r="IK942" s="98"/>
      <c r="IL942" s="98"/>
      <c r="IM942" s="98"/>
      <c r="IN942" s="98"/>
      <c r="IO942" s="98"/>
      <c r="IP942" s="98"/>
      <c r="IQ942" s="98"/>
    </row>
    <row r="943" spans="1:251" s="545" customFormat="1" x14ac:dyDescent="0.2">
      <c r="A943" s="664"/>
      <c r="B943" s="643" t="s">
        <v>1845</v>
      </c>
      <c r="C943" s="644">
        <v>300000</v>
      </c>
      <c r="D943" s="644"/>
      <c r="E943" s="644"/>
      <c r="F943" s="644"/>
      <c r="G943" s="670"/>
      <c r="IK943" s="98"/>
      <c r="IL943" s="98"/>
      <c r="IM943" s="98"/>
      <c r="IN943" s="98"/>
      <c r="IO943" s="98"/>
      <c r="IP943" s="98"/>
      <c r="IQ943" s="98"/>
    </row>
    <row r="944" spans="1:251" s="545" customFormat="1" ht="15.75" x14ac:dyDescent="0.25">
      <c r="A944" s="1010"/>
      <c r="B944" s="657" t="s">
        <v>985</v>
      </c>
      <c r="C944" s="764">
        <v>595000</v>
      </c>
      <c r="D944" s="764"/>
      <c r="E944" s="764"/>
      <c r="F944" s="764"/>
      <c r="G944" s="1011"/>
      <c r="IK944" s="98"/>
      <c r="IL944" s="98"/>
      <c r="IM944" s="98"/>
      <c r="IN944" s="98"/>
      <c r="IO944" s="98"/>
      <c r="IP944" s="98"/>
      <c r="IQ944" s="98"/>
    </row>
    <row r="945" spans="1:251" s="545" customFormat="1" x14ac:dyDescent="0.2">
      <c r="A945" s="699">
        <v>3699</v>
      </c>
      <c r="B945" s="626" t="s">
        <v>1846</v>
      </c>
      <c r="C945" s="637">
        <v>595000</v>
      </c>
      <c r="D945" s="637"/>
      <c r="E945" s="637"/>
      <c r="F945" s="637"/>
      <c r="G945" s="1012"/>
      <c r="IK945" s="98"/>
      <c r="IL945" s="98"/>
      <c r="IM945" s="98"/>
      <c r="IN945" s="98"/>
      <c r="IO945" s="98"/>
      <c r="IP945" s="98"/>
      <c r="IQ945" s="98"/>
    </row>
    <row r="946" spans="1:251" s="550" customFormat="1" x14ac:dyDescent="0.2">
      <c r="A946" s="692"/>
      <c r="B946" s="1013"/>
      <c r="C946" s="785"/>
      <c r="D946" s="785"/>
      <c r="E946" s="785"/>
      <c r="F946" s="785"/>
      <c r="G946" s="1014"/>
      <c r="IK946" s="1"/>
      <c r="IL946" s="1"/>
      <c r="IM946" s="1"/>
      <c r="IN946" s="1"/>
      <c r="IO946" s="1"/>
      <c r="IP946" s="1"/>
      <c r="IQ946" s="1"/>
    </row>
    <row r="947" spans="1:251" s="558" customFormat="1" ht="20.25" x14ac:dyDescent="0.3">
      <c r="A947" s="1015"/>
      <c r="B947" s="787" t="s">
        <v>54</v>
      </c>
      <c r="C947" s="871">
        <f>SUM(C948:C954,C956,C957,C960,C964)-C950</f>
        <v>85052500</v>
      </c>
      <c r="D947" s="871"/>
      <c r="E947" s="871"/>
      <c r="F947" s="871"/>
      <c r="G947" s="761"/>
    </row>
    <row r="948" spans="1:251" s="553" customFormat="1" ht="12.75" customHeight="1" x14ac:dyDescent="0.2">
      <c r="A948" s="1016" t="s">
        <v>1847</v>
      </c>
      <c r="B948" s="688" t="s">
        <v>1848</v>
      </c>
      <c r="C948" s="637">
        <v>242500</v>
      </c>
      <c r="D948" s="637"/>
      <c r="E948" s="637"/>
      <c r="F948" s="637"/>
      <c r="G948" s="639"/>
    </row>
    <row r="949" spans="1:251" s="98" customFormat="1" ht="12.75" customHeight="1" x14ac:dyDescent="0.3">
      <c r="A949" s="663">
        <v>3113</v>
      </c>
      <c r="B949" s="629" t="s">
        <v>1849</v>
      </c>
      <c r="C949" s="637">
        <f>C950</f>
        <v>0</v>
      </c>
      <c r="D949" s="637"/>
      <c r="E949" s="637"/>
      <c r="F949" s="637"/>
      <c r="G949" s="639"/>
      <c r="I949" s="557"/>
    </row>
    <row r="950" spans="1:251" s="98" customFormat="1" ht="12.75" customHeight="1" x14ac:dyDescent="0.3">
      <c r="A950" s="663"/>
      <c r="B950" s="672" t="s">
        <v>1850</v>
      </c>
      <c r="C950" s="644">
        <v>0</v>
      </c>
      <c r="D950" s="644"/>
      <c r="E950" s="644"/>
      <c r="F950" s="644"/>
      <c r="G950" s="639"/>
      <c r="I950" s="557"/>
    </row>
    <row r="951" spans="1:251" s="98" customFormat="1" ht="12.75" customHeight="1" x14ac:dyDescent="0.3">
      <c r="A951" s="663">
        <v>3634</v>
      </c>
      <c r="B951" s="629" t="s">
        <v>1851</v>
      </c>
      <c r="C951" s="637">
        <v>8000000</v>
      </c>
      <c r="D951" s="637"/>
      <c r="E951" s="637"/>
      <c r="F951" s="637"/>
      <c r="G951" s="639"/>
      <c r="I951" s="558"/>
    </row>
    <row r="952" spans="1:251" s="553" customFormat="1" ht="12.75" customHeight="1" x14ac:dyDescent="0.2">
      <c r="A952" s="660">
        <v>3639</v>
      </c>
      <c r="B952" s="626" t="s">
        <v>1852</v>
      </c>
      <c r="C952" s="637">
        <v>200000</v>
      </c>
      <c r="D952" s="637"/>
      <c r="E952" s="637"/>
      <c r="F952" s="637"/>
      <c r="G952" s="639"/>
    </row>
    <row r="953" spans="1:251" ht="25.5" x14ac:dyDescent="0.2">
      <c r="A953" s="663">
        <v>6171</v>
      </c>
      <c r="B953" s="1017" t="s">
        <v>1853</v>
      </c>
      <c r="C953" s="637">
        <v>100000</v>
      </c>
      <c r="D953" s="637"/>
      <c r="E953" s="637"/>
      <c r="F953" s="637"/>
      <c r="G953" s="639"/>
    </row>
    <row r="954" spans="1:251" x14ac:dyDescent="0.2">
      <c r="A954" s="663">
        <v>6221</v>
      </c>
      <c r="B954" s="1017" t="s">
        <v>1854</v>
      </c>
      <c r="C954" s="637">
        <v>0</v>
      </c>
      <c r="D954" s="637"/>
      <c r="E954" s="637"/>
      <c r="F954" s="637"/>
      <c r="G954" s="639"/>
    </row>
    <row r="955" spans="1:251" x14ac:dyDescent="0.2">
      <c r="A955" s="663"/>
      <c r="B955" s="1018" t="s">
        <v>1855</v>
      </c>
      <c r="C955" s="644">
        <f>C954</f>
        <v>0</v>
      </c>
      <c r="D955" s="644"/>
      <c r="E955" s="644"/>
      <c r="F955" s="644"/>
      <c r="G955" s="639"/>
    </row>
    <row r="956" spans="1:251" x14ac:dyDescent="0.2">
      <c r="A956" s="663">
        <v>6310</v>
      </c>
      <c r="B956" s="629" t="s">
        <v>1856</v>
      </c>
      <c r="C956" s="637">
        <v>200000</v>
      </c>
      <c r="D956" s="637"/>
      <c r="E956" s="637"/>
      <c r="F956" s="637"/>
      <c r="G956" s="639"/>
    </row>
    <row r="957" spans="1:251" x14ac:dyDescent="0.2">
      <c r="A957" s="663">
        <v>6399</v>
      </c>
      <c r="B957" s="629" t="s">
        <v>999</v>
      </c>
      <c r="C957" s="635">
        <f>SUM(C958:C959)</f>
        <v>73000000</v>
      </c>
      <c r="D957" s="635"/>
      <c r="E957" s="635"/>
      <c r="F957" s="635"/>
      <c r="G957" s="636"/>
    </row>
    <row r="958" spans="1:251" x14ac:dyDescent="0.2">
      <c r="A958" s="664"/>
      <c r="B958" s="643" t="s">
        <v>1857</v>
      </c>
      <c r="C958" s="712">
        <v>40000000</v>
      </c>
      <c r="D958" s="712"/>
      <c r="E958" s="712"/>
      <c r="F958" s="712"/>
      <c r="G958" s="651"/>
    </row>
    <row r="959" spans="1:251" x14ac:dyDescent="0.2">
      <c r="A959" s="664"/>
      <c r="B959" s="643" t="s">
        <v>1858</v>
      </c>
      <c r="C959" s="644">
        <v>33000000</v>
      </c>
      <c r="D959" s="644"/>
      <c r="E959" s="644"/>
      <c r="F959" s="644"/>
      <c r="G959" s="670"/>
    </row>
    <row r="960" spans="1:251" s="98" customFormat="1" ht="12.75" customHeight="1" x14ac:dyDescent="0.3">
      <c r="A960" s="663">
        <v>6402</v>
      </c>
      <c r="B960" s="629" t="s">
        <v>1002</v>
      </c>
      <c r="C960" s="635">
        <f t="shared" ref="C960:C964" si="4">SUM(C961:C963)</f>
        <v>0</v>
      </c>
      <c r="D960" s="635"/>
      <c r="E960" s="635"/>
      <c r="F960" s="635"/>
      <c r="G960" s="636"/>
      <c r="I960" s="558"/>
    </row>
    <row r="961" spans="1:9" s="2" customFormat="1" ht="12.75" customHeight="1" x14ac:dyDescent="0.3">
      <c r="A961" s="715"/>
      <c r="B961" s="672" t="s">
        <v>1859</v>
      </c>
      <c r="C961" s="644">
        <v>0</v>
      </c>
      <c r="D961" s="644"/>
      <c r="E961" s="644"/>
      <c r="F961" s="644"/>
      <c r="G961" s="670"/>
      <c r="I961" s="558"/>
    </row>
    <row r="962" spans="1:9" s="2" customFormat="1" ht="12.75" customHeight="1" x14ac:dyDescent="0.3">
      <c r="A962" s="715"/>
      <c r="B962" s="770" t="s">
        <v>1860</v>
      </c>
      <c r="C962" s="644">
        <v>0</v>
      </c>
      <c r="D962" s="644"/>
      <c r="E962" s="644"/>
      <c r="F962" s="644"/>
      <c r="G962" s="670"/>
      <c r="I962" s="558"/>
    </row>
    <row r="963" spans="1:9" s="2" customFormat="1" ht="12.75" customHeight="1" x14ac:dyDescent="0.3">
      <c r="A963" s="715"/>
      <c r="B963" s="770" t="s">
        <v>1861</v>
      </c>
      <c r="C963" s="644">
        <v>0</v>
      </c>
      <c r="D963" s="644"/>
      <c r="E963" s="644"/>
      <c r="F963" s="644"/>
      <c r="G963" s="670"/>
      <c r="I963" s="558"/>
    </row>
    <row r="964" spans="1:9" s="244" customFormat="1" ht="15.75" x14ac:dyDescent="0.25">
      <c r="A964" s="663">
        <v>6409</v>
      </c>
      <c r="B964" s="629" t="s">
        <v>1008</v>
      </c>
      <c r="C964" s="635">
        <f t="shared" si="4"/>
        <v>3310000</v>
      </c>
      <c r="D964" s="635"/>
      <c r="E964" s="635"/>
      <c r="F964" s="635"/>
      <c r="G964" s="636"/>
    </row>
    <row r="965" spans="1:9" s="98" customFormat="1" x14ac:dyDescent="0.2">
      <c r="A965" s="1019"/>
      <c r="B965" s="690" t="s">
        <v>1009</v>
      </c>
      <c r="C965" s="694">
        <v>3000000</v>
      </c>
      <c r="D965" s="694"/>
      <c r="E965" s="694"/>
      <c r="F965" s="694"/>
      <c r="G965" s="670"/>
    </row>
    <row r="966" spans="1:9" s="98" customFormat="1" ht="38.25" x14ac:dyDescent="0.2">
      <c r="A966" s="832"/>
      <c r="B966" s="884" t="s">
        <v>1862</v>
      </c>
      <c r="C966" s="695">
        <f>80000+90000+85000+55000</f>
        <v>310000</v>
      </c>
      <c r="D966" s="695"/>
      <c r="E966" s="695"/>
      <c r="F966" s="695"/>
      <c r="G966" s="784"/>
    </row>
    <row r="967" spans="1:9" s="98" customFormat="1" x14ac:dyDescent="0.2">
      <c r="A967" s="832"/>
      <c r="B967" s="884" t="s">
        <v>1863</v>
      </c>
      <c r="C967" s="695">
        <v>0</v>
      </c>
      <c r="D967" s="695"/>
      <c r="E967" s="695"/>
      <c r="F967" s="695"/>
      <c r="G967" s="695"/>
    </row>
    <row r="968" spans="1:9" s="98" customFormat="1" x14ac:dyDescent="0.2">
      <c r="A968" s="749"/>
      <c r="B968" s="727"/>
      <c r="C968" s="682"/>
      <c r="D968" s="682"/>
      <c r="E968" s="682"/>
      <c r="F968" s="682"/>
      <c r="G968" s="1020"/>
    </row>
    <row r="969" spans="1:9" s="98" customFormat="1" ht="23.25" x14ac:dyDescent="0.35">
      <c r="A969" s="613"/>
      <c r="B969" s="1021" t="s">
        <v>55</v>
      </c>
      <c r="C969" s="1022">
        <f>SUM(C244+C350+C540+C543+C549+C558+C562+C566+C658+C662+C681+C689+C732+C739+C765+C936+C947)</f>
        <v>1000477597.2</v>
      </c>
      <c r="D969" s="1022"/>
      <c r="E969" s="1022"/>
      <c r="F969" s="1022"/>
      <c r="G969" s="1023"/>
    </row>
    <row r="970" spans="1:9" ht="23.25" x14ac:dyDescent="0.35">
      <c r="B970" s="1024"/>
    </row>
    <row r="971" spans="1:9" x14ac:dyDescent="0.2">
      <c r="B971" s="564"/>
    </row>
    <row r="972" spans="1:9" s="98" customFormat="1" x14ac:dyDescent="0.2">
      <c r="A972" s="1"/>
      <c r="B972" s="1"/>
      <c r="C972" s="1"/>
      <c r="D972" s="1"/>
      <c r="E972" s="1"/>
      <c r="F972" s="1"/>
    </row>
    <row r="973" spans="1:9" s="98" customFormat="1" x14ac:dyDescent="0.2">
      <c r="A973" s="1"/>
      <c r="B973" s="1"/>
      <c r="C973" s="1"/>
      <c r="D973" s="1"/>
      <c r="E973" s="1"/>
      <c r="F973" s="1"/>
    </row>
  </sheetData>
  <sheetProtection selectLockedCells="1" selectUnlockedCells="1"/>
  <pageMargins left="0" right="0" top="0.39370078740157477" bottom="0.39370078740157477" header="0.51181102362204722" footer="0.19685039370078738"/>
  <pageSetup paperSize="9" scale="59" firstPageNumber="0" orientation="landscape" horizontalDpi="300" verticalDpi="300"/>
  <headerFooter>
    <oddFooter>&amp;C&amp;P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IU879"/>
  <sheetViews>
    <sheetView workbookViewId="0">
      <selection activeCell="B9" sqref="B9"/>
    </sheetView>
  </sheetViews>
  <sheetFormatPr defaultColWidth="9.5703125" defaultRowHeight="12.75" x14ac:dyDescent="0.2"/>
  <cols>
    <col min="1" max="1" width="11.85546875" style="1" customWidth="1"/>
    <col min="2" max="2" width="91.85546875" style="1" customWidth="1"/>
    <col min="3" max="5" width="26.85546875" style="1" customWidth="1"/>
    <col min="6" max="6" width="22" style="1" hidden="1" customWidth="1"/>
    <col min="7" max="8" width="10.5703125" style="1" customWidth="1"/>
    <col min="9" max="9" width="12.140625" style="1" customWidth="1"/>
    <col min="10" max="10" width="14.7109375" style="29" customWidth="1"/>
    <col min="11" max="11" width="15.7109375" style="1" customWidth="1"/>
    <col min="12" max="13" width="14.85546875" style="1" customWidth="1"/>
    <col min="14" max="16384" width="9.5703125" style="1"/>
  </cols>
  <sheetData>
    <row r="1" spans="1:13" ht="49.5" customHeight="1" x14ac:dyDescent="0.2">
      <c r="A1" s="565" t="s">
        <v>1</v>
      </c>
      <c r="B1" s="566" t="s">
        <v>1011</v>
      </c>
      <c r="C1" s="567" t="s">
        <v>1864</v>
      </c>
      <c r="D1" s="567" t="s">
        <v>1865</v>
      </c>
      <c r="E1" s="567" t="s">
        <v>1866</v>
      </c>
      <c r="F1" s="1025"/>
      <c r="G1" s="567" t="s">
        <v>1014</v>
      </c>
      <c r="H1" s="567" t="s">
        <v>1015</v>
      </c>
      <c r="I1" s="567" t="s">
        <v>1016</v>
      </c>
      <c r="J1" s="1026" t="s">
        <v>1867</v>
      </c>
    </row>
    <row r="2" spans="1:13" ht="22.5" customHeight="1" x14ac:dyDescent="0.3">
      <c r="A2" s="568"/>
      <c r="B2" s="569" t="s">
        <v>56</v>
      </c>
      <c r="C2" s="570"/>
      <c r="D2" s="570"/>
      <c r="E2" s="571"/>
      <c r="F2" s="1027"/>
      <c r="G2" s="572"/>
      <c r="H2" s="573"/>
      <c r="I2" s="570"/>
      <c r="J2" s="1028"/>
    </row>
    <row r="3" spans="1:13" s="98" customFormat="1" ht="22.5" customHeight="1" x14ac:dyDescent="0.25">
      <c r="A3" s="575"/>
      <c r="B3" s="576" t="s">
        <v>57</v>
      </c>
      <c r="C3" s="577">
        <f>C32</f>
        <v>520342400</v>
      </c>
      <c r="D3" s="577">
        <f t="shared" ref="D3:I3" si="0">D32</f>
        <v>510422497</v>
      </c>
      <c r="E3" s="577">
        <f>E32</f>
        <v>272236442.08999997</v>
      </c>
      <c r="F3" s="1029"/>
      <c r="G3" s="577">
        <f t="shared" si="0"/>
        <v>52.318712080737605</v>
      </c>
      <c r="H3" s="577">
        <f t="shared" si="0"/>
        <v>53.335510031408347</v>
      </c>
      <c r="I3" s="577">
        <f t="shared" si="0"/>
        <v>108.28132697863253</v>
      </c>
      <c r="J3" s="88"/>
    </row>
    <row r="4" spans="1:13" s="98" customFormat="1" ht="22.5" customHeight="1" x14ac:dyDescent="0.25">
      <c r="A4" s="579"/>
      <c r="B4" s="575" t="s">
        <v>10</v>
      </c>
      <c r="C4" s="577">
        <f>C64</f>
        <v>153980616.31999999</v>
      </c>
      <c r="D4" s="577">
        <f t="shared" ref="D4:I4" si="1">D64</f>
        <v>141450833.17000002</v>
      </c>
      <c r="E4" s="577">
        <f>E64</f>
        <v>84852352.859999999</v>
      </c>
      <c r="F4" s="1029"/>
      <c r="G4" s="577">
        <f t="shared" si="1"/>
        <v>55.105866496638271</v>
      </c>
      <c r="H4" s="577">
        <f t="shared" si="1"/>
        <v>59.987170777581632</v>
      </c>
      <c r="I4" s="577">
        <f t="shared" si="1"/>
        <v>102.10508276772936</v>
      </c>
      <c r="J4" s="29"/>
    </row>
    <row r="5" spans="1:13" s="98" customFormat="1" ht="22.5" customHeight="1" x14ac:dyDescent="0.25">
      <c r="A5" s="579"/>
      <c r="B5" s="575" t="s">
        <v>11</v>
      </c>
      <c r="C5" s="577">
        <f>C154</f>
        <v>87239000</v>
      </c>
      <c r="D5" s="577">
        <f t="shared" ref="D5:I5" si="2">D154</f>
        <v>87459000</v>
      </c>
      <c r="E5" s="577">
        <f>E154</f>
        <v>3534342.5</v>
      </c>
      <c r="F5" s="1029"/>
      <c r="G5" s="577">
        <f t="shared" si="2"/>
        <v>4.051333119361753</v>
      </c>
      <c r="H5" s="577">
        <f t="shared" si="2"/>
        <v>4.041142135171909</v>
      </c>
      <c r="I5" s="577">
        <f t="shared" si="2"/>
        <v>13.865842146172575</v>
      </c>
      <c r="J5" s="29"/>
    </row>
    <row r="6" spans="1:13" s="98" customFormat="1" ht="22.5" customHeight="1" x14ac:dyDescent="0.25">
      <c r="A6" s="579"/>
      <c r="B6" s="575" t="s">
        <v>196</v>
      </c>
      <c r="C6" s="577">
        <f>C167</f>
        <v>66897844.799999997</v>
      </c>
      <c r="D6" s="577">
        <f t="shared" ref="D6:I6" si="3">D167</f>
        <v>100046471.61</v>
      </c>
      <c r="E6" s="577">
        <f>E167</f>
        <v>66068089.369999997</v>
      </c>
      <c r="F6" s="1029"/>
      <c r="G6" s="577">
        <f t="shared" si="3"/>
        <v>98.759667919825119</v>
      </c>
      <c r="H6" s="577">
        <f t="shared" si="3"/>
        <v>66.037400726680161</v>
      </c>
      <c r="I6" s="577">
        <f t="shared" si="3"/>
        <v>94.474351202267485</v>
      </c>
      <c r="J6" s="29"/>
    </row>
    <row r="7" spans="1:13" s="98" customFormat="1" ht="22.5" customHeight="1" x14ac:dyDescent="0.3">
      <c r="A7" s="581"/>
      <c r="B7" s="581" t="s">
        <v>13</v>
      </c>
      <c r="C7" s="582">
        <f>C216</f>
        <v>828459861.11999989</v>
      </c>
      <c r="D7" s="582">
        <f t="shared" ref="D7:I7" si="4">D216</f>
        <v>839378801.78000009</v>
      </c>
      <c r="E7" s="582">
        <f>E216</f>
        <v>426691226.81999999</v>
      </c>
      <c r="F7" s="1030"/>
      <c r="G7" s="582">
        <f t="shared" si="4"/>
        <v>51.504152083258873</v>
      </c>
      <c r="H7" s="582">
        <f t="shared" si="4"/>
        <v>50.834167590979398</v>
      </c>
      <c r="I7" s="582">
        <f t="shared" si="4"/>
        <v>99.244203495373995</v>
      </c>
      <c r="J7" s="29"/>
    </row>
    <row r="8" spans="1:13" s="98" customFormat="1" ht="22.5" customHeight="1" x14ac:dyDescent="0.25">
      <c r="A8" s="583"/>
      <c r="B8" s="584" t="s">
        <v>14</v>
      </c>
      <c r="C8" s="585">
        <f>C218</f>
        <v>172017736.07999998</v>
      </c>
      <c r="D8" s="585">
        <f t="shared" ref="D8:I8" si="5">D218</f>
        <v>172017736.07999998</v>
      </c>
      <c r="E8" s="585">
        <f>E218</f>
        <v>-50277247.380000003</v>
      </c>
      <c r="F8" s="1031"/>
      <c r="G8" s="585">
        <f t="shared" si="5"/>
        <v>-29.227943888656721</v>
      </c>
      <c r="H8" s="585">
        <f t="shared" si="5"/>
        <v>-29.227943888656721</v>
      </c>
      <c r="I8" s="585">
        <f t="shared" si="5"/>
        <v>-114.02066179207759</v>
      </c>
      <c r="J8" s="29"/>
    </row>
    <row r="9" spans="1:13" s="85" customFormat="1" ht="24" customHeight="1" x14ac:dyDescent="0.4">
      <c r="A9" s="586"/>
      <c r="B9" s="587" t="s">
        <v>15</v>
      </c>
      <c r="C9" s="588">
        <f>C225</f>
        <v>1000477597.1999998</v>
      </c>
      <c r="D9" s="588">
        <f t="shared" ref="D9:I9" si="6">D225</f>
        <v>1011396537.8600001</v>
      </c>
      <c r="E9" s="588">
        <f>E225</f>
        <v>376413979.44</v>
      </c>
      <c r="F9" s="1032"/>
      <c r="G9" s="588">
        <f t="shared" si="6"/>
        <v>37.623429099607634</v>
      </c>
      <c r="H9" s="588">
        <f t="shared" si="6"/>
        <v>37.217250143692318</v>
      </c>
      <c r="I9" s="588">
        <f t="shared" si="6"/>
        <v>79.406274754940696</v>
      </c>
      <c r="J9" s="1033"/>
    </row>
    <row r="10" spans="1:13" s="98" customFormat="1" ht="24" customHeight="1" x14ac:dyDescent="0.3">
      <c r="A10" s="589"/>
      <c r="B10" s="590" t="s">
        <v>257</v>
      </c>
      <c r="C10" s="591"/>
      <c r="D10" s="591"/>
      <c r="E10" s="592"/>
      <c r="F10" s="592"/>
      <c r="G10" s="591"/>
      <c r="H10" s="591"/>
      <c r="I10" s="591"/>
      <c r="J10" s="1034" t="s">
        <v>1868</v>
      </c>
      <c r="K10" s="1035" t="s">
        <v>1869</v>
      </c>
      <c r="L10" s="1035" t="s">
        <v>1870</v>
      </c>
    </row>
    <row r="11" spans="1:13" s="593" customFormat="1" ht="22.5" customHeight="1" x14ac:dyDescent="0.2">
      <c r="A11" s="594"/>
      <c r="B11" s="594" t="s">
        <v>17</v>
      </c>
      <c r="C11" s="595">
        <f>C30-C12</f>
        <v>760881693</v>
      </c>
      <c r="D11" s="595">
        <f>D30-D12</f>
        <v>781504610.4799999</v>
      </c>
      <c r="E11" s="595">
        <v>353002033.44</v>
      </c>
      <c r="F11" s="595"/>
      <c r="G11" s="595">
        <f t="shared" ref="G11:G12" si="7">E11/C11*100</f>
        <v>46.393813478174984</v>
      </c>
      <c r="H11" s="595">
        <f t="shared" ref="H11:H12" si="8">E11/D11*100</f>
        <v>45.169539463521048</v>
      </c>
      <c r="I11" s="595">
        <f t="shared" ref="I11:I12" si="9">E11/J11*100</f>
        <v>82.384770557210587</v>
      </c>
      <c r="J11" s="1036">
        <v>428479719.06999999</v>
      </c>
      <c r="K11" s="1037">
        <f>K13-K12</f>
        <v>781504610.48000002</v>
      </c>
      <c r="L11" s="1037">
        <f>L13-L12</f>
        <v>353002033.44000006</v>
      </c>
      <c r="M11" s="1038"/>
    </row>
    <row r="12" spans="1:13" s="593" customFormat="1" ht="22.5" customHeight="1" x14ac:dyDescent="0.2">
      <c r="A12" s="596"/>
      <c r="B12" s="597" t="s">
        <v>18</v>
      </c>
      <c r="C12" s="598">
        <v>239595904.19999999</v>
      </c>
      <c r="D12" s="598">
        <v>229891927.38</v>
      </c>
      <c r="E12" s="598">
        <v>23411946</v>
      </c>
      <c r="F12" s="598"/>
      <c r="G12" s="595">
        <f t="shared" si="7"/>
        <v>9.7714299742190676</v>
      </c>
      <c r="H12" s="595">
        <f t="shared" si="8"/>
        <v>10.183892173517346</v>
      </c>
      <c r="I12" s="595">
        <f t="shared" si="9"/>
        <v>51.255559156243301</v>
      </c>
      <c r="J12" s="1036">
        <v>45676891.219999999</v>
      </c>
      <c r="K12" s="32">
        <v>229891927.38</v>
      </c>
      <c r="L12" s="32">
        <v>23411946</v>
      </c>
      <c r="M12" s="1038"/>
    </row>
    <row r="13" spans="1:13" s="12" customFormat="1" ht="22.5" customHeight="1" x14ac:dyDescent="0.25">
      <c r="A13" s="599"/>
      <c r="B13" s="600" t="s">
        <v>258</v>
      </c>
      <c r="C13" s="601">
        <f>C227</f>
        <v>75934044.200000003</v>
      </c>
      <c r="D13" s="601">
        <f t="shared" ref="D13:I13" si="10">D227</f>
        <v>76099081.200000003</v>
      </c>
      <c r="E13" s="601">
        <f>E227</f>
        <v>23555689.16</v>
      </c>
      <c r="F13" s="1039"/>
      <c r="G13" s="601">
        <f t="shared" si="10"/>
        <v>31.021249306776681</v>
      </c>
      <c r="H13" s="601">
        <f t="shared" si="10"/>
        <v>30.953973147313107</v>
      </c>
      <c r="I13" s="601">
        <f t="shared" si="10"/>
        <v>108.1669365758784</v>
      </c>
      <c r="J13" s="1040"/>
      <c r="K13" s="32">
        <f>1011396537.86</f>
        <v>1011396537.86</v>
      </c>
      <c r="L13" s="32">
        <f>889840053.6-513160401.03-265673.13</f>
        <v>376413979.44000006</v>
      </c>
      <c r="M13" s="98"/>
    </row>
    <row r="14" spans="1:13" s="12" customFormat="1" ht="22.5" customHeight="1" x14ac:dyDescent="0.25">
      <c r="A14" s="599"/>
      <c r="B14" s="600" t="s">
        <v>1017</v>
      </c>
      <c r="C14" s="601">
        <f>C333</f>
        <v>196635250</v>
      </c>
      <c r="D14" s="601">
        <f t="shared" ref="D14:I14" si="11">D333</f>
        <v>195707268</v>
      </c>
      <c r="E14" s="601">
        <f>E333</f>
        <v>11790221</v>
      </c>
      <c r="F14" s="1039"/>
      <c r="G14" s="601">
        <f t="shared" si="11"/>
        <v>5.9959854603892238</v>
      </c>
      <c r="H14" s="601">
        <f t="shared" si="11"/>
        <v>6.0244165280565873</v>
      </c>
      <c r="I14" s="601">
        <f t="shared" si="11"/>
        <v>91.360676953096117</v>
      </c>
      <c r="J14" s="1040"/>
    </row>
    <row r="15" spans="1:13" s="12" customFormat="1" ht="22.5" customHeight="1" x14ac:dyDescent="0.25">
      <c r="A15" s="602"/>
      <c r="B15" s="600" t="s">
        <v>31</v>
      </c>
      <c r="C15" s="601">
        <f>C494</f>
        <v>15000</v>
      </c>
      <c r="D15" s="601">
        <f t="shared" ref="D15:I15" si="12">D494</f>
        <v>15000</v>
      </c>
      <c r="E15" s="601">
        <f>E494</f>
        <v>7000</v>
      </c>
      <c r="F15" s="1039"/>
      <c r="G15" s="601">
        <f t="shared" si="12"/>
        <v>46.666666666666664</v>
      </c>
      <c r="H15" s="601">
        <f t="shared" si="12"/>
        <v>46.666666666666664</v>
      </c>
      <c r="I15" s="601">
        <f t="shared" si="12"/>
        <v>140</v>
      </c>
      <c r="J15" s="1040"/>
    </row>
    <row r="16" spans="1:13" s="603" customFormat="1" ht="22.5" customHeight="1" x14ac:dyDescent="0.25">
      <c r="A16" s="600"/>
      <c r="B16" s="600" t="s">
        <v>1018</v>
      </c>
      <c r="C16" s="604">
        <f>C497</f>
        <v>13200772</v>
      </c>
      <c r="D16" s="604">
        <f t="shared" ref="D16:I16" si="13">D497</f>
        <v>13802650.27</v>
      </c>
      <c r="E16" s="604">
        <f>E497</f>
        <v>5038089.7300000004</v>
      </c>
      <c r="F16" s="1041"/>
      <c r="G16" s="604">
        <f t="shared" si="13"/>
        <v>38.165114358463285</v>
      </c>
      <c r="H16" s="604">
        <f t="shared" si="13"/>
        <v>36.500886651821254</v>
      </c>
      <c r="I16" s="604">
        <f t="shared" si="13"/>
        <v>109.5566375123409</v>
      </c>
      <c r="J16" s="1040"/>
    </row>
    <row r="17" spans="1:255" s="603" customFormat="1" ht="22.5" customHeight="1" x14ac:dyDescent="0.25">
      <c r="A17" s="602"/>
      <c r="B17" s="600" t="s">
        <v>33</v>
      </c>
      <c r="C17" s="601">
        <f>C503</f>
        <v>10220291</v>
      </c>
      <c r="D17" s="601">
        <f t="shared" ref="D17:I17" si="14">D503</f>
        <v>10451291</v>
      </c>
      <c r="E17" s="601">
        <f>E503</f>
        <v>5224497.01</v>
      </c>
      <c r="F17" s="1039"/>
      <c r="G17" s="601">
        <f t="shared" si="14"/>
        <v>51.118867456905093</v>
      </c>
      <c r="H17" s="601">
        <f t="shared" si="14"/>
        <v>49.989011022657394</v>
      </c>
      <c r="I17" s="601">
        <f t="shared" si="14"/>
        <v>97.330749293764356</v>
      </c>
      <c r="J17" s="1040"/>
    </row>
    <row r="18" spans="1:255" s="603" customFormat="1" ht="22.5" customHeight="1" x14ac:dyDescent="0.25">
      <c r="A18" s="602"/>
      <c r="B18" s="600" t="s">
        <v>34</v>
      </c>
      <c r="C18" s="601">
        <f>C512</f>
        <v>162000</v>
      </c>
      <c r="D18" s="601">
        <f t="shared" ref="D18:I18" si="15">D512</f>
        <v>162000</v>
      </c>
      <c r="E18" s="601">
        <f>E512</f>
        <v>49316</v>
      </c>
      <c r="F18" s="1039"/>
      <c r="G18" s="601">
        <f t="shared" si="15"/>
        <v>30.441975308641979</v>
      </c>
      <c r="H18" s="601">
        <f t="shared" si="15"/>
        <v>30.441975308641979</v>
      </c>
      <c r="I18" s="601">
        <f t="shared" si="15"/>
        <v>97.574140201590438</v>
      </c>
      <c r="J18" s="1040"/>
    </row>
    <row r="19" spans="1:255" s="603" customFormat="1" ht="22.5" customHeight="1" x14ac:dyDescent="0.25">
      <c r="A19" s="605"/>
      <c r="B19" s="600" t="s">
        <v>624</v>
      </c>
      <c r="C19" s="601">
        <f>C516</f>
        <v>250000</v>
      </c>
      <c r="D19" s="601">
        <f t="shared" ref="D19:I19" si="16">D516</f>
        <v>1114200</v>
      </c>
      <c r="E19" s="601">
        <f>E516</f>
        <v>988812.64</v>
      </c>
      <c r="F19" s="1039"/>
      <c r="G19" s="601">
        <f t="shared" si="16"/>
        <v>395.52505600000001</v>
      </c>
      <c r="H19" s="601">
        <f t="shared" si="16"/>
        <v>88.746422545323995</v>
      </c>
      <c r="I19" s="601">
        <f t="shared" si="16"/>
        <v>0</v>
      </c>
      <c r="J19" s="1040"/>
    </row>
    <row r="20" spans="1:255" s="606" customFormat="1" ht="22.5" customHeight="1" x14ac:dyDescent="0.25">
      <c r="A20" s="607"/>
      <c r="B20" s="608" t="s">
        <v>36</v>
      </c>
      <c r="C20" s="601">
        <f>C519</f>
        <v>117668120</v>
      </c>
      <c r="D20" s="601">
        <f t="shared" ref="D20:I20" si="17">D519</f>
        <v>132562479.09999999</v>
      </c>
      <c r="E20" s="601">
        <f>E519</f>
        <v>69494439.739999995</v>
      </c>
      <c r="F20" s="1039"/>
      <c r="G20" s="601">
        <f t="shared" si="17"/>
        <v>59.059700911342851</v>
      </c>
      <c r="H20" s="601">
        <f t="shared" si="17"/>
        <v>52.423913773954155</v>
      </c>
      <c r="I20" s="601">
        <f t="shared" si="17"/>
        <v>97.082468903684088</v>
      </c>
      <c r="J20" s="1042"/>
    </row>
    <row r="21" spans="1:255" s="12" customFormat="1" ht="22.5" customHeight="1" x14ac:dyDescent="0.25">
      <c r="A21" s="600"/>
      <c r="B21" s="600" t="s">
        <v>710</v>
      </c>
      <c r="C21" s="604">
        <f>C611</f>
        <v>28556700</v>
      </c>
      <c r="D21" s="604">
        <f t="shared" ref="D21:I21" si="18">D611</f>
        <v>28556700</v>
      </c>
      <c r="E21" s="604">
        <f>E611</f>
        <v>13289249.300000001</v>
      </c>
      <c r="F21" s="1041"/>
      <c r="G21" s="604">
        <f t="shared" si="18"/>
        <v>46.536362044634011</v>
      </c>
      <c r="H21" s="604">
        <f t="shared" si="18"/>
        <v>46.536362044634011</v>
      </c>
      <c r="I21" s="604">
        <f t="shared" si="18"/>
        <v>117.40042838629456</v>
      </c>
      <c r="J21" s="1040"/>
    </row>
    <row r="22" spans="1:255" s="12" customFormat="1" ht="22.5" customHeight="1" x14ac:dyDescent="0.25">
      <c r="A22" s="600"/>
      <c r="B22" s="600" t="s">
        <v>713</v>
      </c>
      <c r="C22" s="601">
        <f>C615</f>
        <v>31499210</v>
      </c>
      <c r="D22" s="601">
        <f t="shared" ref="D22:I22" si="19">D615</f>
        <v>33098319.009999998</v>
      </c>
      <c r="E22" s="601">
        <f>E615</f>
        <v>16680568.640000001</v>
      </c>
      <c r="F22" s="1039"/>
      <c r="G22" s="601">
        <f t="shared" si="19"/>
        <v>52.955514249404992</v>
      </c>
      <c r="H22" s="601">
        <f t="shared" si="19"/>
        <v>50.397026613225584</v>
      </c>
      <c r="I22" s="601">
        <f t="shared" si="19"/>
        <v>117.766368284444</v>
      </c>
      <c r="J22" s="1040"/>
    </row>
    <row r="23" spans="1:255" s="12" customFormat="1" ht="22.5" customHeight="1" x14ac:dyDescent="0.25">
      <c r="A23" s="600"/>
      <c r="B23" s="600" t="s">
        <v>729</v>
      </c>
      <c r="C23" s="609">
        <f>C634</f>
        <v>166253060</v>
      </c>
      <c r="D23" s="609">
        <f t="shared" ref="D23:I23" si="20">D634</f>
        <v>167777260</v>
      </c>
      <c r="E23" s="609">
        <f>E634</f>
        <v>75137262.170000002</v>
      </c>
      <c r="F23" s="1043"/>
      <c r="G23" s="609">
        <f t="shared" si="20"/>
        <v>45.194513815264514</v>
      </c>
      <c r="H23" s="609">
        <f t="shared" si="20"/>
        <v>44.783936851752138</v>
      </c>
      <c r="I23" s="609">
        <f t="shared" si="20"/>
        <v>114.35467878565555</v>
      </c>
      <c r="J23" s="1040"/>
    </row>
    <row r="24" spans="1:255" s="12" customFormat="1" ht="22.5" customHeight="1" x14ac:dyDescent="0.25">
      <c r="A24" s="600"/>
      <c r="B24" s="600" t="s">
        <v>43</v>
      </c>
      <c r="C24" s="609">
        <f>C642</f>
        <v>15923250</v>
      </c>
      <c r="D24" s="609">
        <f t="shared" ref="D24:I24" si="21">D642</f>
        <v>15923250</v>
      </c>
      <c r="E24" s="609">
        <f>E642</f>
        <v>12617694.77</v>
      </c>
      <c r="F24" s="1043"/>
      <c r="G24" s="609">
        <f t="shared" si="21"/>
        <v>79.2407000455309</v>
      </c>
      <c r="H24" s="609">
        <f t="shared" si="21"/>
        <v>79.2407000455309</v>
      </c>
      <c r="I24" s="609">
        <f t="shared" si="21"/>
        <v>105.78797873747017</v>
      </c>
      <c r="J24" s="1040"/>
    </row>
    <row r="25" spans="1:255" s="12" customFormat="1" ht="22.5" customHeight="1" x14ac:dyDescent="0.25">
      <c r="A25" s="600"/>
      <c r="B25" s="600" t="s">
        <v>771</v>
      </c>
      <c r="C25" s="601">
        <f>C675</f>
        <v>18717400</v>
      </c>
      <c r="D25" s="601">
        <f t="shared" ref="D25:I25" si="22">D675</f>
        <v>24729128</v>
      </c>
      <c r="E25" s="601">
        <f>E675</f>
        <v>6702660.9400000004</v>
      </c>
      <c r="F25" s="1039"/>
      <c r="G25" s="601">
        <f t="shared" si="22"/>
        <v>35.809786295105091</v>
      </c>
      <c r="H25" s="601">
        <f t="shared" si="22"/>
        <v>27.104315768837463</v>
      </c>
      <c r="I25" s="601">
        <f t="shared" si="22"/>
        <v>105.3107873198619</v>
      </c>
      <c r="J25" s="1040"/>
    </row>
    <row r="26" spans="1:255" s="12" customFormat="1" ht="22.5" customHeight="1" x14ac:dyDescent="0.25">
      <c r="A26" s="600"/>
      <c r="B26" s="600" t="s">
        <v>1871</v>
      </c>
      <c r="C26" s="604">
        <f>C682</f>
        <v>87547000</v>
      </c>
      <c r="D26" s="604">
        <f t="shared" ref="D26:I26" si="23">D682</f>
        <v>92910285</v>
      </c>
      <c r="E26" s="604">
        <f>E682</f>
        <v>37230260.5</v>
      </c>
      <c r="F26" s="1041"/>
      <c r="G26" s="604">
        <f t="shared" si="23"/>
        <v>42.526026591430885</v>
      </c>
      <c r="H26" s="604">
        <f t="shared" si="23"/>
        <v>40.071193948011249</v>
      </c>
      <c r="I26" s="604">
        <f t="shared" si="23"/>
        <v>161.59627229636257</v>
      </c>
      <c r="J26" s="1040"/>
    </row>
    <row r="27" spans="1:255" s="12" customFormat="1" ht="22.5" customHeight="1" x14ac:dyDescent="0.25">
      <c r="A27" s="600"/>
      <c r="B27" s="600" t="s">
        <v>797</v>
      </c>
      <c r="C27" s="601">
        <f>C707</f>
        <v>151698000</v>
      </c>
      <c r="D27" s="601">
        <f t="shared" ref="D27:I27" si="24">D707</f>
        <v>144705227.56999999</v>
      </c>
      <c r="E27" s="601">
        <f>E707</f>
        <v>54523723.240000002</v>
      </c>
      <c r="F27" s="1039"/>
      <c r="G27" s="601">
        <f t="shared" si="24"/>
        <v>35.942282192250389</v>
      </c>
      <c r="H27" s="601">
        <f t="shared" si="24"/>
        <v>37.679166230276365</v>
      </c>
      <c r="I27" s="601">
        <f t="shared" si="24"/>
        <v>81.072813840716833</v>
      </c>
      <c r="J27" s="1040"/>
    </row>
    <row r="28" spans="1:255" s="610" customFormat="1" ht="22.5" customHeight="1" x14ac:dyDescent="0.25">
      <c r="A28" s="600"/>
      <c r="B28" s="600" t="s">
        <v>1872</v>
      </c>
      <c r="C28" s="604">
        <f>C840</f>
        <v>1145000</v>
      </c>
      <c r="D28" s="604">
        <f t="shared" ref="D28:I28" si="25">D840</f>
        <v>1145000</v>
      </c>
      <c r="E28" s="604">
        <f>E840</f>
        <v>154100</v>
      </c>
      <c r="F28" s="1041"/>
      <c r="G28" s="604">
        <f t="shared" si="25"/>
        <v>13.458515283842795</v>
      </c>
      <c r="H28" s="604">
        <f t="shared" si="25"/>
        <v>13.458515283842795</v>
      </c>
      <c r="I28" s="604">
        <f t="shared" si="25"/>
        <v>0</v>
      </c>
      <c r="J28" s="1044"/>
      <c r="IO28" s="603"/>
      <c r="IP28" s="603"/>
      <c r="IQ28" s="603"/>
      <c r="IR28" s="603"/>
      <c r="IS28" s="603"/>
      <c r="IT28" s="603"/>
      <c r="IU28" s="603"/>
    </row>
    <row r="29" spans="1:255" s="603" customFormat="1" ht="22.5" customHeight="1" x14ac:dyDescent="0.25">
      <c r="A29" s="611"/>
      <c r="B29" s="611" t="s">
        <v>54</v>
      </c>
      <c r="C29" s="612">
        <f>C850</f>
        <v>85052500</v>
      </c>
      <c r="D29" s="612">
        <f t="shared" ref="D29:I29" si="26">D850</f>
        <v>72637398.710000008</v>
      </c>
      <c r="E29" s="612">
        <f>E850</f>
        <v>44196067.630000003</v>
      </c>
      <c r="F29" s="1045"/>
      <c r="G29" s="612">
        <f t="shared" si="26"/>
        <v>51.963278716087125</v>
      </c>
      <c r="H29" s="612">
        <f t="shared" si="26"/>
        <v>60.844783011090286</v>
      </c>
      <c r="I29" s="612">
        <f t="shared" si="26"/>
        <v>27.976544479731352</v>
      </c>
      <c r="J29" s="1040"/>
    </row>
    <row r="30" spans="1:255" s="98" customFormat="1" ht="23.25" x14ac:dyDescent="0.35">
      <c r="A30" s="613"/>
      <c r="B30" s="613" t="s">
        <v>55</v>
      </c>
      <c r="C30" s="614">
        <f>C875</f>
        <v>1000477597.2</v>
      </c>
      <c r="D30" s="614">
        <f t="shared" ref="D30:I30" si="27">D875</f>
        <v>1011396537.8599999</v>
      </c>
      <c r="E30" s="614">
        <f>E875</f>
        <v>376413979.44</v>
      </c>
      <c r="F30" s="1046"/>
      <c r="G30" s="614">
        <f t="shared" si="27"/>
        <v>37.623429099607627</v>
      </c>
      <c r="H30" s="614">
        <f t="shared" si="27"/>
        <v>37.217250143692326</v>
      </c>
      <c r="I30" s="614">
        <f t="shared" si="27"/>
        <v>79.406274754940696</v>
      </c>
      <c r="J30" s="29"/>
    </row>
    <row r="31" spans="1:255" ht="22.5" customHeight="1" x14ac:dyDescent="0.3">
      <c r="A31" s="617"/>
      <c r="B31" s="618" t="s">
        <v>56</v>
      </c>
      <c r="C31" s="619"/>
      <c r="D31" s="619"/>
      <c r="E31" s="619"/>
      <c r="F31" s="1047"/>
      <c r="G31" s="619"/>
      <c r="H31" s="619"/>
      <c r="I31" s="620"/>
    </row>
    <row r="32" spans="1:255" s="244" customFormat="1" ht="16.5" customHeight="1" x14ac:dyDescent="0.25">
      <c r="A32" s="621"/>
      <c r="B32" s="622" t="s">
        <v>57</v>
      </c>
      <c r="C32" s="623">
        <f>SUM(C33:C44,C48:C53,C60:C62)</f>
        <v>520342400</v>
      </c>
      <c r="D32" s="623">
        <f>SUM(D33:D44,D48:D53,D60:D62)</f>
        <v>510422497</v>
      </c>
      <c r="E32" s="623">
        <v>272236442.08999997</v>
      </c>
      <c r="F32" s="1048">
        <f>SUM(E33:E44,E48:E53,E60:E62)</f>
        <v>272236442.08999997</v>
      </c>
      <c r="G32" s="623">
        <f t="shared" ref="G32:G95" si="28">E32/C32*100</f>
        <v>52.318712080737605</v>
      </c>
      <c r="H32" s="623">
        <f t="shared" ref="H32:H95" si="29">E32/D32*100</f>
        <v>53.335510031408347</v>
      </c>
      <c r="I32" s="624">
        <f t="shared" ref="I32:I95" si="30">E32/J32*100</f>
        <v>108.28132697863253</v>
      </c>
      <c r="J32" s="29">
        <v>251415871.68000001</v>
      </c>
    </row>
    <row r="33" spans="1:10" s="98" customFormat="1" ht="12.75" customHeight="1" x14ac:dyDescent="0.2">
      <c r="A33" s="625">
        <v>1111</v>
      </c>
      <c r="B33" s="626" t="s">
        <v>1021</v>
      </c>
      <c r="C33" s="572">
        <f>(42800000*0.161362/100)*1000-4062936</f>
        <v>65000000</v>
      </c>
      <c r="D33" s="572">
        <f>(42800000*0.161362/100)*1000-4062936</f>
        <v>65000000</v>
      </c>
      <c r="E33" s="572">
        <v>33877636.670000002</v>
      </c>
      <c r="F33" s="573"/>
      <c r="G33" s="1049">
        <f t="shared" si="28"/>
        <v>52.119441030769231</v>
      </c>
      <c r="H33" s="1050">
        <f t="shared" si="29"/>
        <v>52.119441030769231</v>
      </c>
      <c r="I33" s="627">
        <f t="shared" si="30"/>
        <v>124.2822330398597</v>
      </c>
      <c r="J33" s="29">
        <v>27258632.100000001</v>
      </c>
    </row>
    <row r="34" spans="1:10" s="98" customFormat="1" ht="12.75" customHeight="1" x14ac:dyDescent="0.2">
      <c r="A34" s="628">
        <v>1111</v>
      </c>
      <c r="B34" s="629" t="s">
        <v>1022</v>
      </c>
      <c r="C34" s="630">
        <f>(2500000*0.24754/100)*1000-188500</f>
        <v>6000000</v>
      </c>
      <c r="D34" s="630">
        <f>(2500000*0.24754/100)*1000-188500</f>
        <v>6000000</v>
      </c>
      <c r="E34" s="630">
        <v>3016865.67</v>
      </c>
      <c r="F34" s="1051"/>
      <c r="G34" s="630">
        <f t="shared" si="28"/>
        <v>50.281094500000002</v>
      </c>
      <c r="H34" s="1052">
        <f t="shared" si="29"/>
        <v>50.281094500000002</v>
      </c>
      <c r="I34" s="631">
        <f t="shared" si="30"/>
        <v>119.7350163171922</v>
      </c>
      <c r="J34" s="29">
        <v>2519618.54</v>
      </c>
    </row>
    <row r="35" spans="1:10" s="98" customFormat="1" ht="12.75" customHeight="1" x14ac:dyDescent="0.2">
      <c r="A35" s="628">
        <v>1112</v>
      </c>
      <c r="B35" s="629" t="s">
        <v>1023</v>
      </c>
      <c r="C35" s="632">
        <f>(2800000*0.161362/100)*1000-518136</f>
        <v>4000000</v>
      </c>
      <c r="D35" s="632">
        <f>(2800000*0.161362/100)*1000-518136</f>
        <v>4000000</v>
      </c>
      <c r="E35" s="632">
        <v>1127063.05</v>
      </c>
      <c r="F35" s="1053"/>
      <c r="G35" s="630">
        <f t="shared" si="28"/>
        <v>28.17657625</v>
      </c>
      <c r="H35" s="1052">
        <f t="shared" si="29"/>
        <v>28.17657625</v>
      </c>
      <c r="I35" s="631">
        <f t="shared" si="30"/>
        <v>104.55683864450968</v>
      </c>
      <c r="J35" s="29">
        <v>1077942.93</v>
      </c>
    </row>
    <row r="36" spans="1:10" s="98" customFormat="1" ht="12.75" customHeight="1" x14ac:dyDescent="0.2">
      <c r="A36" s="628">
        <v>1113</v>
      </c>
      <c r="B36" s="629" t="s">
        <v>1024</v>
      </c>
      <c r="C36" s="632">
        <f>(9000000*0.161362/100)*1000-1522580</f>
        <v>13000000</v>
      </c>
      <c r="D36" s="632">
        <f>(9000000*0.161362/100)*1000-1522580</f>
        <v>13000000</v>
      </c>
      <c r="E36" s="632">
        <v>7832525.9100000001</v>
      </c>
      <c r="F36" s="1053"/>
      <c r="G36" s="630">
        <f t="shared" si="28"/>
        <v>60.250199307692313</v>
      </c>
      <c r="H36" s="1052">
        <f t="shared" si="29"/>
        <v>60.250199307692313</v>
      </c>
      <c r="I36" s="631">
        <f t="shared" si="30"/>
        <v>146.12849554669543</v>
      </c>
      <c r="J36" s="29">
        <v>5360026.38</v>
      </c>
    </row>
    <row r="37" spans="1:10" s="98" customFormat="1" ht="12.75" customHeight="1" x14ac:dyDescent="0.2">
      <c r="A37" s="628">
        <v>1121</v>
      </c>
      <c r="B37" s="629" t="s">
        <v>1025</v>
      </c>
      <c r="C37" s="632">
        <f>(63100000*0.161362/100)*1000-1819422</f>
        <v>100000000</v>
      </c>
      <c r="D37" s="632">
        <f>(63100000*0.161362/100)*1000-1819422</f>
        <v>100000000</v>
      </c>
      <c r="E37" s="632">
        <v>46262465.840000004</v>
      </c>
      <c r="F37" s="1053"/>
      <c r="G37" s="630">
        <f t="shared" si="28"/>
        <v>46.262465840000004</v>
      </c>
      <c r="H37" s="1052">
        <f t="shared" si="29"/>
        <v>46.262465840000004</v>
      </c>
      <c r="I37" s="631">
        <f t="shared" si="30"/>
        <v>122.20054094445433</v>
      </c>
      <c r="J37" s="29">
        <v>37857824.100000001</v>
      </c>
    </row>
    <row r="38" spans="1:10" s="98" customFormat="1" ht="25.5" customHeight="1" x14ac:dyDescent="0.2">
      <c r="A38" s="628">
        <v>1122</v>
      </c>
      <c r="B38" s="634" t="s">
        <v>1026</v>
      </c>
      <c r="C38" s="635">
        <v>40000000</v>
      </c>
      <c r="D38" s="635">
        <f>40000000-10050300</f>
        <v>29949700</v>
      </c>
      <c r="E38" s="635">
        <v>29949700</v>
      </c>
      <c r="F38" s="652"/>
      <c r="G38" s="630">
        <f t="shared" si="28"/>
        <v>74.874250000000004</v>
      </c>
      <c r="H38" s="1052">
        <f t="shared" si="29"/>
        <v>100</v>
      </c>
      <c r="I38" s="639">
        <f t="shared" si="30"/>
        <v>79.606286487687612</v>
      </c>
      <c r="J38" s="1037">
        <v>37622280</v>
      </c>
    </row>
    <row r="39" spans="1:10" s="98" customFormat="1" ht="12.75" customHeight="1" x14ac:dyDescent="0.2">
      <c r="A39" s="628">
        <v>1211</v>
      </c>
      <c r="B39" s="629" t="s">
        <v>1027</v>
      </c>
      <c r="C39" s="632">
        <f>(152800000*0.161362/100)*1000-1561136</f>
        <v>245000000.00000003</v>
      </c>
      <c r="D39" s="632">
        <f>(152800000*0.161362/100)*1000-1561136</f>
        <v>245000000.00000003</v>
      </c>
      <c r="E39" s="632">
        <v>111188453.19</v>
      </c>
      <c r="F39" s="1053"/>
      <c r="G39" s="630">
        <f t="shared" si="28"/>
        <v>45.383042118367342</v>
      </c>
      <c r="H39" s="1052">
        <f t="shared" si="29"/>
        <v>45.383042118367342</v>
      </c>
      <c r="I39" s="631">
        <f t="shared" si="30"/>
        <v>108.65253173999585</v>
      </c>
      <c r="J39" s="29">
        <v>102333973.64</v>
      </c>
    </row>
    <row r="40" spans="1:10" s="98" customFormat="1" ht="25.5" x14ac:dyDescent="0.2">
      <c r="A40" s="628">
        <v>1334</v>
      </c>
      <c r="B40" s="634" t="s">
        <v>1028</v>
      </c>
      <c r="C40" s="637">
        <v>50000</v>
      </c>
      <c r="D40" s="637">
        <v>50000</v>
      </c>
      <c r="E40" s="637">
        <v>39231.1</v>
      </c>
      <c r="F40" s="644"/>
      <c r="G40" s="630">
        <f t="shared" si="28"/>
        <v>78.462199999999996</v>
      </c>
      <c r="H40" s="1052">
        <f t="shared" si="29"/>
        <v>78.462199999999996</v>
      </c>
      <c r="I40" s="639">
        <f t="shared" si="30"/>
        <v>475.25197460871249</v>
      </c>
      <c r="J40" s="1037">
        <v>8254.7999999999993</v>
      </c>
    </row>
    <row r="41" spans="1:10" s="98" customFormat="1" ht="12.75" customHeight="1" x14ac:dyDescent="0.2">
      <c r="A41" s="628">
        <v>1335</v>
      </c>
      <c r="B41" s="629" t="s">
        <v>1029</v>
      </c>
      <c r="C41" s="637">
        <v>5000</v>
      </c>
      <c r="D41" s="637">
        <v>5000</v>
      </c>
      <c r="E41" s="637">
        <v>1778.04</v>
      </c>
      <c r="F41" s="644"/>
      <c r="G41" s="630">
        <f t="shared" si="28"/>
        <v>35.5608</v>
      </c>
      <c r="H41" s="1052">
        <f t="shared" si="29"/>
        <v>35.5608</v>
      </c>
      <c r="I41" s="631">
        <f t="shared" si="30"/>
        <v>66.023527314856068</v>
      </c>
      <c r="J41" s="29">
        <v>2693.04</v>
      </c>
    </row>
    <row r="42" spans="1:10" s="98" customFormat="1" ht="12.75" customHeight="1" x14ac:dyDescent="0.2">
      <c r="A42" s="628">
        <v>1336</v>
      </c>
      <c r="B42" s="629" t="s">
        <v>1030</v>
      </c>
      <c r="C42" s="637">
        <v>8400</v>
      </c>
      <c r="D42" s="637">
        <v>8400</v>
      </c>
      <c r="E42" s="637">
        <v>8400</v>
      </c>
      <c r="F42" s="644"/>
      <c r="G42" s="630">
        <f t="shared" si="28"/>
        <v>100</v>
      </c>
      <c r="H42" s="1052">
        <f t="shared" si="29"/>
        <v>100</v>
      </c>
      <c r="I42" s="631">
        <f t="shared" si="30"/>
        <v>100</v>
      </c>
      <c r="J42" s="29">
        <v>8400</v>
      </c>
    </row>
    <row r="43" spans="1:10" s="98" customFormat="1" ht="12.75" customHeight="1" x14ac:dyDescent="0.2">
      <c r="A43" s="628">
        <v>1341</v>
      </c>
      <c r="B43" s="629" t="s">
        <v>1031</v>
      </c>
      <c r="C43" s="637">
        <v>600000</v>
      </c>
      <c r="D43" s="637">
        <v>600000</v>
      </c>
      <c r="E43" s="637">
        <v>546069.51</v>
      </c>
      <c r="F43" s="644"/>
      <c r="G43" s="630">
        <f t="shared" si="28"/>
        <v>91.011585000000011</v>
      </c>
      <c r="H43" s="1052">
        <f t="shared" si="29"/>
        <v>91.011585000000011</v>
      </c>
      <c r="I43" s="631">
        <f t="shared" si="30"/>
        <v>105.72282848073758</v>
      </c>
      <c r="J43" s="29">
        <v>516510.5</v>
      </c>
    </row>
    <row r="44" spans="1:10" s="98" customFormat="1" ht="12.75" customHeight="1" x14ac:dyDescent="0.2">
      <c r="A44" s="628">
        <v>1343</v>
      </c>
      <c r="B44" s="629" t="s">
        <v>1032</v>
      </c>
      <c r="C44" s="640">
        <f t="shared" ref="C44:D44" si="31">SUM(C45:C47)</f>
        <v>270000</v>
      </c>
      <c r="D44" s="640">
        <f t="shared" si="31"/>
        <v>346497</v>
      </c>
      <c r="E44" s="640">
        <v>291857</v>
      </c>
      <c r="F44" s="1054">
        <f>SUM(E45:E47)</f>
        <v>291857</v>
      </c>
      <c r="G44" s="630">
        <f t="shared" si="28"/>
        <v>108.09518518518519</v>
      </c>
      <c r="H44" s="1052">
        <f t="shared" si="29"/>
        <v>84.230743700522652</v>
      </c>
      <c r="I44" s="631">
        <f t="shared" si="30"/>
        <v>80.034058563178363</v>
      </c>
      <c r="J44" s="29">
        <v>364666</v>
      </c>
    </row>
    <row r="45" spans="1:10" ht="12.75" customHeight="1" x14ac:dyDescent="0.2">
      <c r="A45" s="642"/>
      <c r="B45" s="643" t="s">
        <v>1034</v>
      </c>
      <c r="C45" s="644">
        <v>120000</v>
      </c>
      <c r="D45" s="644">
        <f>120000+76497</f>
        <v>196497</v>
      </c>
      <c r="E45" s="644">
        <v>211497</v>
      </c>
      <c r="F45" s="644"/>
      <c r="G45" s="1051">
        <f t="shared" si="28"/>
        <v>176.2475</v>
      </c>
      <c r="H45" s="1055">
        <f t="shared" si="29"/>
        <v>107.63370433136383</v>
      </c>
      <c r="I45" s="1056">
        <f t="shared" si="30"/>
        <v>104.99985106192844</v>
      </c>
      <c r="J45" s="29">
        <v>201426</v>
      </c>
    </row>
    <row r="46" spans="1:10" ht="12.75" customHeight="1" x14ac:dyDescent="0.2">
      <c r="A46" s="646"/>
      <c r="B46" s="643" t="s">
        <v>1035</v>
      </c>
      <c r="C46" s="644">
        <v>65000</v>
      </c>
      <c r="D46" s="644">
        <v>65000</v>
      </c>
      <c r="E46" s="644">
        <v>3960</v>
      </c>
      <c r="F46" s="644"/>
      <c r="G46" s="1051">
        <f t="shared" si="28"/>
        <v>6.092307692307692</v>
      </c>
      <c r="H46" s="1055">
        <f t="shared" si="29"/>
        <v>6.092307692307692</v>
      </c>
      <c r="I46" s="1056">
        <f t="shared" si="30"/>
        <v>2.9745361676556747</v>
      </c>
      <c r="J46" s="29">
        <v>133130</v>
      </c>
    </row>
    <row r="47" spans="1:10" ht="12.75" customHeight="1" x14ac:dyDescent="0.2">
      <c r="A47" s="646"/>
      <c r="B47" s="643" t="s">
        <v>1036</v>
      </c>
      <c r="C47" s="644">
        <v>85000</v>
      </c>
      <c r="D47" s="644">
        <v>85000</v>
      </c>
      <c r="E47" s="644">
        <v>76400</v>
      </c>
      <c r="F47" s="644"/>
      <c r="G47" s="1051">
        <f t="shared" si="28"/>
        <v>89.882352941176464</v>
      </c>
      <c r="H47" s="1055">
        <f t="shared" si="29"/>
        <v>89.882352941176464</v>
      </c>
      <c r="I47" s="1056">
        <f t="shared" si="30"/>
        <v>253.73630023248089</v>
      </c>
      <c r="J47" s="29">
        <v>30110</v>
      </c>
    </row>
    <row r="48" spans="1:10" ht="25.5" x14ac:dyDescent="0.2">
      <c r="A48" s="648">
        <v>1345</v>
      </c>
      <c r="B48" s="634" t="s">
        <v>1037</v>
      </c>
      <c r="C48" s="637">
        <v>12500000</v>
      </c>
      <c r="D48" s="637">
        <v>12500000</v>
      </c>
      <c r="E48" s="637">
        <v>11077169.65</v>
      </c>
      <c r="F48" s="644"/>
      <c r="G48" s="630">
        <f t="shared" si="28"/>
        <v>88.617357200000001</v>
      </c>
      <c r="H48" s="1052">
        <f t="shared" si="29"/>
        <v>88.617357200000001</v>
      </c>
      <c r="I48" s="639">
        <f t="shared" si="30"/>
        <v>104.29997710360088</v>
      </c>
      <c r="J48" s="1037">
        <v>10620490.970000001</v>
      </c>
    </row>
    <row r="49" spans="1:10" s="98" customFormat="1" ht="24.75" x14ac:dyDescent="0.2">
      <c r="A49" s="628">
        <v>1346</v>
      </c>
      <c r="B49" s="634" t="s">
        <v>1038</v>
      </c>
      <c r="C49" s="637">
        <v>121000</v>
      </c>
      <c r="D49" s="637">
        <f>121000+33700+20200</f>
        <v>174900</v>
      </c>
      <c r="E49" s="637">
        <v>176900</v>
      </c>
      <c r="F49" s="644"/>
      <c r="G49" s="630">
        <f t="shared" si="28"/>
        <v>146.19834710743802</v>
      </c>
      <c r="H49" s="1052">
        <f t="shared" si="29"/>
        <v>101.14351057747284</v>
      </c>
      <c r="I49" s="639">
        <f t="shared" si="30"/>
        <v>152.63157894736844</v>
      </c>
      <c r="J49" s="1037">
        <v>115900</v>
      </c>
    </row>
    <row r="50" spans="1:10" s="98" customFormat="1" ht="12.75" customHeight="1" x14ac:dyDescent="0.2">
      <c r="A50" s="628">
        <v>1353</v>
      </c>
      <c r="B50" s="629" t="s">
        <v>1039</v>
      </c>
      <c r="C50" s="637">
        <v>550000</v>
      </c>
      <c r="D50" s="637">
        <v>550000</v>
      </c>
      <c r="E50" s="637">
        <v>397000</v>
      </c>
      <c r="F50" s="644"/>
      <c r="G50" s="630">
        <f t="shared" si="28"/>
        <v>72.181818181818187</v>
      </c>
      <c r="H50" s="1052">
        <f t="shared" si="29"/>
        <v>72.181818181818187</v>
      </c>
      <c r="I50" s="631">
        <f t="shared" si="30"/>
        <v>108.856594461201</v>
      </c>
      <c r="J50" s="29">
        <v>364700</v>
      </c>
    </row>
    <row r="51" spans="1:10" s="98" customFormat="1" ht="12.75" customHeight="1" x14ac:dyDescent="0.2">
      <c r="A51" s="628">
        <v>1356</v>
      </c>
      <c r="B51" s="629" t="s">
        <v>1040</v>
      </c>
      <c r="C51" s="635">
        <v>250000</v>
      </c>
      <c r="D51" s="635">
        <v>250000</v>
      </c>
      <c r="E51" s="635">
        <v>242547.84</v>
      </c>
      <c r="F51" s="652"/>
      <c r="G51" s="630">
        <f t="shared" si="28"/>
        <v>97.019135999999989</v>
      </c>
      <c r="H51" s="1052">
        <f t="shared" si="29"/>
        <v>97.019135999999989</v>
      </c>
      <c r="I51" s="631">
        <f t="shared" si="30"/>
        <v>100</v>
      </c>
      <c r="J51" s="29">
        <v>242547.84</v>
      </c>
    </row>
    <row r="52" spans="1:10" s="98" customFormat="1" ht="12.75" customHeight="1" x14ac:dyDescent="0.2">
      <c r="A52" s="628">
        <v>1359</v>
      </c>
      <c r="B52" s="629" t="s">
        <v>1041</v>
      </c>
      <c r="C52" s="635">
        <v>0</v>
      </c>
      <c r="D52" s="635">
        <v>0</v>
      </c>
      <c r="E52" s="635">
        <v>9000</v>
      </c>
      <c r="F52" s="652"/>
      <c r="G52" s="630">
        <v>0</v>
      </c>
      <c r="H52" s="1052">
        <v>0</v>
      </c>
      <c r="I52" s="631">
        <v>0</v>
      </c>
      <c r="J52" s="29">
        <v>0</v>
      </c>
    </row>
    <row r="53" spans="1:10" s="98" customFormat="1" ht="12.75" customHeight="1" x14ac:dyDescent="0.2">
      <c r="A53" s="628">
        <v>1361</v>
      </c>
      <c r="B53" s="629" t="s">
        <v>1042</v>
      </c>
      <c r="C53" s="640">
        <f>SUM(C54:C59)</f>
        <v>8488000</v>
      </c>
      <c r="D53" s="640">
        <f>SUM(D54:D59)</f>
        <v>8488000</v>
      </c>
      <c r="E53" s="640">
        <v>5961670</v>
      </c>
      <c r="F53" s="1054">
        <f>SUM(E54:E59)</f>
        <v>5961670</v>
      </c>
      <c r="G53" s="630">
        <f t="shared" si="28"/>
        <v>70.236451460885945</v>
      </c>
      <c r="H53" s="1052">
        <f t="shared" si="29"/>
        <v>70.236451460885945</v>
      </c>
      <c r="I53" s="631">
        <f t="shared" si="30"/>
        <v>96.658905855305193</v>
      </c>
      <c r="J53" s="29">
        <v>6167740</v>
      </c>
    </row>
    <row r="54" spans="1:10" ht="27.75" customHeight="1" x14ac:dyDescent="0.2">
      <c r="A54" s="649"/>
      <c r="B54" s="650" t="s">
        <v>1873</v>
      </c>
      <c r="C54" s="644">
        <v>400000</v>
      </c>
      <c r="D54" s="644">
        <v>400000</v>
      </c>
      <c r="E54" s="644">
        <v>269875</v>
      </c>
      <c r="F54" s="644"/>
      <c r="G54" s="1051">
        <f t="shared" si="28"/>
        <v>67.46875</v>
      </c>
      <c r="H54" s="1055">
        <f t="shared" si="29"/>
        <v>67.46875</v>
      </c>
      <c r="I54" s="639">
        <f t="shared" si="30"/>
        <v>112.46900460503011</v>
      </c>
      <c r="J54" s="1037">
        <v>239955</v>
      </c>
    </row>
    <row r="55" spans="1:10" ht="12.75" customHeight="1" x14ac:dyDescent="0.2">
      <c r="A55" s="646"/>
      <c r="B55" s="643" t="s">
        <v>1874</v>
      </c>
      <c r="C55" s="644">
        <v>5400000</v>
      </c>
      <c r="D55" s="644">
        <v>5400000</v>
      </c>
      <c r="E55" s="644">
        <v>3433865</v>
      </c>
      <c r="F55" s="644"/>
      <c r="G55" s="1051">
        <f t="shared" si="28"/>
        <v>63.590092592592597</v>
      </c>
      <c r="H55" s="1055">
        <f t="shared" si="29"/>
        <v>63.590092592592597</v>
      </c>
      <c r="I55" s="631">
        <f t="shared" si="30"/>
        <v>106.06172454372206</v>
      </c>
      <c r="J55" s="29">
        <v>3237610</v>
      </c>
    </row>
    <row r="56" spans="1:10" ht="12.75" customHeight="1" x14ac:dyDescent="0.2">
      <c r="A56" s="642"/>
      <c r="B56" s="643" t="s">
        <v>1048</v>
      </c>
      <c r="C56" s="652">
        <v>1500000</v>
      </c>
      <c r="D56" s="652">
        <v>1500000</v>
      </c>
      <c r="E56" s="652">
        <v>1454780</v>
      </c>
      <c r="F56" s="652"/>
      <c r="G56" s="1051">
        <f t="shared" si="28"/>
        <v>96.98533333333333</v>
      </c>
      <c r="H56" s="1055">
        <f t="shared" si="29"/>
        <v>96.98533333333333</v>
      </c>
      <c r="I56" s="631">
        <f t="shared" si="30"/>
        <v>78.656952460766945</v>
      </c>
      <c r="J56" s="29">
        <v>1849525</v>
      </c>
    </row>
    <row r="57" spans="1:10" ht="12.75" customHeight="1" x14ac:dyDescent="0.2">
      <c r="A57" s="646"/>
      <c r="B57" s="643" t="s">
        <v>1049</v>
      </c>
      <c r="C57" s="652">
        <v>182000</v>
      </c>
      <c r="D57" s="652">
        <v>182000</v>
      </c>
      <c r="E57" s="652">
        <v>149750</v>
      </c>
      <c r="F57" s="652"/>
      <c r="G57" s="1051">
        <f t="shared" si="28"/>
        <v>82.280219780219781</v>
      </c>
      <c r="H57" s="1055">
        <f t="shared" si="29"/>
        <v>82.280219780219781</v>
      </c>
      <c r="I57" s="631">
        <f t="shared" si="30"/>
        <v>131.12959719789842</v>
      </c>
      <c r="J57" s="29">
        <v>114200</v>
      </c>
    </row>
    <row r="58" spans="1:10" ht="12.75" customHeight="1" x14ac:dyDescent="0.2">
      <c r="A58" s="646"/>
      <c r="B58" s="643" t="s">
        <v>1046</v>
      </c>
      <c r="C58" s="644">
        <v>1000000</v>
      </c>
      <c r="D58" s="644">
        <v>1000000</v>
      </c>
      <c r="E58" s="644">
        <v>651000</v>
      </c>
      <c r="F58" s="644"/>
      <c r="G58" s="1051">
        <f t="shared" si="28"/>
        <v>65.100000000000009</v>
      </c>
      <c r="H58" s="1055">
        <f t="shared" si="29"/>
        <v>65.100000000000009</v>
      </c>
      <c r="I58" s="631">
        <f t="shared" si="30"/>
        <v>90.159961221522053</v>
      </c>
      <c r="J58" s="29">
        <v>722050</v>
      </c>
    </row>
    <row r="59" spans="1:10" ht="12.75" customHeight="1" x14ac:dyDescent="0.2">
      <c r="A59" s="646"/>
      <c r="B59" s="643" t="s">
        <v>1050</v>
      </c>
      <c r="C59" s="644">
        <v>6000</v>
      </c>
      <c r="D59" s="644">
        <v>6000</v>
      </c>
      <c r="E59" s="644">
        <v>2400</v>
      </c>
      <c r="F59" s="644"/>
      <c r="G59" s="1051">
        <f t="shared" si="28"/>
        <v>40</v>
      </c>
      <c r="H59" s="1055">
        <f t="shared" si="29"/>
        <v>40</v>
      </c>
      <c r="I59" s="631">
        <f t="shared" si="30"/>
        <v>54.54545454545454</v>
      </c>
      <c r="J59" s="29">
        <v>4400</v>
      </c>
    </row>
    <row r="60" spans="1:10" ht="12.75" customHeight="1" x14ac:dyDescent="0.2">
      <c r="A60" s="1057">
        <v>1381</v>
      </c>
      <c r="B60" s="629" t="s">
        <v>1052</v>
      </c>
      <c r="C60" s="637">
        <v>2500000</v>
      </c>
      <c r="D60" s="637">
        <v>2500000</v>
      </c>
      <c r="E60" s="637">
        <v>1744226.69</v>
      </c>
      <c r="F60" s="644"/>
      <c r="G60" s="630">
        <f t="shared" si="28"/>
        <v>69.7690676</v>
      </c>
      <c r="H60" s="1052">
        <f t="shared" si="29"/>
        <v>69.7690676</v>
      </c>
      <c r="I60" s="631">
        <f t="shared" si="30"/>
        <v>106.98521492106498</v>
      </c>
      <c r="J60" s="29">
        <v>1630343.68</v>
      </c>
    </row>
    <row r="61" spans="1:10" ht="12.75" customHeight="1" x14ac:dyDescent="0.2">
      <c r="A61" s="1057">
        <v>1385</v>
      </c>
      <c r="B61" s="629" t="s">
        <v>1056</v>
      </c>
      <c r="C61" s="637">
        <v>11000000</v>
      </c>
      <c r="D61" s="637">
        <v>11000000</v>
      </c>
      <c r="E61" s="637">
        <v>9979943.0800000001</v>
      </c>
      <c r="F61" s="644"/>
      <c r="G61" s="630">
        <f t="shared" si="28"/>
        <v>90.726755272727274</v>
      </c>
      <c r="H61" s="1052">
        <f t="shared" si="29"/>
        <v>90.726755272727274</v>
      </c>
      <c r="I61" s="631">
        <f t="shared" si="30"/>
        <v>114.90096585519873</v>
      </c>
      <c r="J61" s="29">
        <v>8685691.1999999993</v>
      </c>
    </row>
    <row r="62" spans="1:10" s="98" customFormat="1" ht="12.75" customHeight="1" x14ac:dyDescent="0.2">
      <c r="A62" s="628">
        <v>1511</v>
      </c>
      <c r="B62" s="629" t="s">
        <v>1057</v>
      </c>
      <c r="C62" s="635">
        <v>11000000</v>
      </c>
      <c r="D62" s="635">
        <v>11000000</v>
      </c>
      <c r="E62" s="635">
        <v>8505938.8499999996</v>
      </c>
      <c r="F62" s="652"/>
      <c r="G62" s="630">
        <f t="shared" si="28"/>
        <v>77.326716818181822</v>
      </c>
      <c r="H62" s="1052">
        <f t="shared" si="29"/>
        <v>77.326716818181822</v>
      </c>
      <c r="I62" s="631">
        <f t="shared" si="30"/>
        <v>98.912295552231285</v>
      </c>
      <c r="J62" s="29">
        <v>8599475.7300000004</v>
      </c>
    </row>
    <row r="63" spans="1:10" s="98" customFormat="1" ht="12.75" customHeight="1" x14ac:dyDescent="0.2">
      <c r="A63" s="653"/>
      <c r="B63" s="654"/>
      <c r="C63" s="655"/>
      <c r="D63" s="655"/>
      <c r="E63" s="655"/>
      <c r="F63" s="682"/>
      <c r="G63" s="655"/>
      <c r="H63" s="655"/>
      <c r="I63" s="656"/>
      <c r="J63" s="29"/>
    </row>
    <row r="64" spans="1:10" s="244" customFormat="1" ht="16.5" customHeight="1" x14ac:dyDescent="0.25">
      <c r="A64" s="621"/>
      <c r="B64" s="657" t="s">
        <v>10</v>
      </c>
      <c r="C64" s="658">
        <f>SUM(C65,C77:C80,C92:C93,C107:C107,C120:C122,C139:C139)</f>
        <v>153980616.31999999</v>
      </c>
      <c r="D64" s="658">
        <f>SUM(D65,D77:D80,D92:D93,D107:D107,D120:D122,D139:D139)</f>
        <v>141450833.17000002</v>
      </c>
      <c r="E64" s="658">
        <v>84852352.859999999</v>
      </c>
      <c r="F64" s="1058">
        <f>SUM(E65,E77:E80,E92:E93,E107,E120:E122,E139)</f>
        <v>84766801.61999999</v>
      </c>
      <c r="G64" s="623">
        <f t="shared" si="28"/>
        <v>55.105866496638271</v>
      </c>
      <c r="H64" s="623">
        <f t="shared" si="29"/>
        <v>59.987170777581632</v>
      </c>
      <c r="I64" s="741">
        <f t="shared" si="30"/>
        <v>102.10508276772936</v>
      </c>
      <c r="J64" s="29">
        <v>83102966.629999995</v>
      </c>
    </row>
    <row r="65" spans="1:60" s="98" customFormat="1" ht="12.75" customHeight="1" x14ac:dyDescent="0.2">
      <c r="A65" s="660">
        <v>2111</v>
      </c>
      <c r="B65" s="626" t="s">
        <v>1058</v>
      </c>
      <c r="C65" s="661">
        <f>SUM(C67:C76)</f>
        <v>14425500</v>
      </c>
      <c r="D65" s="661">
        <f>SUM(D67:D76)</f>
        <v>14532910</v>
      </c>
      <c r="E65" s="661">
        <v>9603359.8599999994</v>
      </c>
      <c r="F65" s="1059">
        <f>SUM(E66:E76)</f>
        <v>9603359.8599999994</v>
      </c>
      <c r="G65" s="630">
        <f t="shared" si="28"/>
        <v>66.57211091469965</v>
      </c>
      <c r="H65" s="1052">
        <f t="shared" si="29"/>
        <v>66.080088984243346</v>
      </c>
      <c r="I65" s="631">
        <f t="shared" si="30"/>
        <v>132.64474473514122</v>
      </c>
      <c r="J65" s="29">
        <v>7239909.79</v>
      </c>
    </row>
    <row r="66" spans="1:60" ht="12.75" customHeight="1" x14ac:dyDescent="0.2">
      <c r="A66" s="663"/>
      <c r="B66" s="643" t="s">
        <v>1875</v>
      </c>
      <c r="C66" s="644">
        <v>800000</v>
      </c>
      <c r="D66" s="644">
        <v>800000</v>
      </c>
      <c r="E66" s="644">
        <v>270</v>
      </c>
      <c r="F66" s="644"/>
      <c r="G66" s="1051">
        <f t="shared" si="28"/>
        <v>3.3750000000000002E-2</v>
      </c>
      <c r="H66" s="1055">
        <f t="shared" si="29"/>
        <v>3.3750000000000002E-2</v>
      </c>
      <c r="I66" s="1056">
        <v>0</v>
      </c>
      <c r="J66" s="29">
        <v>0</v>
      </c>
    </row>
    <row r="67" spans="1:60" ht="12.75" customHeight="1" x14ac:dyDescent="0.2">
      <c r="A67" s="663"/>
      <c r="B67" s="643" t="s">
        <v>1059</v>
      </c>
      <c r="C67" s="644">
        <v>800000</v>
      </c>
      <c r="D67" s="644">
        <v>800000</v>
      </c>
      <c r="E67" s="644">
        <v>162601.21</v>
      </c>
      <c r="F67" s="644"/>
      <c r="G67" s="1051">
        <f t="shared" si="28"/>
        <v>20.325151249999998</v>
      </c>
      <c r="H67" s="1055">
        <f t="shared" si="29"/>
        <v>20.325151249999998</v>
      </c>
      <c r="I67" s="1056">
        <f t="shared" si="30"/>
        <v>48.755685309880405</v>
      </c>
      <c r="J67" s="29">
        <v>333502.05</v>
      </c>
    </row>
    <row r="68" spans="1:60" ht="12.75" customHeight="1" x14ac:dyDescent="0.2">
      <c r="A68" s="664"/>
      <c r="B68" s="643" t="s">
        <v>1060</v>
      </c>
      <c r="C68" s="644">
        <v>869000</v>
      </c>
      <c r="D68" s="644">
        <v>869000</v>
      </c>
      <c r="E68" s="644">
        <v>547307.01</v>
      </c>
      <c r="F68" s="644"/>
      <c r="G68" s="1051">
        <f t="shared" si="28"/>
        <v>62.981243958573074</v>
      </c>
      <c r="H68" s="1055">
        <f t="shared" si="29"/>
        <v>62.981243958573074</v>
      </c>
      <c r="I68" s="1056">
        <f t="shared" si="30"/>
        <v>154.6007133913773</v>
      </c>
      <c r="J68" s="29">
        <v>354013.25</v>
      </c>
    </row>
    <row r="69" spans="1:60" s="665" customFormat="1" ht="12.75" customHeight="1" x14ac:dyDescent="0.2">
      <c r="A69" s="664"/>
      <c r="B69" s="643" t="s">
        <v>1876</v>
      </c>
      <c r="C69" s="644">
        <v>0</v>
      </c>
      <c r="D69" s="644">
        <v>20000</v>
      </c>
      <c r="E69" s="644">
        <v>20000</v>
      </c>
      <c r="F69" s="644"/>
      <c r="G69" s="1051">
        <v>0</v>
      </c>
      <c r="H69" s="1055">
        <f t="shared" si="29"/>
        <v>100</v>
      </c>
      <c r="I69" s="1056">
        <v>0</v>
      </c>
      <c r="J69" s="29">
        <v>0</v>
      </c>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row>
    <row r="70" spans="1:60" s="665" customFormat="1" ht="12.75" customHeight="1" x14ac:dyDescent="0.2">
      <c r="A70" s="664"/>
      <c r="B70" s="643" t="s">
        <v>1877</v>
      </c>
      <c r="C70" s="644">
        <v>0</v>
      </c>
      <c r="D70" s="644">
        <v>87410</v>
      </c>
      <c r="E70" s="644">
        <v>87410</v>
      </c>
      <c r="F70" s="644"/>
      <c r="G70" s="1051">
        <v>0</v>
      </c>
      <c r="H70" s="1055">
        <f t="shared" si="29"/>
        <v>100</v>
      </c>
      <c r="I70" s="1056">
        <v>0</v>
      </c>
      <c r="J70" s="29">
        <v>0</v>
      </c>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row>
    <row r="71" spans="1:60" s="665" customFormat="1" ht="12.75" customHeight="1" x14ac:dyDescent="0.2">
      <c r="A71" s="664"/>
      <c r="B71" s="643" t="s">
        <v>1061</v>
      </c>
      <c r="C71" s="644">
        <v>5555000</v>
      </c>
      <c r="D71" s="644">
        <v>5555000</v>
      </c>
      <c r="E71" s="644">
        <v>4707572.32</v>
      </c>
      <c r="F71" s="644"/>
      <c r="G71" s="1051">
        <f t="shared" si="28"/>
        <v>84.744776237623768</v>
      </c>
      <c r="H71" s="1055">
        <f t="shared" si="29"/>
        <v>84.744776237623768</v>
      </c>
      <c r="I71" s="1056">
        <f t="shared" si="30"/>
        <v>162.0055120121981</v>
      </c>
      <c r="J71" s="29">
        <v>2905809.97</v>
      </c>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row>
    <row r="72" spans="1:60" s="665" customFormat="1" ht="12.75" customHeight="1" x14ac:dyDescent="0.2">
      <c r="A72" s="664"/>
      <c r="B72" s="643" t="s">
        <v>1062</v>
      </c>
      <c r="C72" s="644">
        <v>1850000</v>
      </c>
      <c r="D72" s="644">
        <v>1850000</v>
      </c>
      <c r="E72" s="644">
        <v>1064673.32</v>
      </c>
      <c r="F72" s="644"/>
      <c r="G72" s="1051">
        <f t="shared" si="28"/>
        <v>57.549909189189194</v>
      </c>
      <c r="H72" s="1055">
        <f t="shared" si="29"/>
        <v>57.549909189189194</v>
      </c>
      <c r="I72" s="1056">
        <f t="shared" si="30"/>
        <v>110.73788078892697</v>
      </c>
      <c r="J72" s="29">
        <v>961435.52</v>
      </c>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row>
    <row r="73" spans="1:60" s="665" customFormat="1" ht="12.75" customHeight="1" x14ac:dyDescent="0.2">
      <c r="A73" s="664"/>
      <c r="B73" s="643" t="s">
        <v>1063</v>
      </c>
      <c r="C73" s="644">
        <v>2600000</v>
      </c>
      <c r="D73" s="644">
        <v>2600000</v>
      </c>
      <c r="E73" s="644">
        <v>1276992</v>
      </c>
      <c r="F73" s="644"/>
      <c r="G73" s="1051">
        <f t="shared" si="28"/>
        <v>49.11507692307692</v>
      </c>
      <c r="H73" s="1055">
        <f t="shared" si="29"/>
        <v>49.11507692307692</v>
      </c>
      <c r="I73" s="1056">
        <f t="shared" si="30"/>
        <v>99.797434166103983</v>
      </c>
      <c r="J73" s="29">
        <v>1279584</v>
      </c>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row>
    <row r="74" spans="1:60" ht="12.75" customHeight="1" x14ac:dyDescent="0.2">
      <c r="A74" s="664"/>
      <c r="B74" s="643" t="s">
        <v>1064</v>
      </c>
      <c r="C74" s="644">
        <v>2700000</v>
      </c>
      <c r="D74" s="644">
        <v>2700000</v>
      </c>
      <c r="E74" s="644">
        <v>1736318</v>
      </c>
      <c r="F74" s="644"/>
      <c r="G74" s="1051">
        <f t="shared" si="28"/>
        <v>64.308074074074071</v>
      </c>
      <c r="H74" s="1055">
        <f t="shared" si="29"/>
        <v>64.308074074074071</v>
      </c>
      <c r="I74" s="1056">
        <f t="shared" si="30"/>
        <v>126.08931821119577</v>
      </c>
      <c r="J74" s="29">
        <v>1377054</v>
      </c>
    </row>
    <row r="75" spans="1:60" ht="12.75" customHeight="1" x14ac:dyDescent="0.2">
      <c r="A75" s="664"/>
      <c r="B75" s="643" t="s">
        <v>1065</v>
      </c>
      <c r="C75" s="644">
        <v>51000</v>
      </c>
      <c r="D75" s="644">
        <v>51000</v>
      </c>
      <c r="E75" s="644">
        <v>0</v>
      </c>
      <c r="F75" s="644"/>
      <c r="G75" s="1051">
        <f t="shared" si="28"/>
        <v>0</v>
      </c>
      <c r="H75" s="1055">
        <f t="shared" si="29"/>
        <v>0</v>
      </c>
      <c r="I75" s="1056">
        <f t="shared" si="30"/>
        <v>0</v>
      </c>
      <c r="J75" s="29">
        <v>26400</v>
      </c>
    </row>
    <row r="76" spans="1:60" ht="12.75" customHeight="1" x14ac:dyDescent="0.2">
      <c r="A76" s="664"/>
      <c r="B76" s="643" t="s">
        <v>1066</v>
      </c>
      <c r="C76" s="644">
        <v>500</v>
      </c>
      <c r="D76" s="644">
        <v>500</v>
      </c>
      <c r="E76" s="644">
        <v>216</v>
      </c>
      <c r="F76" s="644"/>
      <c r="G76" s="1051">
        <f t="shared" si="28"/>
        <v>43.2</v>
      </c>
      <c r="H76" s="1055">
        <f t="shared" si="29"/>
        <v>43.2</v>
      </c>
      <c r="I76" s="1056">
        <f t="shared" si="30"/>
        <v>10.232117479867361</v>
      </c>
      <c r="J76" s="29">
        <v>2111</v>
      </c>
    </row>
    <row r="77" spans="1:60" s="666" customFormat="1" x14ac:dyDescent="0.2">
      <c r="A77" s="663">
        <v>2119</v>
      </c>
      <c r="B77" s="634" t="s">
        <v>1067</v>
      </c>
      <c r="C77" s="637">
        <v>4041000</v>
      </c>
      <c r="D77" s="637">
        <v>4041000</v>
      </c>
      <c r="E77" s="637">
        <v>2040331.04</v>
      </c>
      <c r="F77" s="644"/>
      <c r="G77" s="630">
        <f t="shared" si="28"/>
        <v>50.490745854986386</v>
      </c>
      <c r="H77" s="1052">
        <f t="shared" si="29"/>
        <v>50.490745854986386</v>
      </c>
      <c r="I77" s="631">
        <f t="shared" si="30"/>
        <v>290.26393628385983</v>
      </c>
      <c r="J77" s="29">
        <v>702922.68</v>
      </c>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c r="AL77" s="98"/>
      <c r="AM77" s="98"/>
      <c r="AN77" s="98"/>
      <c r="AO77" s="98"/>
      <c r="AP77" s="98"/>
      <c r="AQ77" s="98"/>
      <c r="AR77" s="98"/>
      <c r="AS77" s="98"/>
      <c r="AT77" s="98"/>
      <c r="AU77" s="98"/>
      <c r="AV77" s="98"/>
      <c r="AW77" s="98"/>
      <c r="AX77" s="98"/>
      <c r="AY77" s="98"/>
      <c r="AZ77" s="98"/>
      <c r="BA77" s="98"/>
      <c r="BB77" s="98"/>
      <c r="BC77" s="98"/>
      <c r="BD77" s="98"/>
      <c r="BE77" s="98"/>
      <c r="BF77" s="98"/>
      <c r="BG77" s="98"/>
      <c r="BH77" s="98"/>
    </row>
    <row r="78" spans="1:60" s="98" customFormat="1" ht="12.75" customHeight="1" x14ac:dyDescent="0.2">
      <c r="A78" s="663">
        <v>2122</v>
      </c>
      <c r="B78" s="629" t="s">
        <v>1068</v>
      </c>
      <c r="C78" s="667">
        <f>3482748.36+196380+4788</f>
        <v>3683916.36</v>
      </c>
      <c r="D78" s="667">
        <f>3482748.36+196380+4788+384+43797+270</f>
        <v>3728367.36</v>
      </c>
      <c r="E78" s="667">
        <v>632941.12</v>
      </c>
      <c r="F78" s="1060"/>
      <c r="G78" s="630">
        <f t="shared" si="28"/>
        <v>17.181202235546955</v>
      </c>
      <c r="H78" s="1052">
        <f t="shared" si="29"/>
        <v>16.976361470989811</v>
      </c>
      <c r="I78" s="631">
        <f t="shared" si="30"/>
        <v>47.320042854864106</v>
      </c>
      <c r="J78" s="29">
        <v>1337575.1200000001</v>
      </c>
    </row>
    <row r="79" spans="1:60" s="98" customFormat="1" ht="27" customHeight="1" x14ac:dyDescent="0.2">
      <c r="A79" s="663">
        <v>2131</v>
      </c>
      <c r="B79" s="634" t="s">
        <v>1069</v>
      </c>
      <c r="C79" s="637">
        <v>1150000</v>
      </c>
      <c r="D79" s="637">
        <v>1150000</v>
      </c>
      <c r="E79" s="637">
        <v>802145.91</v>
      </c>
      <c r="F79" s="644"/>
      <c r="G79" s="630">
        <f t="shared" si="28"/>
        <v>69.75181826086957</v>
      </c>
      <c r="H79" s="1052">
        <f t="shared" si="29"/>
        <v>69.75181826086957</v>
      </c>
      <c r="I79" s="639">
        <f t="shared" si="30"/>
        <v>79.852170743775474</v>
      </c>
      <c r="J79" s="29">
        <v>1004538.64</v>
      </c>
    </row>
    <row r="80" spans="1:60" s="98" customFormat="1" ht="12.75" customHeight="1" x14ac:dyDescent="0.2">
      <c r="A80" s="663">
        <v>2132</v>
      </c>
      <c r="B80" s="629" t="s">
        <v>1070</v>
      </c>
      <c r="C80" s="635">
        <f>SUM(C81:C91)</f>
        <v>98533661.960000008</v>
      </c>
      <c r="D80" s="635">
        <f>SUM(D81:D91)</f>
        <v>91152123.960000008</v>
      </c>
      <c r="E80" s="635">
        <v>53509123.659999996</v>
      </c>
      <c r="F80" s="652">
        <f>SUM(E81:E91)</f>
        <v>53509123.659999996</v>
      </c>
      <c r="G80" s="630">
        <f t="shared" si="28"/>
        <v>54.305424761054923</v>
      </c>
      <c r="H80" s="1052">
        <f t="shared" si="29"/>
        <v>58.703101294141248</v>
      </c>
      <c r="I80" s="631">
        <f t="shared" si="30"/>
        <v>98.97007467879601</v>
      </c>
      <c r="J80" s="29">
        <v>54065962.700000003</v>
      </c>
    </row>
    <row r="81" spans="1:60" ht="12.75" customHeight="1" x14ac:dyDescent="0.2">
      <c r="A81" s="664"/>
      <c r="B81" s="643" t="s">
        <v>1071</v>
      </c>
      <c r="C81" s="644">
        <v>750000</v>
      </c>
      <c r="D81" s="644">
        <v>750000</v>
      </c>
      <c r="E81" s="644">
        <v>745106</v>
      </c>
      <c r="F81" s="644"/>
      <c r="G81" s="1051">
        <f t="shared" si="28"/>
        <v>99.347466666666662</v>
      </c>
      <c r="H81" s="1055">
        <f t="shared" si="29"/>
        <v>99.347466666666662</v>
      </c>
      <c r="I81" s="1056">
        <f t="shared" si="30"/>
        <v>117.47642922460821</v>
      </c>
      <c r="J81" s="29">
        <v>634260</v>
      </c>
    </row>
    <row r="82" spans="1:60" ht="12.75" customHeight="1" x14ac:dyDescent="0.2">
      <c r="A82" s="664"/>
      <c r="B82" s="643" t="s">
        <v>1072</v>
      </c>
      <c r="C82" s="644">
        <v>0</v>
      </c>
      <c r="D82" s="644">
        <v>0</v>
      </c>
      <c r="E82" s="644">
        <v>4424</v>
      </c>
      <c r="F82" s="644"/>
      <c r="G82" s="1051">
        <v>0</v>
      </c>
      <c r="H82" s="1055">
        <v>0</v>
      </c>
      <c r="I82" s="1056">
        <f t="shared" si="30"/>
        <v>1039.2050926687182</v>
      </c>
      <c r="J82" s="29">
        <v>425.71</v>
      </c>
    </row>
    <row r="83" spans="1:60" ht="12.75" customHeight="1" x14ac:dyDescent="0.2">
      <c r="A83" s="664"/>
      <c r="B83" s="643" t="s">
        <v>1073</v>
      </c>
      <c r="C83" s="644">
        <v>600000</v>
      </c>
      <c r="D83" s="644">
        <v>600000</v>
      </c>
      <c r="E83" s="644">
        <v>361841.74</v>
      </c>
      <c r="F83" s="644"/>
      <c r="G83" s="1051">
        <f t="shared" si="28"/>
        <v>60.306956666666665</v>
      </c>
      <c r="H83" s="1055">
        <f t="shared" si="29"/>
        <v>60.306956666666665</v>
      </c>
      <c r="I83" s="1056">
        <f t="shared" si="30"/>
        <v>79.316540391530381</v>
      </c>
      <c r="J83" s="29">
        <v>456199.6</v>
      </c>
    </row>
    <row r="84" spans="1:60" s="665" customFormat="1" ht="12.75" customHeight="1" x14ac:dyDescent="0.2">
      <c r="A84" s="664"/>
      <c r="B84" s="643" t="s">
        <v>1074</v>
      </c>
      <c r="C84" s="644">
        <v>300000</v>
      </c>
      <c r="D84" s="644">
        <v>300000</v>
      </c>
      <c r="E84" s="644">
        <v>308993.67</v>
      </c>
      <c r="F84" s="644"/>
      <c r="G84" s="1051">
        <f t="shared" si="28"/>
        <v>102.99789</v>
      </c>
      <c r="H84" s="1055">
        <f t="shared" si="29"/>
        <v>102.99789</v>
      </c>
      <c r="I84" s="1056">
        <v>0</v>
      </c>
      <c r="J84" s="29">
        <v>0</v>
      </c>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row>
    <row r="85" spans="1:60" s="665" customFormat="1" ht="12.75" customHeight="1" x14ac:dyDescent="0.2">
      <c r="A85" s="664"/>
      <c r="B85" s="650" t="s">
        <v>1075</v>
      </c>
      <c r="C85" s="644">
        <v>60721000</v>
      </c>
      <c r="D85" s="644">
        <v>60721000</v>
      </c>
      <c r="E85" s="644">
        <v>31163116.969999999</v>
      </c>
      <c r="F85" s="644"/>
      <c r="G85" s="1051">
        <f t="shared" si="28"/>
        <v>51.321811185586533</v>
      </c>
      <c r="H85" s="1055">
        <f t="shared" si="29"/>
        <v>51.321811185586533</v>
      </c>
      <c r="I85" s="670">
        <f t="shared" si="30"/>
        <v>123.27077229112409</v>
      </c>
      <c r="J85" s="1037">
        <v>25280215.57</v>
      </c>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row>
    <row r="86" spans="1:60" x14ac:dyDescent="0.2">
      <c r="A86" s="664"/>
      <c r="B86" s="650" t="s">
        <v>1076</v>
      </c>
      <c r="C86" s="644">
        <v>110123.96</v>
      </c>
      <c r="D86" s="644">
        <v>110123.96</v>
      </c>
      <c r="E86" s="644">
        <v>58561.98</v>
      </c>
      <c r="F86" s="644"/>
      <c r="G86" s="1051">
        <f t="shared" si="28"/>
        <v>53.178236598102721</v>
      </c>
      <c r="H86" s="1055">
        <f t="shared" si="29"/>
        <v>53.178236598102721</v>
      </c>
      <c r="I86" s="1056">
        <f t="shared" si="30"/>
        <v>85.982859802463423</v>
      </c>
      <c r="J86" s="29">
        <v>68108.899999999994</v>
      </c>
    </row>
    <row r="87" spans="1:60" ht="12.75" customHeight="1" x14ac:dyDescent="0.2">
      <c r="A87" s="664"/>
      <c r="B87" s="643" t="s">
        <v>1077</v>
      </c>
      <c r="C87" s="644">
        <v>470000</v>
      </c>
      <c r="D87" s="644">
        <v>470000</v>
      </c>
      <c r="E87" s="644">
        <v>333805.75</v>
      </c>
      <c r="F87" s="644"/>
      <c r="G87" s="1051">
        <f t="shared" si="28"/>
        <v>71.022499999999994</v>
      </c>
      <c r="H87" s="1055">
        <f t="shared" si="29"/>
        <v>71.022499999999994</v>
      </c>
      <c r="I87" s="1056">
        <f t="shared" si="30"/>
        <v>98.157043565479952</v>
      </c>
      <c r="J87" s="29">
        <v>340073.15</v>
      </c>
    </row>
    <row r="88" spans="1:60" s="665" customFormat="1" ht="25.5" customHeight="1" x14ac:dyDescent="0.2">
      <c r="A88" s="664"/>
      <c r="B88" s="668" t="s">
        <v>1078</v>
      </c>
      <c r="C88" s="644">
        <v>16666000</v>
      </c>
      <c r="D88" s="644">
        <v>16666000</v>
      </c>
      <c r="E88" s="644">
        <v>9009379.5500000007</v>
      </c>
      <c r="F88" s="644"/>
      <c r="G88" s="1051">
        <f t="shared" si="28"/>
        <v>54.058439637585508</v>
      </c>
      <c r="H88" s="1055">
        <f t="shared" si="29"/>
        <v>54.058439637585508</v>
      </c>
      <c r="I88" s="670">
        <f t="shared" si="30"/>
        <v>33.042922983851291</v>
      </c>
      <c r="J88" s="1037">
        <v>27265685.77</v>
      </c>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row>
    <row r="89" spans="1:60" s="665" customFormat="1" ht="12.75" customHeight="1" x14ac:dyDescent="0.2">
      <c r="A89" s="664"/>
      <c r="B89" s="643" t="s">
        <v>1079</v>
      </c>
      <c r="C89" s="644">
        <v>18881538</v>
      </c>
      <c r="D89" s="644">
        <f>18881538-7381538</f>
        <v>11500000</v>
      </c>
      <c r="E89" s="644">
        <v>11500000</v>
      </c>
      <c r="F89" s="644"/>
      <c r="G89" s="1051">
        <f t="shared" si="28"/>
        <v>60.90605542832369</v>
      </c>
      <c r="H89" s="1055">
        <f t="shared" si="29"/>
        <v>100</v>
      </c>
      <c r="I89" s="1056">
        <v>0</v>
      </c>
      <c r="J89" s="29">
        <v>0</v>
      </c>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row>
    <row r="90" spans="1:60" s="665" customFormat="1" ht="12.75" customHeight="1" x14ac:dyDescent="0.2">
      <c r="A90" s="664"/>
      <c r="B90" s="643" t="s">
        <v>1080</v>
      </c>
      <c r="C90" s="644">
        <v>20000</v>
      </c>
      <c r="D90" s="644">
        <v>20000</v>
      </c>
      <c r="E90" s="644">
        <v>13800</v>
      </c>
      <c r="F90" s="644"/>
      <c r="G90" s="1051">
        <f t="shared" si="28"/>
        <v>69</v>
      </c>
      <c r="H90" s="1055">
        <f t="shared" si="29"/>
        <v>69</v>
      </c>
      <c r="I90" s="1056">
        <f t="shared" si="30"/>
        <v>130.18867924528303</v>
      </c>
      <c r="J90" s="29">
        <v>10600</v>
      </c>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row>
    <row r="91" spans="1:60" ht="12.75" customHeight="1" x14ac:dyDescent="0.2">
      <c r="A91" s="664"/>
      <c r="B91" s="643" t="s">
        <v>1081</v>
      </c>
      <c r="C91" s="644">
        <v>15000</v>
      </c>
      <c r="D91" s="644">
        <v>15000</v>
      </c>
      <c r="E91" s="644">
        <v>10094</v>
      </c>
      <c r="F91" s="644"/>
      <c r="G91" s="1051">
        <f t="shared" si="28"/>
        <v>67.293333333333337</v>
      </c>
      <c r="H91" s="1055">
        <f t="shared" si="29"/>
        <v>67.293333333333337</v>
      </c>
      <c r="I91" s="1056">
        <f t="shared" si="30"/>
        <v>97.113719453530877</v>
      </c>
      <c r="J91" s="29">
        <v>10394</v>
      </c>
    </row>
    <row r="92" spans="1:60" s="98" customFormat="1" ht="12.75" customHeight="1" x14ac:dyDescent="0.2">
      <c r="A92" s="663">
        <v>2141</v>
      </c>
      <c r="B92" s="629" t="s">
        <v>118</v>
      </c>
      <c r="C92" s="637">
        <v>10000</v>
      </c>
      <c r="D92" s="637">
        <v>10000</v>
      </c>
      <c r="E92" s="637">
        <v>1501.87</v>
      </c>
      <c r="F92" s="644"/>
      <c r="G92" s="630">
        <f t="shared" si="28"/>
        <v>15.018699999999999</v>
      </c>
      <c r="H92" s="1052">
        <f t="shared" si="29"/>
        <v>15.018699999999999</v>
      </c>
      <c r="I92" s="631">
        <f t="shared" si="30"/>
        <v>0.12810927961158133</v>
      </c>
      <c r="J92" s="29">
        <v>1172335.06</v>
      </c>
    </row>
    <row r="93" spans="1:60" s="98" customFormat="1" ht="12.75" customHeight="1" x14ac:dyDescent="0.2">
      <c r="A93" s="663">
        <v>2212</v>
      </c>
      <c r="B93" s="629" t="s">
        <v>1082</v>
      </c>
      <c r="C93" s="635">
        <f>SUM(C94:C106)</f>
        <v>11537000</v>
      </c>
      <c r="D93" s="635">
        <f>SUM(D94:D106)</f>
        <v>11730189.67</v>
      </c>
      <c r="E93" s="635">
        <v>4528092.53</v>
      </c>
      <c r="F93" s="652">
        <f>SUM(E94:E106)</f>
        <v>4528092.53</v>
      </c>
      <c r="G93" s="630">
        <f t="shared" si="28"/>
        <v>39.248440062407909</v>
      </c>
      <c r="H93" s="1052">
        <f t="shared" si="29"/>
        <v>38.602040183379238</v>
      </c>
      <c r="I93" s="631">
        <f t="shared" si="30"/>
        <v>93.232804302406691</v>
      </c>
      <c r="J93" s="29">
        <v>4856758.91</v>
      </c>
    </row>
    <row r="94" spans="1:60" ht="12.75" customHeight="1" x14ac:dyDescent="0.2">
      <c r="A94" s="642"/>
      <c r="B94" s="643" t="s">
        <v>1084</v>
      </c>
      <c r="C94" s="644">
        <v>12000</v>
      </c>
      <c r="D94" s="644">
        <v>12000</v>
      </c>
      <c r="E94" s="644">
        <v>14500</v>
      </c>
      <c r="F94" s="644"/>
      <c r="G94" s="1051">
        <f t="shared" si="28"/>
        <v>120.83333333333333</v>
      </c>
      <c r="H94" s="1055">
        <f t="shared" si="29"/>
        <v>120.83333333333333</v>
      </c>
      <c r="I94" s="1056">
        <f t="shared" si="30"/>
        <v>362.5</v>
      </c>
      <c r="J94" s="29">
        <v>4000</v>
      </c>
    </row>
    <row r="95" spans="1:60" ht="12.75" customHeight="1" x14ac:dyDescent="0.2">
      <c r="A95" s="664"/>
      <c r="B95" s="643" t="s">
        <v>121</v>
      </c>
      <c r="C95" s="644">
        <v>55000</v>
      </c>
      <c r="D95" s="644">
        <f>55000+36600</f>
        <v>91600</v>
      </c>
      <c r="E95" s="644">
        <v>91600</v>
      </c>
      <c r="F95" s="644"/>
      <c r="G95" s="1051">
        <f t="shared" si="28"/>
        <v>166.54545454545456</v>
      </c>
      <c r="H95" s="1055">
        <f t="shared" si="29"/>
        <v>100</v>
      </c>
      <c r="I95" s="1056">
        <f t="shared" si="30"/>
        <v>210.09174311926606</v>
      </c>
      <c r="J95" s="29">
        <v>43600</v>
      </c>
    </row>
    <row r="96" spans="1:60" ht="12.75" customHeight="1" x14ac:dyDescent="0.2">
      <c r="A96" s="664"/>
      <c r="B96" s="643" t="s">
        <v>1878</v>
      </c>
      <c r="C96" s="669">
        <v>0</v>
      </c>
      <c r="D96" s="669">
        <f>(144589.67+12000)</f>
        <v>156589.67000000001</v>
      </c>
      <c r="E96" s="669">
        <v>156589.67000000001</v>
      </c>
      <c r="F96" s="669"/>
      <c r="G96" s="1051">
        <v>0</v>
      </c>
      <c r="H96" s="1055">
        <f t="shared" ref="H96:H107" si="32">E96/D96*100</f>
        <v>100</v>
      </c>
      <c r="I96" s="1056">
        <v>0</v>
      </c>
      <c r="J96" s="29">
        <v>0</v>
      </c>
    </row>
    <row r="97" spans="1:60" ht="12.75" customHeight="1" x14ac:dyDescent="0.2">
      <c r="A97" s="664"/>
      <c r="B97" s="643" t="s">
        <v>1085</v>
      </c>
      <c r="C97" s="669">
        <v>2500000</v>
      </c>
      <c r="D97" s="669">
        <v>2500000</v>
      </c>
      <c r="E97" s="669">
        <v>1301938.98</v>
      </c>
      <c r="F97" s="669"/>
      <c r="G97" s="1051">
        <f t="shared" ref="G97:G107" si="33">E97/C97*100</f>
        <v>52.077559200000003</v>
      </c>
      <c r="H97" s="1055">
        <f t="shared" si="32"/>
        <v>52.077559200000003</v>
      </c>
      <c r="I97" s="1056">
        <f t="shared" ref="I97:I127" si="34">E97/J97*100</f>
        <v>92.152078015273972</v>
      </c>
      <c r="J97" s="29">
        <v>1412815.65</v>
      </c>
    </row>
    <row r="98" spans="1:60" ht="12.75" customHeight="1" x14ac:dyDescent="0.2">
      <c r="A98" s="664"/>
      <c r="B98" s="643" t="s">
        <v>1086</v>
      </c>
      <c r="C98" s="669">
        <v>7500000</v>
      </c>
      <c r="D98" s="669">
        <v>7500000</v>
      </c>
      <c r="E98" s="669">
        <v>2412134.23</v>
      </c>
      <c r="F98" s="669"/>
      <c r="G98" s="1051">
        <f t="shared" si="33"/>
        <v>32.161789733333336</v>
      </c>
      <c r="H98" s="1055">
        <f t="shared" si="32"/>
        <v>32.161789733333336</v>
      </c>
      <c r="I98" s="1056">
        <f t="shared" si="34"/>
        <v>99.086997403835099</v>
      </c>
      <c r="J98" s="29">
        <v>2434360</v>
      </c>
    </row>
    <row r="99" spans="1:60" ht="12.75" customHeight="1" x14ac:dyDescent="0.2">
      <c r="A99" s="664"/>
      <c r="B99" s="643" t="s">
        <v>1879</v>
      </c>
      <c r="C99" s="669">
        <v>0</v>
      </c>
      <c r="D99" s="669">
        <v>0</v>
      </c>
      <c r="E99" s="669">
        <v>-85250</v>
      </c>
      <c r="F99" s="669"/>
      <c r="G99" s="1051">
        <v>0</v>
      </c>
      <c r="H99" s="1055">
        <v>0</v>
      </c>
      <c r="I99" s="1056">
        <v>0</v>
      </c>
      <c r="J99" s="29">
        <v>0</v>
      </c>
    </row>
    <row r="100" spans="1:60" s="665" customFormat="1" ht="12.75" customHeight="1" x14ac:dyDescent="0.2">
      <c r="A100" s="664"/>
      <c r="B100" s="643" t="s">
        <v>1880</v>
      </c>
      <c r="C100" s="644">
        <v>400000</v>
      </c>
      <c r="D100" s="644">
        <v>400000</v>
      </c>
      <c r="E100" s="644">
        <v>0</v>
      </c>
      <c r="F100" s="644"/>
      <c r="G100" s="1051">
        <f t="shared" si="33"/>
        <v>0</v>
      </c>
      <c r="H100" s="1055">
        <f t="shared" si="32"/>
        <v>0</v>
      </c>
      <c r="I100" s="1056">
        <f t="shared" si="34"/>
        <v>0</v>
      </c>
      <c r="J100" s="29">
        <v>354269.55</v>
      </c>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row>
    <row r="101" spans="1:60" s="665" customFormat="1" ht="12.75" customHeight="1" x14ac:dyDescent="0.2">
      <c r="A101" s="664"/>
      <c r="B101" s="643" t="s">
        <v>1881</v>
      </c>
      <c r="C101" s="644">
        <v>50000</v>
      </c>
      <c r="D101" s="644">
        <v>50000</v>
      </c>
      <c r="E101" s="644">
        <v>0</v>
      </c>
      <c r="F101" s="644"/>
      <c r="G101" s="1051">
        <f t="shared" si="33"/>
        <v>0</v>
      </c>
      <c r="H101" s="1055">
        <f t="shared" si="32"/>
        <v>0</v>
      </c>
      <c r="I101" s="1056">
        <v>0</v>
      </c>
      <c r="J101" s="29">
        <v>0</v>
      </c>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row>
    <row r="102" spans="1:60" ht="12.75" customHeight="1" x14ac:dyDescent="0.2">
      <c r="A102" s="664"/>
      <c r="B102" s="643" t="s">
        <v>126</v>
      </c>
      <c r="C102" s="644">
        <v>0</v>
      </c>
      <c r="D102" s="644">
        <v>0</v>
      </c>
      <c r="E102" s="644">
        <v>20000</v>
      </c>
      <c r="F102" s="644"/>
      <c r="G102" s="1051">
        <v>0</v>
      </c>
      <c r="H102" s="1055">
        <v>0</v>
      </c>
      <c r="I102" s="1056">
        <f t="shared" si="34"/>
        <v>173.91304347826087</v>
      </c>
      <c r="J102" s="29">
        <v>11500</v>
      </c>
    </row>
    <row r="103" spans="1:60" ht="12.75" customHeight="1" x14ac:dyDescent="0.2">
      <c r="A103" s="664"/>
      <c r="B103" s="643" t="s">
        <v>1089</v>
      </c>
      <c r="C103" s="644">
        <v>650000</v>
      </c>
      <c r="D103" s="644">
        <v>650000</v>
      </c>
      <c r="E103" s="644">
        <v>328837.40000000002</v>
      </c>
      <c r="F103" s="644"/>
      <c r="G103" s="1051">
        <f t="shared" si="33"/>
        <v>50.590369230769241</v>
      </c>
      <c r="H103" s="1055">
        <f t="shared" si="32"/>
        <v>50.590369230769241</v>
      </c>
      <c r="I103" s="1056">
        <f t="shared" si="34"/>
        <v>84.012780957960743</v>
      </c>
      <c r="J103" s="29">
        <v>391413.54</v>
      </c>
    </row>
    <row r="104" spans="1:60" ht="12.75" customHeight="1" x14ac:dyDescent="0.2">
      <c r="A104" s="664"/>
      <c r="B104" s="643" t="s">
        <v>1090</v>
      </c>
      <c r="C104" s="644">
        <v>350000</v>
      </c>
      <c r="D104" s="644">
        <v>350000</v>
      </c>
      <c r="E104" s="644">
        <v>210673.25</v>
      </c>
      <c r="F104" s="644"/>
      <c r="G104" s="1051">
        <f t="shared" si="33"/>
        <v>60.192357142857148</v>
      </c>
      <c r="H104" s="1055">
        <f t="shared" si="32"/>
        <v>60.192357142857148</v>
      </c>
      <c r="I104" s="1056">
        <f t="shared" si="34"/>
        <v>132.31408405705517</v>
      </c>
      <c r="J104" s="29">
        <v>159222.09</v>
      </c>
    </row>
    <row r="105" spans="1:60" s="126" customFormat="1" ht="12.75" customHeight="1" x14ac:dyDescent="0.2">
      <c r="A105" s="642"/>
      <c r="B105" s="643" t="s">
        <v>1091</v>
      </c>
      <c r="C105" s="644">
        <v>20000</v>
      </c>
      <c r="D105" s="644">
        <v>20000</v>
      </c>
      <c r="E105" s="644">
        <v>10000</v>
      </c>
      <c r="F105" s="644"/>
      <c r="G105" s="1051">
        <f t="shared" si="33"/>
        <v>50</v>
      </c>
      <c r="H105" s="1055">
        <f t="shared" si="32"/>
        <v>50</v>
      </c>
      <c r="I105" s="1056">
        <f t="shared" si="34"/>
        <v>66.006600660065999</v>
      </c>
      <c r="J105" s="29">
        <v>15150</v>
      </c>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row>
    <row r="106" spans="1:60" s="126" customFormat="1" ht="12.75" customHeight="1" x14ac:dyDescent="0.2">
      <c r="A106" s="642"/>
      <c r="B106" s="643" t="s">
        <v>1882</v>
      </c>
      <c r="C106" s="644">
        <v>0</v>
      </c>
      <c r="D106" s="644">
        <v>0</v>
      </c>
      <c r="E106" s="644">
        <v>67069</v>
      </c>
      <c r="F106" s="644"/>
      <c r="G106" s="1051">
        <v>0</v>
      </c>
      <c r="H106" s="1055">
        <v>0</v>
      </c>
      <c r="I106" s="1056">
        <f t="shared" si="34"/>
        <v>220.41811379488942</v>
      </c>
      <c r="J106" s="29">
        <v>30428.080000000002</v>
      </c>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row>
    <row r="107" spans="1:60" ht="12.75" customHeight="1" x14ac:dyDescent="0.2">
      <c r="A107" s="663">
        <v>2229</v>
      </c>
      <c r="B107" s="629" t="s">
        <v>1093</v>
      </c>
      <c r="C107" s="635">
        <f>SUM(C108:C119)</f>
        <v>1000000</v>
      </c>
      <c r="D107" s="635">
        <f>SUM(D108:D119)</f>
        <v>8003718.1799999997</v>
      </c>
      <c r="E107" s="635">
        <v>8466233.5999999996</v>
      </c>
      <c r="F107" s="724">
        <f>SUM(E108:E119)</f>
        <v>8466233.5999999996</v>
      </c>
      <c r="G107" s="630">
        <f t="shared" si="33"/>
        <v>846.62335999999993</v>
      </c>
      <c r="H107" s="1052">
        <f t="shared" si="32"/>
        <v>105.77875694268886</v>
      </c>
      <c r="I107" s="631">
        <f t="shared" si="34"/>
        <v>85.052589686518417</v>
      </c>
      <c r="J107" s="29">
        <v>9954116.1899999995</v>
      </c>
      <c r="K107" s="150"/>
    </row>
    <row r="108" spans="1:60" ht="12.75" customHeight="1" x14ac:dyDescent="0.2">
      <c r="A108" s="664"/>
      <c r="B108" s="643" t="s">
        <v>1883</v>
      </c>
      <c r="C108" s="644">
        <v>0</v>
      </c>
      <c r="D108" s="644">
        <f>(91051.59+159661.95)</f>
        <v>250713.54</v>
      </c>
      <c r="E108" s="644">
        <v>250713.54</v>
      </c>
      <c r="F108" s="644"/>
      <c r="G108" s="1051">
        <v>0</v>
      </c>
      <c r="H108" s="1055">
        <f t="shared" ref="H108:H171" si="35">E108/D108*100</f>
        <v>100</v>
      </c>
      <c r="I108" s="1056">
        <f t="shared" si="34"/>
        <v>180.07576133026208</v>
      </c>
      <c r="J108" s="29">
        <v>139226.70000000001</v>
      </c>
      <c r="K108" s="150"/>
    </row>
    <row r="109" spans="1:60" ht="12.75" customHeight="1" x14ac:dyDescent="0.2">
      <c r="A109" s="664"/>
      <c r="B109" s="643" t="s">
        <v>1096</v>
      </c>
      <c r="C109" s="644">
        <v>0</v>
      </c>
      <c r="D109" s="644">
        <v>29886.84</v>
      </c>
      <c r="E109" s="644">
        <v>29886.84</v>
      </c>
      <c r="F109" s="644"/>
      <c r="G109" s="1051">
        <v>0</v>
      </c>
      <c r="H109" s="1055">
        <f t="shared" si="35"/>
        <v>100</v>
      </c>
      <c r="I109" s="1056">
        <f t="shared" si="34"/>
        <v>23.554680102056377</v>
      </c>
      <c r="J109" s="29">
        <v>126882.81</v>
      </c>
      <c r="K109" s="150"/>
    </row>
    <row r="110" spans="1:60" ht="12.75" customHeight="1" x14ac:dyDescent="0.2">
      <c r="A110" s="664"/>
      <c r="B110" s="643" t="s">
        <v>1097</v>
      </c>
      <c r="C110" s="644">
        <v>0</v>
      </c>
      <c r="D110" s="644">
        <v>305600.84999999998</v>
      </c>
      <c r="E110" s="644">
        <v>305600.84999999998</v>
      </c>
      <c r="F110" s="644"/>
      <c r="G110" s="1051">
        <v>0</v>
      </c>
      <c r="H110" s="1055">
        <f t="shared" si="35"/>
        <v>100</v>
      </c>
      <c r="I110" s="1056">
        <f t="shared" si="34"/>
        <v>137.59108574327544</v>
      </c>
      <c r="J110" s="29">
        <v>222108.03</v>
      </c>
      <c r="K110" s="150"/>
    </row>
    <row r="111" spans="1:60" ht="12.75" customHeight="1" x14ac:dyDescent="0.2">
      <c r="A111" s="664"/>
      <c r="B111" s="643" t="s">
        <v>1098</v>
      </c>
      <c r="C111" s="644">
        <v>0</v>
      </c>
      <c r="D111" s="644">
        <v>151277.28</v>
      </c>
      <c r="E111" s="644">
        <v>151277.28</v>
      </c>
      <c r="F111" s="644"/>
      <c r="G111" s="1051">
        <v>0</v>
      </c>
      <c r="H111" s="1055">
        <f t="shared" si="35"/>
        <v>100</v>
      </c>
      <c r="I111" s="1056">
        <f t="shared" si="34"/>
        <v>64.700391767745032</v>
      </c>
      <c r="J111" s="29">
        <v>233812</v>
      </c>
      <c r="K111" s="150"/>
    </row>
    <row r="112" spans="1:60" ht="12.75" customHeight="1" x14ac:dyDescent="0.2">
      <c r="A112" s="664"/>
      <c r="B112" s="643" t="s">
        <v>1099</v>
      </c>
      <c r="C112" s="644">
        <v>1000000</v>
      </c>
      <c r="D112" s="644">
        <f>1000000+5706845.54</f>
        <v>6706845.54</v>
      </c>
      <c r="E112" s="644">
        <v>5706845.54</v>
      </c>
      <c r="F112" s="644"/>
      <c r="G112" s="1051">
        <f t="shared" ref="G112:G172" si="36">E112/C112*100</f>
        <v>570.68455399999993</v>
      </c>
      <c r="H112" s="1055">
        <f t="shared" si="35"/>
        <v>85.089860888610829</v>
      </c>
      <c r="I112" s="1056">
        <f t="shared" si="34"/>
        <v>65.906046116850732</v>
      </c>
      <c r="J112" s="29">
        <v>8659062.2200000007</v>
      </c>
      <c r="K112" s="150"/>
    </row>
    <row r="113" spans="1:60" ht="12.75" customHeight="1" x14ac:dyDescent="0.2">
      <c r="A113" s="664"/>
      <c r="B113" s="643" t="s">
        <v>1884</v>
      </c>
      <c r="C113" s="644">
        <v>0</v>
      </c>
      <c r="D113" s="644">
        <v>0</v>
      </c>
      <c r="E113" s="644">
        <v>1457025.42</v>
      </c>
      <c r="F113" s="644"/>
      <c r="G113" s="1051">
        <v>0</v>
      </c>
      <c r="H113" s="1055">
        <v>0</v>
      </c>
      <c r="I113" s="1056">
        <v>0</v>
      </c>
      <c r="J113" s="29">
        <v>0</v>
      </c>
      <c r="K113" s="150"/>
    </row>
    <row r="114" spans="1:60" ht="12.75" customHeight="1" x14ac:dyDescent="0.2">
      <c r="A114" s="664"/>
      <c r="B114" s="643" t="s">
        <v>1100</v>
      </c>
      <c r="C114" s="644">
        <v>0</v>
      </c>
      <c r="D114" s="644">
        <f>265673.13</f>
        <v>265673.13</v>
      </c>
      <c r="E114" s="644">
        <v>268163.13</v>
      </c>
      <c r="F114" s="644"/>
      <c r="G114" s="1051">
        <v>0</v>
      </c>
      <c r="H114" s="1055">
        <f t="shared" si="35"/>
        <v>100.93724194087675</v>
      </c>
      <c r="I114" s="1056">
        <v>0</v>
      </c>
      <c r="J114" s="29">
        <v>0</v>
      </c>
      <c r="K114" s="150"/>
    </row>
    <row r="115" spans="1:60" ht="12.75" customHeight="1" x14ac:dyDescent="0.2">
      <c r="A115" s="664"/>
      <c r="B115" s="643" t="s">
        <v>1102</v>
      </c>
      <c r="C115" s="644">
        <v>0</v>
      </c>
      <c r="D115" s="644">
        <v>0</v>
      </c>
      <c r="E115" s="644">
        <v>3000</v>
      </c>
      <c r="F115" s="644"/>
      <c r="G115" s="1051">
        <v>0</v>
      </c>
      <c r="H115" s="1055">
        <v>0</v>
      </c>
      <c r="I115" s="1056">
        <f t="shared" si="34"/>
        <v>0.93380417815116101</v>
      </c>
      <c r="J115" s="29">
        <v>321266.5</v>
      </c>
      <c r="K115" s="150"/>
    </row>
    <row r="116" spans="1:60" ht="12.75" customHeight="1" x14ac:dyDescent="0.2">
      <c r="A116" s="664"/>
      <c r="B116" s="643" t="s">
        <v>1104</v>
      </c>
      <c r="C116" s="644">
        <v>0</v>
      </c>
      <c r="D116" s="644">
        <f>(5360+147136)</f>
        <v>152496</v>
      </c>
      <c r="E116" s="644">
        <v>152496</v>
      </c>
      <c r="F116" s="644"/>
      <c r="G116" s="1051">
        <v>0</v>
      </c>
      <c r="H116" s="1055">
        <f t="shared" si="35"/>
        <v>100</v>
      </c>
      <c r="I116" s="1056">
        <f t="shared" si="34"/>
        <v>1084.1461680648372</v>
      </c>
      <c r="J116" s="29">
        <v>14066</v>
      </c>
      <c r="K116" s="150"/>
    </row>
    <row r="117" spans="1:60" ht="12.75" customHeight="1" x14ac:dyDescent="0.2">
      <c r="A117" s="832"/>
      <c r="B117" s="832" t="s">
        <v>1885</v>
      </c>
      <c r="C117" s="816">
        <v>0</v>
      </c>
      <c r="D117" s="816">
        <v>8015</v>
      </c>
      <c r="E117" s="1061">
        <v>8015</v>
      </c>
      <c r="F117" s="1061"/>
      <c r="G117" s="1051">
        <v>0</v>
      </c>
      <c r="H117" s="1055">
        <f t="shared" si="35"/>
        <v>100</v>
      </c>
      <c r="I117" s="1056">
        <v>0</v>
      </c>
      <c r="J117" s="1062">
        <v>0</v>
      </c>
      <c r="K117" s="29"/>
      <c r="L117" s="150"/>
    </row>
    <row r="118" spans="1:60" ht="12.75" customHeight="1" x14ac:dyDescent="0.2">
      <c r="A118" s="832"/>
      <c r="B118" s="832" t="s">
        <v>1886</v>
      </c>
      <c r="C118" s="816">
        <v>0</v>
      </c>
      <c r="D118" s="816">
        <v>33210</v>
      </c>
      <c r="E118" s="1061">
        <v>33210</v>
      </c>
      <c r="F118" s="1061"/>
      <c r="G118" s="1051">
        <v>0</v>
      </c>
      <c r="H118" s="1055">
        <f t="shared" si="35"/>
        <v>100</v>
      </c>
      <c r="I118" s="1056">
        <v>0</v>
      </c>
      <c r="J118" s="1062">
        <v>0</v>
      </c>
      <c r="K118" s="29"/>
      <c r="L118" s="150"/>
    </row>
    <row r="119" spans="1:60" ht="12.75" customHeight="1" x14ac:dyDescent="0.2">
      <c r="A119" s="832"/>
      <c r="B119" s="832" t="s">
        <v>1887</v>
      </c>
      <c r="C119" s="816">
        <v>0</v>
      </c>
      <c r="D119" s="816">
        <v>100000</v>
      </c>
      <c r="E119" s="1061">
        <v>100000</v>
      </c>
      <c r="F119" s="1061"/>
      <c r="G119" s="1051">
        <v>0</v>
      </c>
      <c r="H119" s="1055">
        <f t="shared" si="35"/>
        <v>100</v>
      </c>
      <c r="I119" s="1056">
        <v>0</v>
      </c>
      <c r="J119" s="1062">
        <v>0</v>
      </c>
      <c r="K119" s="29"/>
      <c r="L119" s="150"/>
    </row>
    <row r="120" spans="1:60" ht="12.75" customHeight="1" x14ac:dyDescent="0.2">
      <c r="A120" s="663">
        <v>2321</v>
      </c>
      <c r="B120" s="629" t="s">
        <v>1107</v>
      </c>
      <c r="C120" s="637">
        <v>100000</v>
      </c>
      <c r="D120" s="637">
        <f>100000+5000</f>
        <v>105000</v>
      </c>
      <c r="E120" s="637">
        <v>55000</v>
      </c>
      <c r="F120" s="644"/>
      <c r="G120" s="630">
        <f t="shared" si="36"/>
        <v>55.000000000000007</v>
      </c>
      <c r="H120" s="1052">
        <f t="shared" si="35"/>
        <v>52.380952380952387</v>
      </c>
      <c r="I120" s="631">
        <f t="shared" si="34"/>
        <v>55.000000000000007</v>
      </c>
      <c r="J120" s="29">
        <v>100000</v>
      </c>
    </row>
    <row r="121" spans="1:60" s="665" customFormat="1" ht="12.75" customHeight="1" x14ac:dyDescent="0.2">
      <c r="A121" s="663">
        <v>2322</v>
      </c>
      <c r="B121" s="629" t="s">
        <v>146</v>
      </c>
      <c r="C121" s="637">
        <v>20000</v>
      </c>
      <c r="D121" s="637">
        <f>20000+59931+206193</f>
        <v>286124</v>
      </c>
      <c r="E121" s="637">
        <v>319109</v>
      </c>
      <c r="F121" s="644"/>
      <c r="G121" s="630">
        <f t="shared" si="36"/>
        <v>1595.5450000000001</v>
      </c>
      <c r="H121" s="1052">
        <f t="shared" si="35"/>
        <v>111.52821853462136</v>
      </c>
      <c r="I121" s="631">
        <f t="shared" si="34"/>
        <v>200.42772620498198</v>
      </c>
      <c r="J121" s="29">
        <v>159214</v>
      </c>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row>
    <row r="122" spans="1:60" s="98" customFormat="1" ht="12.75" customHeight="1" x14ac:dyDescent="0.2">
      <c r="A122" s="663">
        <v>2324</v>
      </c>
      <c r="B122" s="629" t="s">
        <v>147</v>
      </c>
      <c r="C122" s="635">
        <f>SUM(C123:C137)</f>
        <v>4270000</v>
      </c>
      <c r="D122" s="635">
        <f>SUM(D123:D137)</f>
        <v>5646400</v>
      </c>
      <c r="E122" s="635">
        <v>3559256.59</v>
      </c>
      <c r="F122" s="652">
        <f>SUM(E123:E137)</f>
        <v>3559256.59</v>
      </c>
      <c r="G122" s="630">
        <f t="shared" si="36"/>
        <v>83.35495526932084</v>
      </c>
      <c r="H122" s="1052">
        <f t="shared" si="35"/>
        <v>63.035856297818071</v>
      </c>
      <c r="I122" s="631">
        <f t="shared" si="34"/>
        <v>255.96263025151299</v>
      </c>
      <c r="J122" s="29">
        <v>1390537.59</v>
      </c>
    </row>
    <row r="123" spans="1:60" s="98" customFormat="1" ht="12.75" customHeight="1" x14ac:dyDescent="0.2">
      <c r="A123" s="663"/>
      <c r="B123" s="629" t="s">
        <v>1108</v>
      </c>
      <c r="C123" s="644">
        <v>0</v>
      </c>
      <c r="D123" s="644">
        <v>0</v>
      </c>
      <c r="E123" s="644">
        <v>1096</v>
      </c>
      <c r="F123" s="644"/>
      <c r="G123" s="1051">
        <v>0</v>
      </c>
      <c r="H123" s="1055">
        <v>0</v>
      </c>
      <c r="I123" s="1056">
        <f t="shared" si="34"/>
        <v>85.491419656786277</v>
      </c>
      <c r="J123" s="29">
        <v>1282</v>
      </c>
    </row>
    <row r="124" spans="1:60" s="98" customFormat="1" ht="12.75" customHeight="1" x14ac:dyDescent="0.2">
      <c r="A124" s="642"/>
      <c r="B124" s="672" t="s">
        <v>1110</v>
      </c>
      <c r="C124" s="644">
        <v>12000</v>
      </c>
      <c r="D124" s="644">
        <v>12000</v>
      </c>
      <c r="E124" s="644">
        <v>6696.43</v>
      </c>
      <c r="F124" s="644"/>
      <c r="G124" s="1051">
        <f t="shared" si="36"/>
        <v>55.803583333333343</v>
      </c>
      <c r="H124" s="1055">
        <f t="shared" si="35"/>
        <v>55.803583333333343</v>
      </c>
      <c r="I124" s="1056">
        <f t="shared" si="34"/>
        <v>78.525536163870498</v>
      </c>
      <c r="J124" s="29">
        <v>8527.7099999999991</v>
      </c>
    </row>
    <row r="125" spans="1:60" s="98" customFormat="1" ht="12.75" customHeight="1" x14ac:dyDescent="0.2">
      <c r="A125" s="663"/>
      <c r="B125" s="672" t="s">
        <v>1111</v>
      </c>
      <c r="C125" s="644">
        <v>30000</v>
      </c>
      <c r="D125" s="644">
        <v>30000</v>
      </c>
      <c r="E125" s="644">
        <v>28000</v>
      </c>
      <c r="F125" s="644"/>
      <c r="G125" s="1051">
        <f t="shared" si="36"/>
        <v>93.333333333333329</v>
      </c>
      <c r="H125" s="1055">
        <f t="shared" si="35"/>
        <v>93.333333333333329</v>
      </c>
      <c r="I125" s="1056">
        <f t="shared" si="34"/>
        <v>215.38461538461539</v>
      </c>
      <c r="J125" s="29">
        <v>13000</v>
      </c>
    </row>
    <row r="126" spans="1:60" s="98" customFormat="1" ht="12.75" customHeight="1" x14ac:dyDescent="0.2">
      <c r="A126" s="663"/>
      <c r="B126" s="672" t="s">
        <v>1112</v>
      </c>
      <c r="C126" s="644">
        <v>200000</v>
      </c>
      <c r="D126" s="644">
        <v>200000</v>
      </c>
      <c r="E126" s="644">
        <v>56168.3</v>
      </c>
      <c r="F126" s="644"/>
      <c r="G126" s="1051">
        <f t="shared" si="36"/>
        <v>28.084150000000001</v>
      </c>
      <c r="H126" s="1055">
        <f t="shared" si="35"/>
        <v>28.084150000000001</v>
      </c>
      <c r="I126" s="1056">
        <f t="shared" si="34"/>
        <v>85.02764276773128</v>
      </c>
      <c r="J126" s="29">
        <v>66058.87</v>
      </c>
    </row>
    <row r="127" spans="1:60" s="666" customFormat="1" ht="12.75" customHeight="1" x14ac:dyDescent="0.2">
      <c r="A127" s="663"/>
      <c r="B127" s="672" t="s">
        <v>1113</v>
      </c>
      <c r="C127" s="644">
        <v>300000</v>
      </c>
      <c r="D127" s="644">
        <v>300000</v>
      </c>
      <c r="E127" s="644">
        <v>79140.81</v>
      </c>
      <c r="F127" s="644"/>
      <c r="G127" s="1051">
        <f t="shared" si="36"/>
        <v>26.380269999999999</v>
      </c>
      <c r="H127" s="1055">
        <f t="shared" si="35"/>
        <v>26.380269999999999</v>
      </c>
      <c r="I127" s="1056">
        <f t="shared" si="34"/>
        <v>31.827525532942719</v>
      </c>
      <c r="J127" s="29">
        <v>248655.24</v>
      </c>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row>
    <row r="128" spans="1:60" s="158" customFormat="1" ht="12.75" customHeight="1" x14ac:dyDescent="0.2">
      <c r="A128" s="664"/>
      <c r="B128" s="643" t="s">
        <v>1116</v>
      </c>
      <c r="C128" s="644">
        <v>600000</v>
      </c>
      <c r="D128" s="644">
        <v>600000</v>
      </c>
      <c r="E128" s="644">
        <v>0</v>
      </c>
      <c r="F128" s="644"/>
      <c r="G128" s="1051">
        <f t="shared" si="36"/>
        <v>0</v>
      </c>
      <c r="H128" s="1055">
        <f t="shared" si="35"/>
        <v>0</v>
      </c>
      <c r="I128" s="1056">
        <v>0</v>
      </c>
      <c r="J128" s="1037">
        <v>0</v>
      </c>
    </row>
    <row r="129" spans="1:48" s="666" customFormat="1" ht="12.75" customHeight="1" x14ac:dyDescent="0.2">
      <c r="A129" s="663"/>
      <c r="B129" s="672" t="s">
        <v>1114</v>
      </c>
      <c r="C129" s="644">
        <v>15000</v>
      </c>
      <c r="D129" s="644">
        <v>15000</v>
      </c>
      <c r="E129" s="644">
        <v>1420</v>
      </c>
      <c r="F129" s="644"/>
      <c r="G129" s="1051">
        <f t="shared" si="36"/>
        <v>9.4666666666666668</v>
      </c>
      <c r="H129" s="1055">
        <f t="shared" si="35"/>
        <v>9.4666666666666668</v>
      </c>
      <c r="I129" s="1056">
        <f t="shared" ref="I129:I190" si="37">E129/J129*100</f>
        <v>11.604284105563027</v>
      </c>
      <c r="J129" s="29">
        <v>12236.86</v>
      </c>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row>
    <row r="130" spans="1:48" ht="12.75" customHeight="1" x14ac:dyDescent="0.2">
      <c r="A130" s="673"/>
      <c r="B130" s="674" t="s">
        <v>1888</v>
      </c>
      <c r="C130" s="644">
        <v>0</v>
      </c>
      <c r="D130" s="644">
        <v>0</v>
      </c>
      <c r="E130" s="644">
        <v>145200</v>
      </c>
      <c r="F130" s="644"/>
      <c r="G130" s="1051">
        <v>0</v>
      </c>
      <c r="H130" s="1055">
        <v>0</v>
      </c>
      <c r="I130" s="1056">
        <v>0</v>
      </c>
      <c r="J130" s="29">
        <v>0</v>
      </c>
    </row>
    <row r="131" spans="1:48" ht="12.75" customHeight="1" x14ac:dyDescent="0.2">
      <c r="A131" s="673"/>
      <c r="B131" s="674" t="s">
        <v>1115</v>
      </c>
      <c r="C131" s="644">
        <v>25000</v>
      </c>
      <c r="D131" s="644">
        <v>25000</v>
      </c>
      <c r="E131" s="644">
        <v>366.6</v>
      </c>
      <c r="F131" s="644"/>
      <c r="G131" s="1051">
        <f t="shared" si="36"/>
        <v>1.4664000000000001</v>
      </c>
      <c r="H131" s="1055">
        <f t="shared" si="35"/>
        <v>1.4664000000000001</v>
      </c>
      <c r="I131" s="1056">
        <f t="shared" si="37"/>
        <v>1.8652691564058208</v>
      </c>
      <c r="J131" s="29">
        <v>19654</v>
      </c>
    </row>
    <row r="132" spans="1:48" s="158" customFormat="1" ht="12.75" customHeight="1" x14ac:dyDescent="0.2">
      <c r="A132" s="664"/>
      <c r="B132" s="643" t="s">
        <v>1117</v>
      </c>
      <c r="C132" s="644">
        <v>3000000</v>
      </c>
      <c r="D132" s="644">
        <v>3000000</v>
      </c>
      <c r="E132" s="644">
        <v>1816640.53</v>
      </c>
      <c r="F132" s="644"/>
      <c r="G132" s="1051">
        <f t="shared" si="36"/>
        <v>60.554684333333327</v>
      </c>
      <c r="H132" s="1055">
        <f t="shared" si="35"/>
        <v>60.554684333333327</v>
      </c>
      <c r="I132" s="1056">
        <f t="shared" si="37"/>
        <v>195.20806694436399</v>
      </c>
      <c r="J132" s="1037">
        <v>930617.55</v>
      </c>
    </row>
    <row r="133" spans="1:48" s="158" customFormat="1" ht="12.75" customHeight="1" x14ac:dyDescent="0.2">
      <c r="A133" s="664"/>
      <c r="B133" s="643" t="s">
        <v>1889</v>
      </c>
      <c r="C133" s="644">
        <v>0</v>
      </c>
      <c r="D133" s="644">
        <v>0</v>
      </c>
      <c r="E133" s="644">
        <v>1000</v>
      </c>
      <c r="F133" s="644"/>
      <c r="G133" s="1051">
        <v>0</v>
      </c>
      <c r="H133" s="1055">
        <v>0</v>
      </c>
      <c r="I133" s="1056">
        <f t="shared" si="37"/>
        <v>22.222222222222221</v>
      </c>
      <c r="J133" s="1037">
        <v>4500</v>
      </c>
    </row>
    <row r="134" spans="1:48" s="158" customFormat="1" ht="12.75" customHeight="1" x14ac:dyDescent="0.2">
      <c r="A134" s="664"/>
      <c r="B134" s="643" t="s">
        <v>1118</v>
      </c>
      <c r="C134" s="644">
        <v>3000</v>
      </c>
      <c r="D134" s="644">
        <v>3000</v>
      </c>
      <c r="E134" s="644">
        <v>900.01</v>
      </c>
      <c r="F134" s="644"/>
      <c r="G134" s="1051">
        <f t="shared" si="36"/>
        <v>30.000333333333334</v>
      </c>
      <c r="H134" s="1055">
        <f t="shared" si="35"/>
        <v>30.000333333333334</v>
      </c>
      <c r="I134" s="1056">
        <f t="shared" si="37"/>
        <v>91.896831636664388</v>
      </c>
      <c r="J134" s="1037">
        <v>979.37</v>
      </c>
    </row>
    <row r="135" spans="1:48" s="158" customFormat="1" ht="12.75" customHeight="1" x14ac:dyDescent="0.2">
      <c r="A135" s="664"/>
      <c r="B135" s="643" t="s">
        <v>1119</v>
      </c>
      <c r="C135" s="644">
        <v>70000</v>
      </c>
      <c r="D135" s="644">
        <v>70000</v>
      </c>
      <c r="E135" s="644">
        <v>29446.49</v>
      </c>
      <c r="F135" s="644"/>
      <c r="G135" s="1051">
        <f t="shared" si="36"/>
        <v>42.066414285714288</v>
      </c>
      <c r="H135" s="1055">
        <f t="shared" si="35"/>
        <v>42.066414285714288</v>
      </c>
      <c r="I135" s="1056">
        <f t="shared" si="37"/>
        <v>85.424099255778927</v>
      </c>
      <c r="J135" s="1037">
        <v>34470.94</v>
      </c>
    </row>
    <row r="136" spans="1:48" s="158" customFormat="1" ht="12.75" customHeight="1" x14ac:dyDescent="0.2">
      <c r="A136" s="642"/>
      <c r="B136" s="643" t="s">
        <v>1121</v>
      </c>
      <c r="C136" s="644">
        <v>15000</v>
      </c>
      <c r="D136" s="644">
        <v>15000</v>
      </c>
      <c r="E136" s="644">
        <v>16781.419999999998</v>
      </c>
      <c r="F136" s="644"/>
      <c r="G136" s="1051">
        <f t="shared" si="36"/>
        <v>111.87613333333333</v>
      </c>
      <c r="H136" s="1055">
        <f t="shared" si="35"/>
        <v>111.87613333333333</v>
      </c>
      <c r="I136" s="1056">
        <f t="shared" si="37"/>
        <v>162.93906322821186</v>
      </c>
      <c r="J136" s="1037">
        <v>10299.200000000001</v>
      </c>
    </row>
    <row r="137" spans="1:48" s="158" customFormat="1" ht="12.75" customHeight="1" x14ac:dyDescent="0.2">
      <c r="A137" s="1063"/>
      <c r="B137" s="1064" t="s">
        <v>1890</v>
      </c>
      <c r="C137" s="644">
        <v>0</v>
      </c>
      <c r="D137" s="644">
        <f>227100+232500+210000+231000+234000+241800</f>
        <v>1376400</v>
      </c>
      <c r="E137" s="695">
        <v>1376400</v>
      </c>
      <c r="F137" s="695"/>
      <c r="G137" s="1051">
        <v>0</v>
      </c>
      <c r="H137" s="1055">
        <f t="shared" si="35"/>
        <v>100</v>
      </c>
      <c r="I137" s="1056">
        <v>0</v>
      </c>
      <c r="J137" s="1062">
        <v>0</v>
      </c>
      <c r="K137" s="29"/>
    </row>
    <row r="138" spans="1:48" s="98" customFormat="1" ht="12.75" customHeight="1" x14ac:dyDescent="0.2">
      <c r="A138" s="663">
        <v>2328</v>
      </c>
      <c r="B138" s="629" t="s">
        <v>163</v>
      </c>
      <c r="C138" s="635">
        <v>0</v>
      </c>
      <c r="D138" s="635">
        <v>0</v>
      </c>
      <c r="E138" s="635">
        <v>85552.24</v>
      </c>
      <c r="F138" s="652"/>
      <c r="G138" s="630">
        <v>0</v>
      </c>
      <c r="H138" s="1052">
        <v>0</v>
      </c>
      <c r="I138" s="631">
        <f t="shared" si="37"/>
        <v>130.77423043176532</v>
      </c>
      <c r="J138" s="29">
        <v>65419.8</v>
      </c>
    </row>
    <row r="139" spans="1:48" s="98" customFormat="1" ht="12.75" customHeight="1" x14ac:dyDescent="0.2">
      <c r="A139" s="663">
        <v>2329</v>
      </c>
      <c r="B139" s="629" t="s">
        <v>164</v>
      </c>
      <c r="C139" s="635">
        <f>SUM(C140:C152)</f>
        <v>15209538</v>
      </c>
      <c r="D139" s="635">
        <f>SUM(D140:D152)</f>
        <v>1065000</v>
      </c>
      <c r="E139" s="635">
        <v>1249706.44</v>
      </c>
      <c r="F139" s="652">
        <f>SUM(E140:E152)</f>
        <v>1249706.4400000002</v>
      </c>
      <c r="G139" s="630">
        <f t="shared" si="36"/>
        <v>8.2165969801318095</v>
      </c>
      <c r="H139" s="1052">
        <f t="shared" si="35"/>
        <v>117.34332769953051</v>
      </c>
      <c r="I139" s="631">
        <f t="shared" si="37"/>
        <v>122.86611213963825</v>
      </c>
      <c r="J139" s="29">
        <v>1017128.66</v>
      </c>
    </row>
    <row r="140" spans="1:48" ht="12.75" customHeight="1" x14ac:dyDescent="0.2">
      <c r="A140" s="664"/>
      <c r="B140" s="643" t="s">
        <v>1123</v>
      </c>
      <c r="C140" s="644">
        <v>5000</v>
      </c>
      <c r="D140" s="644">
        <v>5000</v>
      </c>
      <c r="E140" s="644">
        <v>0</v>
      </c>
      <c r="F140" s="644"/>
      <c r="G140" s="1051">
        <f t="shared" si="36"/>
        <v>0</v>
      </c>
      <c r="H140" s="1055">
        <f t="shared" si="35"/>
        <v>0</v>
      </c>
      <c r="I140" s="1056">
        <v>0</v>
      </c>
      <c r="J140" s="29">
        <v>0</v>
      </c>
    </row>
    <row r="141" spans="1:48" ht="12.75" customHeight="1" x14ac:dyDescent="0.2">
      <c r="A141" s="664"/>
      <c r="B141" s="643" t="s">
        <v>1891</v>
      </c>
      <c r="C141" s="644">
        <v>200000</v>
      </c>
      <c r="D141" s="644">
        <v>200000</v>
      </c>
      <c r="E141" s="644">
        <v>120000</v>
      </c>
      <c r="F141" s="644"/>
      <c r="G141" s="1051">
        <f t="shared" si="36"/>
        <v>60</v>
      </c>
      <c r="H141" s="1055">
        <f t="shared" si="35"/>
        <v>60</v>
      </c>
      <c r="I141" s="1056">
        <f t="shared" si="37"/>
        <v>116.55011655011656</v>
      </c>
      <c r="J141" s="29">
        <v>102960</v>
      </c>
    </row>
    <row r="142" spans="1:48" s="665" customFormat="1" ht="12.75" customHeight="1" x14ac:dyDescent="0.2">
      <c r="A142" s="664"/>
      <c r="B142" s="643" t="s">
        <v>1124</v>
      </c>
      <c r="C142" s="644">
        <v>500000</v>
      </c>
      <c r="D142" s="644">
        <v>500000</v>
      </c>
      <c r="E142" s="644">
        <v>1009542.46</v>
      </c>
      <c r="F142" s="644"/>
      <c r="G142" s="1051">
        <f t="shared" si="36"/>
        <v>201.908492</v>
      </c>
      <c r="H142" s="1055">
        <f t="shared" si="35"/>
        <v>201.908492</v>
      </c>
      <c r="I142" s="1056">
        <f t="shared" si="37"/>
        <v>120.30289792070043</v>
      </c>
      <c r="J142" s="29">
        <v>839167.2</v>
      </c>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row>
    <row r="143" spans="1:48" s="665" customFormat="1" ht="12.75" customHeight="1" x14ac:dyDescent="0.2">
      <c r="A143" s="664"/>
      <c r="B143" s="643" t="s">
        <v>1126</v>
      </c>
      <c r="C143" s="644">
        <v>20000</v>
      </c>
      <c r="D143" s="644">
        <v>20000</v>
      </c>
      <c r="E143" s="644">
        <v>0</v>
      </c>
      <c r="F143" s="644"/>
      <c r="G143" s="1051">
        <f t="shared" si="36"/>
        <v>0</v>
      </c>
      <c r="H143" s="1055">
        <f t="shared" si="35"/>
        <v>0</v>
      </c>
      <c r="I143" s="1056">
        <v>0</v>
      </c>
      <c r="J143" s="29">
        <v>0</v>
      </c>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row>
    <row r="144" spans="1:48" ht="12.75" customHeight="1" x14ac:dyDescent="0.2">
      <c r="A144" s="664"/>
      <c r="B144" s="643" t="s">
        <v>1128</v>
      </c>
      <c r="C144" s="644">
        <v>50000</v>
      </c>
      <c r="D144" s="644">
        <v>50000</v>
      </c>
      <c r="E144" s="644">
        <v>24356.799999999999</v>
      </c>
      <c r="F144" s="644"/>
      <c r="G144" s="1051">
        <f t="shared" si="36"/>
        <v>48.713599999999992</v>
      </c>
      <c r="H144" s="1055">
        <f t="shared" si="35"/>
        <v>48.713599999999992</v>
      </c>
      <c r="I144" s="1056">
        <f t="shared" si="37"/>
        <v>152.92773278081245</v>
      </c>
      <c r="J144" s="29">
        <v>15927</v>
      </c>
    </row>
    <row r="145" spans="1:48" ht="12.75" customHeight="1" x14ac:dyDescent="0.2">
      <c r="A145" s="664"/>
      <c r="B145" s="643" t="s">
        <v>1129</v>
      </c>
      <c r="C145" s="644">
        <v>40000</v>
      </c>
      <c r="D145" s="644">
        <v>40000</v>
      </c>
      <c r="E145" s="644">
        <v>22850</v>
      </c>
      <c r="F145" s="644"/>
      <c r="G145" s="1051">
        <f t="shared" si="36"/>
        <v>57.125</v>
      </c>
      <c r="H145" s="1055">
        <f t="shared" si="35"/>
        <v>57.125</v>
      </c>
      <c r="I145" s="1056">
        <f t="shared" si="37"/>
        <v>87.380497131931165</v>
      </c>
      <c r="J145" s="29">
        <v>26150</v>
      </c>
    </row>
    <row r="146" spans="1:48" ht="12.75" customHeight="1" x14ac:dyDescent="0.2">
      <c r="A146" s="664"/>
      <c r="B146" s="643" t="s">
        <v>1131</v>
      </c>
      <c r="C146" s="652">
        <v>5500000</v>
      </c>
      <c r="D146" s="652">
        <f>5500000-5500000</f>
        <v>0</v>
      </c>
      <c r="E146" s="652">
        <v>0</v>
      </c>
      <c r="F146" s="652"/>
      <c r="G146" s="1051">
        <f t="shared" si="36"/>
        <v>0</v>
      </c>
      <c r="H146" s="1055">
        <v>0</v>
      </c>
      <c r="I146" s="1056">
        <v>0</v>
      </c>
      <c r="J146" s="29">
        <v>0</v>
      </c>
    </row>
    <row r="147" spans="1:48" ht="24.75" x14ac:dyDescent="0.2">
      <c r="A147" s="664"/>
      <c r="B147" s="650" t="s">
        <v>1132</v>
      </c>
      <c r="C147" s="644">
        <v>7500000</v>
      </c>
      <c r="D147" s="644">
        <f>7500000-7500000</f>
        <v>0</v>
      </c>
      <c r="E147" s="644">
        <v>0</v>
      </c>
      <c r="F147" s="644"/>
      <c r="G147" s="1051">
        <f t="shared" si="36"/>
        <v>0</v>
      </c>
      <c r="H147" s="1055">
        <v>0</v>
      </c>
      <c r="I147" s="670">
        <v>0</v>
      </c>
      <c r="J147" s="1037">
        <v>0</v>
      </c>
    </row>
    <row r="148" spans="1:48" ht="24.75" x14ac:dyDescent="0.2">
      <c r="A148" s="664"/>
      <c r="B148" s="650" t="s">
        <v>1133</v>
      </c>
      <c r="C148" s="652">
        <v>1144538</v>
      </c>
      <c r="D148" s="652">
        <f>1144538-1144538</f>
        <v>0</v>
      </c>
      <c r="E148" s="652">
        <v>0</v>
      </c>
      <c r="F148" s="652"/>
      <c r="G148" s="1051">
        <f t="shared" si="36"/>
        <v>0</v>
      </c>
      <c r="H148" s="1055">
        <v>0</v>
      </c>
      <c r="I148" s="670">
        <v>0</v>
      </c>
      <c r="J148" s="1037">
        <v>0</v>
      </c>
    </row>
    <row r="149" spans="1:48" x14ac:dyDescent="0.2">
      <c r="A149" s="663"/>
      <c r="B149" s="672" t="s">
        <v>1136</v>
      </c>
      <c r="C149" s="644">
        <v>250000</v>
      </c>
      <c r="D149" s="644">
        <v>250000</v>
      </c>
      <c r="E149" s="644">
        <v>0</v>
      </c>
      <c r="F149" s="644"/>
      <c r="G149" s="1051">
        <f t="shared" si="36"/>
        <v>0</v>
      </c>
      <c r="H149" s="1055">
        <f t="shared" si="35"/>
        <v>0</v>
      </c>
      <c r="I149" s="1056">
        <v>0</v>
      </c>
      <c r="J149" s="29">
        <v>0</v>
      </c>
    </row>
    <row r="150" spans="1:48" ht="12.75" customHeight="1" x14ac:dyDescent="0.2">
      <c r="A150" s="664"/>
      <c r="B150" s="643" t="s">
        <v>1137</v>
      </c>
      <c r="C150" s="644">
        <v>0</v>
      </c>
      <c r="D150" s="644">
        <v>0</v>
      </c>
      <c r="E150" s="644">
        <v>3705</v>
      </c>
      <c r="F150" s="644"/>
      <c r="G150" s="1051">
        <v>0</v>
      </c>
      <c r="H150" s="1055">
        <v>0</v>
      </c>
      <c r="I150" s="1056">
        <f t="shared" si="37"/>
        <v>247.16477651767846</v>
      </c>
      <c r="J150" s="29">
        <v>1499</v>
      </c>
    </row>
    <row r="151" spans="1:48" ht="12.75" customHeight="1" x14ac:dyDescent="0.2">
      <c r="A151" s="664"/>
      <c r="B151" s="643" t="s">
        <v>1892</v>
      </c>
      <c r="C151" s="644">
        <v>0</v>
      </c>
      <c r="D151" s="644">
        <v>0</v>
      </c>
      <c r="E151" s="644">
        <v>27246.83</v>
      </c>
      <c r="F151" s="644"/>
      <c r="G151" s="1051">
        <v>0</v>
      </c>
      <c r="H151" s="1055">
        <v>0</v>
      </c>
      <c r="I151" s="1056">
        <f t="shared" si="37"/>
        <v>-756.856388888889</v>
      </c>
      <c r="J151" s="29">
        <v>-3600</v>
      </c>
    </row>
    <row r="152" spans="1:48" ht="12.75" customHeight="1" x14ac:dyDescent="0.2">
      <c r="A152" s="664"/>
      <c r="B152" s="643" t="s">
        <v>1893</v>
      </c>
      <c r="C152" s="644">
        <v>0</v>
      </c>
      <c r="D152" s="644">
        <v>0</v>
      </c>
      <c r="E152" s="644">
        <f>34848.65+7156.7</f>
        <v>42005.35</v>
      </c>
      <c r="F152" s="644"/>
      <c r="G152" s="1051">
        <v>0</v>
      </c>
      <c r="H152" s="1055">
        <v>0</v>
      </c>
      <c r="I152" s="1056">
        <f t="shared" si="37"/>
        <v>285.09128546219625</v>
      </c>
      <c r="J152" s="29">
        <v>14734</v>
      </c>
    </row>
    <row r="153" spans="1:48" ht="12.75" customHeight="1" x14ac:dyDescent="0.2">
      <c r="A153" s="680"/>
      <c r="B153" s="681"/>
      <c r="C153" s="682"/>
      <c r="D153" s="682"/>
      <c r="E153" s="682"/>
      <c r="F153" s="682"/>
      <c r="G153" s="682"/>
      <c r="H153" s="682"/>
      <c r="I153" s="683"/>
    </row>
    <row r="154" spans="1:48" s="244" customFormat="1" ht="16.5" customHeight="1" x14ac:dyDescent="0.25">
      <c r="A154" s="1065"/>
      <c r="B154" s="1066" t="s">
        <v>11</v>
      </c>
      <c r="C154" s="840">
        <f>SUM(C155,C156,C157,C161:C161,C163)</f>
        <v>87239000</v>
      </c>
      <c r="D154" s="840">
        <f>SUM(D155,D156,D157,D161:D161,D163)</f>
        <v>87459000</v>
      </c>
      <c r="E154" s="840">
        <v>3534342.5</v>
      </c>
      <c r="F154" s="1067">
        <f>SUM(E155:E156,E157,E161,E163)</f>
        <v>3534342.5</v>
      </c>
      <c r="G154" s="623">
        <f t="shared" si="36"/>
        <v>4.051333119361753</v>
      </c>
      <c r="H154" s="623">
        <f t="shared" si="35"/>
        <v>4.041142135171909</v>
      </c>
      <c r="I154" s="741">
        <f t="shared" si="37"/>
        <v>13.865842146172575</v>
      </c>
      <c r="J154" s="29">
        <v>25489562.5</v>
      </c>
    </row>
    <row r="155" spans="1:48" s="98" customFormat="1" ht="24.75" x14ac:dyDescent="0.2">
      <c r="A155" s="660">
        <v>3111</v>
      </c>
      <c r="B155" s="688" t="s">
        <v>1140</v>
      </c>
      <c r="C155" s="637">
        <v>69855000</v>
      </c>
      <c r="D155" s="637">
        <v>69855000</v>
      </c>
      <c r="E155" s="637">
        <v>3404102.5</v>
      </c>
      <c r="F155" s="644"/>
      <c r="G155" s="630">
        <f t="shared" si="36"/>
        <v>4.8730978455371838</v>
      </c>
      <c r="H155" s="1052">
        <f t="shared" si="35"/>
        <v>4.8730978455371838</v>
      </c>
      <c r="I155" s="639">
        <f t="shared" si="37"/>
        <v>15.278614813548948</v>
      </c>
      <c r="J155" s="1037">
        <v>22280177.5</v>
      </c>
    </row>
    <row r="156" spans="1:48" s="98" customFormat="1" x14ac:dyDescent="0.2">
      <c r="A156" s="660">
        <v>3111</v>
      </c>
      <c r="B156" s="688" t="s">
        <v>1141</v>
      </c>
      <c r="C156" s="637">
        <v>600000</v>
      </c>
      <c r="D156" s="637">
        <v>600000</v>
      </c>
      <c r="E156" s="637">
        <v>130240</v>
      </c>
      <c r="F156" s="644"/>
      <c r="G156" s="630">
        <f t="shared" si="36"/>
        <v>21.706666666666667</v>
      </c>
      <c r="H156" s="1052">
        <f t="shared" si="35"/>
        <v>21.706666666666667</v>
      </c>
      <c r="I156" s="631">
        <f t="shared" si="37"/>
        <v>4.8069949453473759</v>
      </c>
      <c r="J156" s="29">
        <v>2709385</v>
      </c>
    </row>
    <row r="157" spans="1:48" s="98" customFormat="1" ht="12.75" customHeight="1" x14ac:dyDescent="0.2">
      <c r="A157" s="663">
        <v>3112</v>
      </c>
      <c r="B157" s="629" t="s">
        <v>178</v>
      </c>
      <c r="C157" s="635">
        <f>SUM(C158:C160)</f>
        <v>13384000</v>
      </c>
      <c r="D157" s="635">
        <f>SUM(D158:D160)</f>
        <v>13384000</v>
      </c>
      <c r="E157" s="635">
        <v>0</v>
      </c>
      <c r="F157" s="652"/>
      <c r="G157" s="630">
        <f t="shared" si="36"/>
        <v>0</v>
      </c>
      <c r="H157" s="1052">
        <f t="shared" si="35"/>
        <v>0</v>
      </c>
      <c r="I157" s="631">
        <v>0</v>
      </c>
      <c r="J157" s="29">
        <v>0</v>
      </c>
    </row>
    <row r="158" spans="1:48" s="666" customFormat="1" ht="12.75" customHeight="1" x14ac:dyDescent="0.2">
      <c r="A158" s="663"/>
      <c r="B158" s="690" t="s">
        <v>1142</v>
      </c>
      <c r="C158" s="652">
        <v>4081000</v>
      </c>
      <c r="D158" s="652">
        <v>4081000</v>
      </c>
      <c r="E158" s="652">
        <v>0</v>
      </c>
      <c r="F158" s="652"/>
      <c r="G158" s="1051">
        <f t="shared" si="36"/>
        <v>0</v>
      </c>
      <c r="H158" s="1055">
        <f t="shared" si="35"/>
        <v>0</v>
      </c>
      <c r="I158" s="1056">
        <v>0</v>
      </c>
      <c r="J158" s="29">
        <v>0</v>
      </c>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row>
    <row r="159" spans="1:48" s="666" customFormat="1" ht="12.75" customHeight="1" x14ac:dyDescent="0.2">
      <c r="A159" s="663"/>
      <c r="B159" s="643" t="s">
        <v>1143</v>
      </c>
      <c r="C159" s="644">
        <v>5103000</v>
      </c>
      <c r="D159" s="644">
        <v>5103000</v>
      </c>
      <c r="E159" s="644">
        <v>0</v>
      </c>
      <c r="F159" s="644"/>
      <c r="G159" s="1051">
        <f t="shared" si="36"/>
        <v>0</v>
      </c>
      <c r="H159" s="1055">
        <f t="shared" si="35"/>
        <v>0</v>
      </c>
      <c r="I159" s="1056">
        <v>0</v>
      </c>
      <c r="J159" s="29">
        <v>0</v>
      </c>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row>
    <row r="160" spans="1:48" s="666" customFormat="1" ht="12.75" customHeight="1" x14ac:dyDescent="0.2">
      <c r="A160" s="663"/>
      <c r="B160" s="690" t="s">
        <v>1145</v>
      </c>
      <c r="C160" s="644">
        <v>4200000</v>
      </c>
      <c r="D160" s="644">
        <v>4200000</v>
      </c>
      <c r="E160" s="644">
        <v>0</v>
      </c>
      <c r="F160" s="644"/>
      <c r="G160" s="1051">
        <f t="shared" si="36"/>
        <v>0</v>
      </c>
      <c r="H160" s="1055">
        <f t="shared" si="35"/>
        <v>0</v>
      </c>
      <c r="I160" s="1056">
        <v>0</v>
      </c>
      <c r="J160" s="29">
        <v>0</v>
      </c>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row>
    <row r="161" spans="1:11" s="98" customFormat="1" x14ac:dyDescent="0.2">
      <c r="A161" s="663">
        <v>3121</v>
      </c>
      <c r="B161" s="634" t="s">
        <v>1150</v>
      </c>
      <c r="C161" s="637">
        <f>C162</f>
        <v>0</v>
      </c>
      <c r="D161" s="637">
        <f>D162</f>
        <v>220000</v>
      </c>
      <c r="E161" s="637">
        <v>0</v>
      </c>
      <c r="F161" s="644"/>
      <c r="G161" s="630">
        <v>0</v>
      </c>
      <c r="H161" s="1052">
        <f t="shared" si="35"/>
        <v>0</v>
      </c>
      <c r="I161" s="631">
        <f t="shared" si="37"/>
        <v>0</v>
      </c>
      <c r="J161" s="29">
        <v>500000</v>
      </c>
    </row>
    <row r="162" spans="1:11" s="98" customFormat="1" x14ac:dyDescent="0.2">
      <c r="A162" s="663"/>
      <c r="B162" s="634" t="s">
        <v>1894</v>
      </c>
      <c r="C162" s="644">
        <v>0</v>
      </c>
      <c r="D162" s="644">
        <v>220000</v>
      </c>
      <c r="E162" s="644">
        <v>0</v>
      </c>
      <c r="F162" s="644"/>
      <c r="G162" s="1051">
        <v>0</v>
      </c>
      <c r="H162" s="1055">
        <f t="shared" si="35"/>
        <v>0</v>
      </c>
      <c r="I162" s="1056">
        <v>0</v>
      </c>
      <c r="J162" s="29">
        <v>0</v>
      </c>
    </row>
    <row r="163" spans="1:11" s="98" customFormat="1" ht="12.75" customHeight="1" x14ac:dyDescent="0.2">
      <c r="A163" s="663">
        <v>3129</v>
      </c>
      <c r="B163" s="629" t="s">
        <v>191</v>
      </c>
      <c r="C163" s="635">
        <f>SUM(C164:C165)</f>
        <v>3400000</v>
      </c>
      <c r="D163" s="635">
        <f>SUM(D164:D165)</f>
        <v>3400000</v>
      </c>
      <c r="E163" s="635">
        <v>0</v>
      </c>
      <c r="F163" s="652"/>
      <c r="G163" s="630">
        <f t="shared" si="36"/>
        <v>0</v>
      </c>
      <c r="H163" s="1052">
        <f t="shared" si="35"/>
        <v>0</v>
      </c>
      <c r="I163" s="631">
        <v>0</v>
      </c>
      <c r="J163" s="29">
        <v>0</v>
      </c>
    </row>
    <row r="164" spans="1:11" s="98" customFormat="1" ht="12.75" customHeight="1" x14ac:dyDescent="0.2">
      <c r="A164" s="692"/>
      <c r="B164" s="690" t="s">
        <v>1153</v>
      </c>
      <c r="C164" s="644">
        <v>2200000</v>
      </c>
      <c r="D164" s="644">
        <v>2200000</v>
      </c>
      <c r="E164" s="644">
        <v>0</v>
      </c>
      <c r="F164" s="644"/>
      <c r="G164" s="1051">
        <f t="shared" si="36"/>
        <v>0</v>
      </c>
      <c r="H164" s="1055">
        <f t="shared" si="35"/>
        <v>0</v>
      </c>
      <c r="I164" s="1056">
        <v>0</v>
      </c>
      <c r="J164" s="29">
        <v>0</v>
      </c>
      <c r="K164" s="150"/>
    </row>
    <row r="165" spans="1:11" s="98" customFormat="1" ht="12" customHeight="1" x14ac:dyDescent="0.2">
      <c r="A165" s="697"/>
      <c r="B165" s="643" t="s">
        <v>1158</v>
      </c>
      <c r="C165" s="695">
        <v>1200000</v>
      </c>
      <c r="D165" s="695">
        <v>1200000</v>
      </c>
      <c r="E165" s="695">
        <v>0</v>
      </c>
      <c r="F165" s="695"/>
      <c r="G165" s="1051">
        <f t="shared" si="36"/>
        <v>0</v>
      </c>
      <c r="H165" s="1055">
        <f t="shared" si="35"/>
        <v>0</v>
      </c>
      <c r="I165" s="1056">
        <v>0</v>
      </c>
      <c r="J165" s="29">
        <v>0</v>
      </c>
    </row>
    <row r="166" spans="1:11" s="98" customFormat="1" x14ac:dyDescent="0.2">
      <c r="A166" s="699"/>
      <c r="B166" s="700"/>
      <c r="C166" s="682"/>
      <c r="D166" s="682"/>
      <c r="E166" s="682"/>
      <c r="F166" s="682"/>
      <c r="G166" s="682"/>
      <c r="H166" s="682"/>
      <c r="I166" s="583"/>
      <c r="J166" s="29"/>
    </row>
    <row r="167" spans="1:11" s="244" customFormat="1" ht="16.5" customHeight="1" x14ac:dyDescent="0.25">
      <c r="A167" s="621"/>
      <c r="B167" s="701" t="s">
        <v>196</v>
      </c>
      <c r="C167" s="702">
        <f>SUM(C168,C171,C172,C185,C193,C202,C203,C205,C210)</f>
        <v>66897844.799999997</v>
      </c>
      <c r="D167" s="702">
        <f>SUM(D168,D171,D172,D185,D193,D202,D203,D205,D210)</f>
        <v>100046471.61</v>
      </c>
      <c r="E167" s="702">
        <v>66068089.369999997</v>
      </c>
      <c r="F167" s="1068">
        <f>SUM(E168,E171:E172,E185,E193,E202:E203,E205,E210)</f>
        <v>66068089.369999997</v>
      </c>
      <c r="G167" s="623">
        <f t="shared" si="36"/>
        <v>98.759667919825119</v>
      </c>
      <c r="H167" s="623">
        <f t="shared" si="35"/>
        <v>66.037400726680161</v>
      </c>
      <c r="I167" s="1069">
        <f t="shared" si="37"/>
        <v>94.474351202267485</v>
      </c>
      <c r="J167" s="29">
        <v>69932302.819999993</v>
      </c>
    </row>
    <row r="168" spans="1:11" s="98" customFormat="1" ht="12.75" customHeight="1" x14ac:dyDescent="0.2">
      <c r="A168" s="703">
        <v>4111</v>
      </c>
      <c r="B168" s="704" t="s">
        <v>197</v>
      </c>
      <c r="C168" s="705">
        <f>SUM(C169:C170)</f>
        <v>0</v>
      </c>
      <c r="D168" s="705">
        <f>SUM(D169:D170)</f>
        <v>867905.41</v>
      </c>
      <c r="E168" s="705">
        <v>867905.41</v>
      </c>
      <c r="F168" s="706">
        <f>SUM(E169:E170)</f>
        <v>867905.41</v>
      </c>
      <c r="G168" s="630">
        <v>0</v>
      </c>
      <c r="H168" s="1052">
        <f t="shared" si="35"/>
        <v>100</v>
      </c>
      <c r="I168" s="631">
        <f t="shared" si="37"/>
        <v>59.324313473678835</v>
      </c>
      <c r="J168" s="29">
        <v>1462984.33</v>
      </c>
    </row>
    <row r="169" spans="1:11" s="98" customFormat="1" ht="12.75" customHeight="1" x14ac:dyDescent="0.2">
      <c r="A169" s="707"/>
      <c r="B169" s="708" t="s">
        <v>1895</v>
      </c>
      <c r="C169" s="709">
        <v>0</v>
      </c>
      <c r="D169" s="709">
        <v>864200</v>
      </c>
      <c r="E169" s="709">
        <v>864200</v>
      </c>
      <c r="F169" s="709"/>
      <c r="G169" s="1051">
        <v>0</v>
      </c>
      <c r="H169" s="1055">
        <f t="shared" si="35"/>
        <v>100</v>
      </c>
      <c r="I169" s="1056">
        <v>0</v>
      </c>
      <c r="J169" s="29">
        <v>0</v>
      </c>
    </row>
    <row r="170" spans="1:11" s="98" customFormat="1" ht="12.75" customHeight="1" x14ac:dyDescent="0.2">
      <c r="A170" s="707"/>
      <c r="B170" s="708" t="s">
        <v>1896</v>
      </c>
      <c r="C170" s="709">
        <v>0</v>
      </c>
      <c r="D170" s="709">
        <v>3705.41</v>
      </c>
      <c r="E170" s="709">
        <v>3705.41</v>
      </c>
      <c r="F170" s="709"/>
      <c r="G170" s="1051">
        <v>0</v>
      </c>
      <c r="H170" s="1055">
        <f t="shared" si="35"/>
        <v>100</v>
      </c>
      <c r="I170" s="1056">
        <v>0</v>
      </c>
      <c r="J170" s="29">
        <v>0</v>
      </c>
    </row>
    <row r="171" spans="1:11" ht="25.5" x14ac:dyDescent="0.2">
      <c r="A171" s="660">
        <v>4112</v>
      </c>
      <c r="B171" s="688" t="s">
        <v>1166</v>
      </c>
      <c r="C171" s="637">
        <v>43668300</v>
      </c>
      <c r="D171" s="637">
        <f>43668300+2499800</f>
        <v>46168100</v>
      </c>
      <c r="E171" s="637">
        <v>23084052</v>
      </c>
      <c r="F171" s="644"/>
      <c r="G171" s="630">
        <f t="shared" si="36"/>
        <v>52.862263930585804</v>
      </c>
      <c r="H171" s="1052">
        <f t="shared" si="35"/>
        <v>50.00000433199547</v>
      </c>
      <c r="I171" s="639">
        <f t="shared" si="37"/>
        <v>105.72452786117161</v>
      </c>
      <c r="J171" s="1037">
        <v>21834150</v>
      </c>
    </row>
    <row r="172" spans="1:11" s="98" customFormat="1" ht="12.75" customHeight="1" x14ac:dyDescent="0.2">
      <c r="A172" s="663">
        <v>4116</v>
      </c>
      <c r="B172" s="629" t="s">
        <v>201</v>
      </c>
      <c r="C172" s="635">
        <f>SUM(C174:C184)</f>
        <v>700000</v>
      </c>
      <c r="D172" s="635">
        <f>SUM(D174:D184)</f>
        <v>19167585.5</v>
      </c>
      <c r="E172" s="635">
        <v>18955806.609999999</v>
      </c>
      <c r="F172" s="652">
        <f>SUM(E173:E184)</f>
        <v>18955806.609999999</v>
      </c>
      <c r="G172" s="630">
        <f t="shared" si="36"/>
        <v>2707.9723728571425</v>
      </c>
      <c r="H172" s="1052">
        <f t="shared" ref="H172:H235" si="38">E172/D172*100</f>
        <v>98.895119627873839</v>
      </c>
      <c r="I172" s="631">
        <f t="shared" si="37"/>
        <v>159.38891075739312</v>
      </c>
      <c r="J172" s="29">
        <v>11892801.4</v>
      </c>
    </row>
    <row r="173" spans="1:11" ht="12.75" customHeight="1" x14ac:dyDescent="0.2">
      <c r="A173" s="664"/>
      <c r="B173" s="643" t="s">
        <v>1897</v>
      </c>
      <c r="C173" s="644">
        <v>0</v>
      </c>
      <c r="D173" s="644">
        <v>0</v>
      </c>
      <c r="E173" s="644">
        <v>563894.11</v>
      </c>
      <c r="F173" s="644"/>
      <c r="G173" s="1051">
        <v>0</v>
      </c>
      <c r="H173" s="1055">
        <v>0</v>
      </c>
      <c r="I173" s="1056">
        <v>0</v>
      </c>
      <c r="J173" s="29">
        <v>0</v>
      </c>
    </row>
    <row r="174" spans="1:11" ht="12.75" customHeight="1" x14ac:dyDescent="0.2">
      <c r="A174" s="664"/>
      <c r="B174" s="643" t="s">
        <v>1898</v>
      </c>
      <c r="C174" s="644">
        <v>0</v>
      </c>
      <c r="D174" s="644">
        <v>1059598</v>
      </c>
      <c r="E174" s="644">
        <v>1059598</v>
      </c>
      <c r="F174" s="644"/>
      <c r="G174" s="1051">
        <v>0</v>
      </c>
      <c r="H174" s="1055">
        <f t="shared" si="38"/>
        <v>100</v>
      </c>
      <c r="I174" s="1056">
        <f t="shared" si="37"/>
        <v>92.578664928556336</v>
      </c>
      <c r="J174" s="29">
        <v>1144538</v>
      </c>
    </row>
    <row r="175" spans="1:11" ht="12.75" customHeight="1" x14ac:dyDescent="0.2">
      <c r="A175" s="663"/>
      <c r="B175" s="672" t="s">
        <v>1899</v>
      </c>
      <c r="C175" s="644">
        <v>0</v>
      </c>
      <c r="D175" s="644">
        <v>8304000</v>
      </c>
      <c r="E175" s="644">
        <v>8304000</v>
      </c>
      <c r="F175" s="644"/>
      <c r="G175" s="1051">
        <v>0</v>
      </c>
      <c r="H175" s="1055">
        <f t="shared" si="38"/>
        <v>100</v>
      </c>
      <c r="I175" s="1056">
        <f t="shared" si="37"/>
        <v>111.07544141252006</v>
      </c>
      <c r="J175" s="29">
        <v>7476000</v>
      </c>
    </row>
    <row r="176" spans="1:11" s="2" customFormat="1" ht="12.75" customHeight="1" x14ac:dyDescent="0.2">
      <c r="A176" s="715"/>
      <c r="B176" s="693" t="s">
        <v>1900</v>
      </c>
      <c r="C176" s="652">
        <v>0</v>
      </c>
      <c r="D176" s="652">
        <f t="shared" ref="D176:D177" si="39">(635.25+12705)</f>
        <v>13340.25</v>
      </c>
      <c r="E176" s="652">
        <v>13340.25</v>
      </c>
      <c r="F176" s="652"/>
      <c r="G176" s="1051">
        <v>0</v>
      </c>
      <c r="H176" s="1055">
        <f t="shared" si="38"/>
        <v>100</v>
      </c>
      <c r="I176" s="1056">
        <v>0</v>
      </c>
      <c r="J176" s="88">
        <v>0</v>
      </c>
    </row>
    <row r="177" spans="1:12" s="2" customFormat="1" ht="12.75" customHeight="1" x14ac:dyDescent="0.2">
      <c r="A177" s="715"/>
      <c r="B177" s="693" t="s">
        <v>1901</v>
      </c>
      <c r="C177" s="652">
        <v>0</v>
      </c>
      <c r="D177" s="652">
        <f t="shared" si="39"/>
        <v>13340.25</v>
      </c>
      <c r="E177" s="652">
        <v>13340.25</v>
      </c>
      <c r="F177" s="652"/>
      <c r="G177" s="1051">
        <v>0</v>
      </c>
      <c r="H177" s="1055">
        <f t="shared" si="38"/>
        <v>100</v>
      </c>
      <c r="I177" s="1056">
        <v>0</v>
      </c>
      <c r="J177" s="88">
        <v>0</v>
      </c>
    </row>
    <row r="178" spans="1:12" s="98" customFormat="1" ht="12.75" customHeight="1" x14ac:dyDescent="0.2">
      <c r="A178" s="692"/>
      <c r="B178" s="643" t="s">
        <v>1902</v>
      </c>
      <c r="C178" s="644">
        <v>0</v>
      </c>
      <c r="D178" s="644">
        <v>14200</v>
      </c>
      <c r="E178" s="644">
        <v>14200</v>
      </c>
      <c r="F178" s="644"/>
      <c r="G178" s="1051">
        <v>0</v>
      </c>
      <c r="H178" s="1055">
        <f t="shared" si="38"/>
        <v>100</v>
      </c>
      <c r="I178" s="1056">
        <v>0</v>
      </c>
      <c r="J178" s="29">
        <v>0</v>
      </c>
      <c r="K178" s="150"/>
    </row>
    <row r="179" spans="1:12" s="98" customFormat="1" ht="12.75" customHeight="1" x14ac:dyDescent="0.2">
      <c r="A179" s="692"/>
      <c r="B179" s="643" t="s">
        <v>1903</v>
      </c>
      <c r="C179" s="644">
        <v>200000</v>
      </c>
      <c r="D179" s="644">
        <f>200000+35205</f>
        <v>235205</v>
      </c>
      <c r="E179" s="644">
        <v>59532</v>
      </c>
      <c r="F179" s="644"/>
      <c r="G179" s="1051">
        <f t="shared" ref="G179:G239" si="40">E179/C179*100</f>
        <v>29.765999999999998</v>
      </c>
      <c r="H179" s="1055">
        <f t="shared" si="38"/>
        <v>25.310686422482515</v>
      </c>
      <c r="I179" s="1056">
        <v>0</v>
      </c>
      <c r="J179" s="29">
        <v>0</v>
      </c>
      <c r="K179" s="150"/>
    </row>
    <row r="180" spans="1:12" s="98" customFormat="1" ht="12.75" customHeight="1" x14ac:dyDescent="0.2">
      <c r="A180" s="1070"/>
      <c r="B180" s="832" t="s">
        <v>1904</v>
      </c>
      <c r="C180" s="816">
        <v>0</v>
      </c>
      <c r="D180" s="816">
        <f>(1005316.48+3315837.52)</f>
        <v>4321154</v>
      </c>
      <c r="E180" s="1071">
        <v>4321154</v>
      </c>
      <c r="F180" s="1071"/>
      <c r="G180" s="1051">
        <v>0</v>
      </c>
      <c r="H180" s="1055">
        <f t="shared" si="38"/>
        <v>100</v>
      </c>
      <c r="I180" s="1056">
        <v>0</v>
      </c>
      <c r="J180" s="1072">
        <v>0</v>
      </c>
      <c r="K180" s="29"/>
      <c r="L180" s="150"/>
    </row>
    <row r="181" spans="1:12" s="98" customFormat="1" ht="12.75" customHeight="1" x14ac:dyDescent="0.2">
      <c r="A181" s="1070"/>
      <c r="B181" s="832" t="s">
        <v>1905</v>
      </c>
      <c r="C181" s="816">
        <v>0</v>
      </c>
      <c r="D181" s="816">
        <f>(519876.2+1714708.8)</f>
        <v>2234585</v>
      </c>
      <c r="E181" s="1071">
        <v>2234585</v>
      </c>
      <c r="F181" s="1071"/>
      <c r="G181" s="1051">
        <v>0</v>
      </c>
      <c r="H181" s="1055">
        <f t="shared" si="38"/>
        <v>100</v>
      </c>
      <c r="I181" s="1056">
        <v>0</v>
      </c>
      <c r="J181" s="1072">
        <v>0</v>
      </c>
      <c r="K181" s="29"/>
      <c r="L181" s="150"/>
    </row>
    <row r="182" spans="1:12" s="98" customFormat="1" ht="12.75" customHeight="1" x14ac:dyDescent="0.2">
      <c r="A182" s="1070"/>
      <c r="B182" s="832" t="s">
        <v>1906</v>
      </c>
      <c r="C182" s="816">
        <v>0</v>
      </c>
      <c r="D182" s="816">
        <f>(551883.72+1820279.28)</f>
        <v>2372163</v>
      </c>
      <c r="E182" s="1071">
        <v>2372163</v>
      </c>
      <c r="F182" s="1071"/>
      <c r="G182" s="1051">
        <v>0</v>
      </c>
      <c r="H182" s="1055">
        <f t="shared" si="38"/>
        <v>100</v>
      </c>
      <c r="I182" s="1056">
        <v>0</v>
      </c>
      <c r="J182" s="1072">
        <v>0</v>
      </c>
      <c r="K182" s="29"/>
      <c r="L182" s="150"/>
    </row>
    <row r="183" spans="1:12" s="98" customFormat="1" ht="12.75" customHeight="1" x14ac:dyDescent="0.2">
      <c r="A183" s="692"/>
      <c r="B183" s="643" t="s">
        <v>1907</v>
      </c>
      <c r="C183" s="644">
        <v>0</v>
      </c>
      <c r="D183" s="644">
        <v>100000</v>
      </c>
      <c r="E183" s="644">
        <v>0</v>
      </c>
      <c r="F183" s="644"/>
      <c r="G183" s="1051">
        <v>0</v>
      </c>
      <c r="H183" s="1055">
        <f t="shared" si="38"/>
        <v>0</v>
      </c>
      <c r="I183" s="1056">
        <v>0</v>
      </c>
      <c r="J183" s="29">
        <v>0</v>
      </c>
      <c r="K183" s="150"/>
    </row>
    <row r="184" spans="1:12" s="98" customFormat="1" ht="12.75" customHeight="1" x14ac:dyDescent="0.2">
      <c r="A184" s="692"/>
      <c r="B184" s="650" t="s">
        <v>1908</v>
      </c>
      <c r="C184" s="644">
        <v>500000</v>
      </c>
      <c r="D184" s="644">
        <v>500000</v>
      </c>
      <c r="E184" s="1073">
        <v>0</v>
      </c>
      <c r="F184" s="1073"/>
      <c r="G184" s="1051">
        <f t="shared" si="40"/>
        <v>0</v>
      </c>
      <c r="H184" s="1055">
        <f t="shared" si="38"/>
        <v>0</v>
      </c>
      <c r="I184" s="1056">
        <v>0</v>
      </c>
      <c r="J184" s="29">
        <v>0</v>
      </c>
      <c r="K184" s="150"/>
    </row>
    <row r="185" spans="1:12" ht="12.75" customHeight="1" x14ac:dyDescent="0.2">
      <c r="A185" s="663">
        <v>4121</v>
      </c>
      <c r="B185" s="629" t="s">
        <v>213</v>
      </c>
      <c r="C185" s="635">
        <f>SUM(C186:C192)</f>
        <v>2109621</v>
      </c>
      <c r="D185" s="635">
        <f>SUM(D186:D192)</f>
        <v>2109621</v>
      </c>
      <c r="E185" s="635">
        <v>1998232</v>
      </c>
      <c r="F185" s="652">
        <f>SUM(E186:E192)</f>
        <v>1998232</v>
      </c>
      <c r="G185" s="630">
        <f t="shared" si="40"/>
        <v>94.719952067219666</v>
      </c>
      <c r="H185" s="1052">
        <f t="shared" si="38"/>
        <v>94.719952067219666</v>
      </c>
      <c r="I185" s="631">
        <f t="shared" si="37"/>
        <v>92.348431531699219</v>
      </c>
      <c r="J185" s="29">
        <v>2163796.36</v>
      </c>
    </row>
    <row r="186" spans="1:12" ht="12.75" customHeight="1" x14ac:dyDescent="0.2">
      <c r="A186" s="663"/>
      <c r="B186" s="643" t="s">
        <v>1175</v>
      </c>
      <c r="C186" s="644">
        <v>360000</v>
      </c>
      <c r="D186" s="644">
        <v>360000</v>
      </c>
      <c r="E186" s="644">
        <v>427500</v>
      </c>
      <c r="F186" s="644"/>
      <c r="G186" s="1051">
        <f t="shared" si="40"/>
        <v>118.75</v>
      </c>
      <c r="H186" s="1055">
        <f t="shared" si="38"/>
        <v>118.75</v>
      </c>
      <c r="I186" s="1056">
        <f t="shared" si="37"/>
        <v>147.41379310344826</v>
      </c>
      <c r="J186" s="29">
        <v>290000</v>
      </c>
    </row>
    <row r="187" spans="1:12" x14ac:dyDescent="0.2">
      <c r="A187" s="663"/>
      <c r="B187" s="643" t="s">
        <v>1176</v>
      </c>
      <c r="C187" s="644">
        <v>3000</v>
      </c>
      <c r="D187" s="644">
        <v>3000</v>
      </c>
      <c r="E187" s="644">
        <v>0</v>
      </c>
      <c r="F187" s="644"/>
      <c r="G187" s="1051">
        <f t="shared" si="40"/>
        <v>0</v>
      </c>
      <c r="H187" s="1055">
        <f t="shared" si="38"/>
        <v>0</v>
      </c>
      <c r="I187" s="1056">
        <v>0</v>
      </c>
      <c r="J187" s="29">
        <v>0</v>
      </c>
    </row>
    <row r="188" spans="1:12" ht="12.75" customHeight="1" x14ac:dyDescent="0.2">
      <c r="A188" s="663"/>
      <c r="B188" s="643" t="s">
        <v>1178</v>
      </c>
      <c r="C188" s="644">
        <v>918175</v>
      </c>
      <c r="D188" s="644">
        <v>918175</v>
      </c>
      <c r="E188" s="644">
        <v>842286</v>
      </c>
      <c r="F188" s="644"/>
      <c r="G188" s="1051">
        <f t="shared" si="40"/>
        <v>91.734800010891178</v>
      </c>
      <c r="H188" s="1055">
        <f t="shared" si="38"/>
        <v>91.734800010891178</v>
      </c>
      <c r="I188" s="1056">
        <f t="shared" si="37"/>
        <v>126.23736556238984</v>
      </c>
      <c r="J188" s="29">
        <v>667224</v>
      </c>
      <c r="K188" s="150"/>
    </row>
    <row r="189" spans="1:12" ht="12.75" customHeight="1" x14ac:dyDescent="0.2">
      <c r="A189" s="663"/>
      <c r="B189" s="643" t="s">
        <v>1179</v>
      </c>
      <c r="C189" s="644">
        <v>602075</v>
      </c>
      <c r="D189" s="644">
        <v>602075</v>
      </c>
      <c r="E189" s="644">
        <v>602075</v>
      </c>
      <c r="F189" s="644"/>
      <c r="G189" s="1051">
        <f t="shared" si="40"/>
        <v>100</v>
      </c>
      <c r="H189" s="1055">
        <f t="shared" si="38"/>
        <v>100</v>
      </c>
      <c r="I189" s="1056">
        <f t="shared" si="37"/>
        <v>67.677544308094554</v>
      </c>
      <c r="J189" s="29">
        <v>889623</v>
      </c>
      <c r="K189" s="150"/>
    </row>
    <row r="190" spans="1:12" ht="12.75" customHeight="1" x14ac:dyDescent="0.2">
      <c r="A190" s="663"/>
      <c r="B190" s="643" t="s">
        <v>1180</v>
      </c>
      <c r="C190" s="644">
        <v>126071</v>
      </c>
      <c r="D190" s="644">
        <v>126071</v>
      </c>
      <c r="E190" s="644">
        <v>126071</v>
      </c>
      <c r="F190" s="644"/>
      <c r="G190" s="1051">
        <f t="shared" si="40"/>
        <v>100</v>
      </c>
      <c r="H190" s="1055">
        <f t="shared" si="38"/>
        <v>100</v>
      </c>
      <c r="I190" s="1056">
        <f t="shared" si="37"/>
        <v>54.487500864393887</v>
      </c>
      <c r="J190" s="29">
        <v>231376</v>
      </c>
      <c r="K190" s="150"/>
    </row>
    <row r="191" spans="1:12" ht="12.75" customHeight="1" x14ac:dyDescent="0.2">
      <c r="A191" s="663"/>
      <c r="B191" s="643" t="s">
        <v>1181</v>
      </c>
      <c r="C191" s="644">
        <v>100000</v>
      </c>
      <c r="D191" s="644">
        <v>100000</v>
      </c>
      <c r="E191" s="644">
        <v>0</v>
      </c>
      <c r="F191" s="644"/>
      <c r="G191" s="1051">
        <f t="shared" si="40"/>
        <v>0</v>
      </c>
      <c r="H191" s="1055">
        <f t="shared" si="38"/>
        <v>0</v>
      </c>
      <c r="I191" s="1056">
        <v>0</v>
      </c>
      <c r="J191" s="29">
        <v>0</v>
      </c>
    </row>
    <row r="192" spans="1:12" x14ac:dyDescent="0.2">
      <c r="A192" s="663"/>
      <c r="B192" s="672" t="s">
        <v>1183</v>
      </c>
      <c r="C192" s="644">
        <v>300</v>
      </c>
      <c r="D192" s="644">
        <v>300</v>
      </c>
      <c r="E192" s="644">
        <v>300</v>
      </c>
      <c r="F192" s="644"/>
      <c r="G192" s="1051">
        <f t="shared" si="40"/>
        <v>100</v>
      </c>
      <c r="H192" s="1055">
        <f t="shared" si="38"/>
        <v>100</v>
      </c>
      <c r="I192" s="1056">
        <v>0</v>
      </c>
      <c r="J192" s="29">
        <v>0</v>
      </c>
    </row>
    <row r="193" spans="1:17" ht="12.75" customHeight="1" x14ac:dyDescent="0.2">
      <c r="A193" s="663">
        <v>4122</v>
      </c>
      <c r="B193" s="634" t="s">
        <v>221</v>
      </c>
      <c r="C193" s="635">
        <f>SUM(C194:C201)</f>
        <v>0</v>
      </c>
      <c r="D193" s="635">
        <f>SUM(D194:D201)</f>
        <v>10942247.370000001</v>
      </c>
      <c r="E193" s="635">
        <v>8581747.3699999992</v>
      </c>
      <c r="F193" s="652">
        <f>SUM(E194:E201)</f>
        <v>8581747.370000001</v>
      </c>
      <c r="G193" s="630">
        <v>0</v>
      </c>
      <c r="H193" s="1052">
        <f t="shared" si="38"/>
        <v>78.427649090883222</v>
      </c>
      <c r="I193" s="631">
        <f t="shared" ref="I193:I256" si="41">E193/J193*100</f>
        <v>82.025006668240565</v>
      </c>
      <c r="J193" s="29">
        <v>10462354.98</v>
      </c>
      <c r="K193" s="150"/>
    </row>
    <row r="194" spans="1:17" s="98" customFormat="1" ht="12.75" customHeight="1" x14ac:dyDescent="0.2">
      <c r="A194" s="692"/>
      <c r="B194" s="690" t="s">
        <v>1909</v>
      </c>
      <c r="C194" s="644">
        <v>0</v>
      </c>
      <c r="D194" s="644">
        <v>4551000</v>
      </c>
      <c r="E194" s="644">
        <v>2275500</v>
      </c>
      <c r="F194" s="644"/>
      <c r="G194" s="1051">
        <v>0</v>
      </c>
      <c r="H194" s="1055">
        <f t="shared" si="38"/>
        <v>50</v>
      </c>
      <c r="I194" s="1056">
        <f t="shared" si="41"/>
        <v>102.26966292134831</v>
      </c>
      <c r="J194" s="29">
        <v>2225000</v>
      </c>
      <c r="K194" s="150"/>
    </row>
    <row r="195" spans="1:17" s="98" customFormat="1" ht="12.75" customHeight="1" x14ac:dyDescent="0.2">
      <c r="A195" s="692"/>
      <c r="B195" s="690" t="s">
        <v>1910</v>
      </c>
      <c r="C195" s="644">
        <v>0</v>
      </c>
      <c r="D195" s="644">
        <v>80000</v>
      </c>
      <c r="E195" s="644">
        <v>0</v>
      </c>
      <c r="F195" s="644"/>
      <c r="G195" s="1051">
        <v>0</v>
      </c>
      <c r="H195" s="1055">
        <f t="shared" si="38"/>
        <v>0</v>
      </c>
      <c r="I195" s="1056">
        <v>0</v>
      </c>
      <c r="J195" s="29">
        <v>0</v>
      </c>
      <c r="K195" s="150"/>
    </row>
    <row r="196" spans="1:17" s="98" customFormat="1" ht="12.75" customHeight="1" x14ac:dyDescent="0.2">
      <c r="A196" s="692"/>
      <c r="B196" s="690" t="s">
        <v>1911</v>
      </c>
      <c r="C196" s="644">
        <v>0</v>
      </c>
      <c r="D196" s="644">
        <v>50000</v>
      </c>
      <c r="E196" s="644">
        <v>0</v>
      </c>
      <c r="F196" s="644"/>
      <c r="G196" s="1051">
        <v>0</v>
      </c>
      <c r="H196" s="1055">
        <f t="shared" si="38"/>
        <v>0</v>
      </c>
      <c r="I196" s="1056">
        <v>0</v>
      </c>
      <c r="J196" s="29">
        <v>0</v>
      </c>
      <c r="K196" s="150"/>
    </row>
    <row r="197" spans="1:17" s="98" customFormat="1" ht="12.75" customHeight="1" x14ac:dyDescent="0.2">
      <c r="A197" s="692"/>
      <c r="B197" s="643" t="s">
        <v>1912</v>
      </c>
      <c r="C197" s="644">
        <v>0</v>
      </c>
      <c r="D197" s="644">
        <v>9234</v>
      </c>
      <c r="E197" s="644">
        <v>9234</v>
      </c>
      <c r="F197" s="644"/>
      <c r="G197" s="1051">
        <v>0</v>
      </c>
      <c r="H197" s="1055">
        <f t="shared" si="38"/>
        <v>100</v>
      </c>
      <c r="I197" s="1056">
        <v>0</v>
      </c>
      <c r="J197" s="29">
        <v>0</v>
      </c>
      <c r="K197" s="150"/>
    </row>
    <row r="198" spans="1:17" s="98" customFormat="1" ht="12.75" customHeight="1" x14ac:dyDescent="0.2">
      <c r="A198" s="692"/>
      <c r="B198" s="690" t="s">
        <v>1913</v>
      </c>
      <c r="C198" s="644">
        <v>0</v>
      </c>
      <c r="D198" s="644">
        <v>210200</v>
      </c>
      <c r="E198" s="644">
        <v>210200</v>
      </c>
      <c r="F198" s="644"/>
      <c r="G198" s="1051">
        <v>0</v>
      </c>
      <c r="H198" s="1055">
        <f t="shared" si="38"/>
        <v>100</v>
      </c>
      <c r="I198" s="1056">
        <v>0</v>
      </c>
      <c r="J198" s="29">
        <v>0</v>
      </c>
      <c r="K198" s="150"/>
    </row>
    <row r="199" spans="1:17" s="98" customFormat="1" ht="12.75" customHeight="1" x14ac:dyDescent="0.2">
      <c r="A199" s="692"/>
      <c r="B199" s="690" t="s">
        <v>1914</v>
      </c>
      <c r="C199" s="644">
        <v>0</v>
      </c>
      <c r="D199" s="644">
        <v>0</v>
      </c>
      <c r="E199" s="644">
        <v>45000</v>
      </c>
      <c r="F199" s="644"/>
      <c r="G199" s="1051">
        <v>0</v>
      </c>
      <c r="H199" s="1055">
        <v>0</v>
      </c>
      <c r="I199" s="1056">
        <f t="shared" si="41"/>
        <v>2.0306401028857652</v>
      </c>
      <c r="J199" s="29">
        <v>2216050</v>
      </c>
      <c r="K199" s="150"/>
    </row>
    <row r="200" spans="1:17" ht="12.75" customHeight="1" x14ac:dyDescent="0.2">
      <c r="A200" s="1074"/>
      <c r="B200" s="832" t="s">
        <v>1915</v>
      </c>
      <c r="C200" s="1075">
        <v>0</v>
      </c>
      <c r="D200" s="1075">
        <f>(4752.88+26932.97)+(1806.05+10234.3)+(5713.08+32374.09)</f>
        <v>81813.37</v>
      </c>
      <c r="E200" s="1075">
        <v>81813.37</v>
      </c>
      <c r="F200" s="1075"/>
      <c r="G200" s="1051">
        <v>0</v>
      </c>
      <c r="H200" s="1055">
        <f t="shared" si="38"/>
        <v>100</v>
      </c>
      <c r="I200" s="1056">
        <f t="shared" si="41"/>
        <v>114.73724556124971</v>
      </c>
      <c r="J200" s="1072">
        <v>71304.98</v>
      </c>
      <c r="K200" s="29"/>
      <c r="Q200" s="150"/>
    </row>
    <row r="201" spans="1:17" ht="12.75" customHeight="1" x14ac:dyDescent="0.2">
      <c r="A201" s="663"/>
      <c r="B201" s="643" t="s">
        <v>1916</v>
      </c>
      <c r="C201" s="644">
        <v>0</v>
      </c>
      <c r="D201" s="644">
        <v>5960000</v>
      </c>
      <c r="E201" s="644">
        <v>5960000</v>
      </c>
      <c r="F201" s="644"/>
      <c r="G201" s="1051">
        <v>0</v>
      </c>
      <c r="H201" s="1055">
        <f t="shared" si="38"/>
        <v>100</v>
      </c>
      <c r="I201" s="1056">
        <f t="shared" si="41"/>
        <v>103.4363068379035</v>
      </c>
      <c r="J201" s="1076">
        <v>5762000</v>
      </c>
      <c r="K201" s="150"/>
    </row>
    <row r="202" spans="1:17" s="98" customFormat="1" ht="12.75" customHeight="1" x14ac:dyDescent="0.2">
      <c r="A202" s="642" t="s">
        <v>1917</v>
      </c>
      <c r="B202" s="629" t="s">
        <v>1192</v>
      </c>
      <c r="C202" s="637">
        <v>6100000</v>
      </c>
      <c r="D202" s="637">
        <f>6100000-94000</f>
        <v>6006000</v>
      </c>
      <c r="E202" s="637">
        <f>3004842.55-1685.1</f>
        <v>3003157.4499999997</v>
      </c>
      <c r="F202" s="644"/>
      <c r="G202" s="630">
        <f t="shared" si="40"/>
        <v>49.232089344262292</v>
      </c>
      <c r="H202" s="1052">
        <f t="shared" si="38"/>
        <v>50.002621545121542</v>
      </c>
      <c r="I202" s="631">
        <f t="shared" si="41"/>
        <v>85.570415321604486</v>
      </c>
      <c r="J202" s="29">
        <v>3509574.47</v>
      </c>
    </row>
    <row r="203" spans="1:17" s="98" customFormat="1" ht="12.75" customHeight="1" x14ac:dyDescent="0.2">
      <c r="A203" s="663">
        <v>4213</v>
      </c>
      <c r="B203" s="629" t="s">
        <v>229</v>
      </c>
      <c r="C203" s="635">
        <f>SUM(C204)</f>
        <v>1400000</v>
      </c>
      <c r="D203" s="635">
        <f>SUM(D204)</f>
        <v>1400000</v>
      </c>
      <c r="E203" s="635">
        <v>0</v>
      </c>
      <c r="F203" s="652"/>
      <c r="G203" s="630">
        <f t="shared" si="40"/>
        <v>0</v>
      </c>
      <c r="H203" s="1052">
        <f t="shared" si="38"/>
        <v>0</v>
      </c>
      <c r="I203" s="631">
        <v>0</v>
      </c>
      <c r="J203" s="29">
        <v>0</v>
      </c>
    </row>
    <row r="204" spans="1:17" s="2" customFormat="1" ht="12.75" customHeight="1" x14ac:dyDescent="0.2">
      <c r="A204" s="715"/>
      <c r="B204" s="672" t="s">
        <v>1918</v>
      </c>
      <c r="C204" s="652">
        <v>1400000</v>
      </c>
      <c r="D204" s="652">
        <v>1400000</v>
      </c>
      <c r="E204" s="652">
        <v>0</v>
      </c>
      <c r="F204" s="652"/>
      <c r="G204" s="1051">
        <f t="shared" si="40"/>
        <v>0</v>
      </c>
      <c r="H204" s="1055">
        <f t="shared" si="38"/>
        <v>0</v>
      </c>
      <c r="I204" s="1056">
        <v>0</v>
      </c>
      <c r="J204" s="88">
        <v>0</v>
      </c>
    </row>
    <row r="205" spans="1:17" s="98" customFormat="1" ht="12.75" customHeight="1" x14ac:dyDescent="0.2">
      <c r="A205" s="663">
        <v>4216</v>
      </c>
      <c r="B205" s="634" t="s">
        <v>234</v>
      </c>
      <c r="C205" s="718">
        <f>SUM(C206:C209)</f>
        <v>12419843.800000001</v>
      </c>
      <c r="D205" s="718">
        <f>SUM(D206:D209)</f>
        <v>12722148.329999998</v>
      </c>
      <c r="E205" s="718">
        <v>9352304.5299999993</v>
      </c>
      <c r="F205" s="1077">
        <f>SUM(E206:E209)</f>
        <v>9352304.5300000012</v>
      </c>
      <c r="G205" s="630">
        <f t="shared" si="40"/>
        <v>75.301305560702772</v>
      </c>
      <c r="H205" s="1052">
        <f t="shared" si="38"/>
        <v>73.511990957898234</v>
      </c>
      <c r="I205" s="631">
        <f t="shared" si="41"/>
        <v>80.757343072420852</v>
      </c>
      <c r="J205" s="29">
        <v>11580748.17</v>
      </c>
      <c r="K205" s="150"/>
    </row>
    <row r="206" spans="1:17" s="2" customFormat="1" ht="12.75" customHeight="1" x14ac:dyDescent="0.2">
      <c r="A206" s="715"/>
      <c r="B206" s="672" t="s">
        <v>1919</v>
      </c>
      <c r="C206" s="644">
        <v>500000</v>
      </c>
      <c r="D206" s="644">
        <v>500000</v>
      </c>
      <c r="E206" s="644">
        <v>0</v>
      </c>
      <c r="F206" s="644"/>
      <c r="G206" s="1051">
        <f t="shared" si="40"/>
        <v>0</v>
      </c>
      <c r="H206" s="1055">
        <f t="shared" si="38"/>
        <v>0</v>
      </c>
      <c r="I206" s="1056">
        <v>0</v>
      </c>
      <c r="J206" s="88">
        <v>0</v>
      </c>
    </row>
    <row r="207" spans="1:17" s="2" customFormat="1" ht="12.75" customHeight="1" x14ac:dyDescent="0.2">
      <c r="A207" s="715"/>
      <c r="B207" s="693" t="s">
        <v>1920</v>
      </c>
      <c r="C207" s="652">
        <v>4250000</v>
      </c>
      <c r="D207" s="652">
        <f>4250000+(-4250000+205587.45+4111749.01)</f>
        <v>4317336.46</v>
      </c>
      <c r="E207" s="652">
        <v>4317336.46</v>
      </c>
      <c r="F207" s="652"/>
      <c r="G207" s="1051">
        <f t="shared" si="40"/>
        <v>101.58438729411765</v>
      </c>
      <c r="H207" s="1055">
        <f t="shared" si="38"/>
        <v>100</v>
      </c>
      <c r="I207" s="1056">
        <v>0</v>
      </c>
      <c r="J207" s="88">
        <v>0</v>
      </c>
    </row>
    <row r="208" spans="1:17" s="2" customFormat="1" ht="12.75" customHeight="1" x14ac:dyDescent="0.2">
      <c r="A208" s="715"/>
      <c r="B208" s="693" t="s">
        <v>1921</v>
      </c>
      <c r="C208" s="652">
        <v>4800000</v>
      </c>
      <c r="D208" s="652">
        <f>4800000+(-4800000+239760.39+4795207.68)</f>
        <v>5034968.0699999994</v>
      </c>
      <c r="E208" s="652">
        <v>5034968.07</v>
      </c>
      <c r="F208" s="652"/>
      <c r="G208" s="1051">
        <f t="shared" si="40"/>
        <v>104.89516812500001</v>
      </c>
      <c r="H208" s="1055">
        <f t="shared" si="38"/>
        <v>100.00000000000003</v>
      </c>
      <c r="I208" s="1056">
        <v>0</v>
      </c>
      <c r="J208" s="88">
        <v>0</v>
      </c>
    </row>
    <row r="209" spans="1:11" s="98" customFormat="1" ht="12.75" customHeight="1" x14ac:dyDescent="0.2">
      <c r="A209" s="663"/>
      <c r="B209" s="693" t="s">
        <v>1922</v>
      </c>
      <c r="C209" s="652">
        <v>2869843.8</v>
      </c>
      <c r="D209" s="652">
        <v>2869843.8</v>
      </c>
      <c r="E209" s="652">
        <v>0</v>
      </c>
      <c r="F209" s="652"/>
      <c r="G209" s="1051">
        <f t="shared" si="40"/>
        <v>0</v>
      </c>
      <c r="H209" s="1055">
        <f t="shared" si="38"/>
        <v>0</v>
      </c>
      <c r="I209" s="1056">
        <v>0</v>
      </c>
      <c r="J209" s="29">
        <v>0</v>
      </c>
    </row>
    <row r="210" spans="1:11" s="98" customFormat="1" ht="12.75" customHeight="1" x14ac:dyDescent="0.2">
      <c r="A210" s="663">
        <v>4222</v>
      </c>
      <c r="B210" s="634" t="s">
        <v>245</v>
      </c>
      <c r="C210" s="718">
        <f>SUM(C211:C214)</f>
        <v>500080</v>
      </c>
      <c r="D210" s="718">
        <f>SUM(D211:D214)</f>
        <v>662864</v>
      </c>
      <c r="E210" s="718">
        <v>224884</v>
      </c>
      <c r="F210" s="1077">
        <f>SUM(E211:E214)</f>
        <v>224884</v>
      </c>
      <c r="G210" s="630">
        <f t="shared" si="40"/>
        <v>44.969604863221882</v>
      </c>
      <c r="H210" s="1052">
        <f t="shared" si="38"/>
        <v>33.926114557435611</v>
      </c>
      <c r="I210" s="631">
        <f t="shared" si="41"/>
        <v>3.2007888033468817</v>
      </c>
      <c r="J210" s="29">
        <v>7025893.1100000003</v>
      </c>
    </row>
    <row r="211" spans="1:11" s="98" customFormat="1" ht="12.75" customHeight="1" x14ac:dyDescent="0.2">
      <c r="A211" s="692"/>
      <c r="B211" s="690" t="s">
        <v>1923</v>
      </c>
      <c r="C211" s="644">
        <v>0</v>
      </c>
      <c r="D211" s="644">
        <v>150000</v>
      </c>
      <c r="E211" s="644">
        <v>0</v>
      </c>
      <c r="F211" s="644"/>
      <c r="G211" s="1051">
        <v>0</v>
      </c>
      <c r="H211" s="1055">
        <f t="shared" si="38"/>
        <v>0</v>
      </c>
      <c r="I211" s="1056">
        <v>0</v>
      </c>
      <c r="J211" s="29">
        <v>0</v>
      </c>
      <c r="K211" s="150"/>
    </row>
    <row r="212" spans="1:11" s="98" customFormat="1" ht="12.75" customHeight="1" x14ac:dyDescent="0.2">
      <c r="A212" s="692"/>
      <c r="B212" s="690" t="s">
        <v>1924</v>
      </c>
      <c r="C212" s="644">
        <v>0</v>
      </c>
      <c r="D212" s="644">
        <v>22018</v>
      </c>
      <c r="E212" s="644">
        <v>22018</v>
      </c>
      <c r="F212" s="644"/>
      <c r="G212" s="1051">
        <v>0</v>
      </c>
      <c r="H212" s="1055">
        <f t="shared" si="38"/>
        <v>100</v>
      </c>
      <c r="I212" s="1056">
        <v>0</v>
      </c>
      <c r="J212" s="29">
        <v>0</v>
      </c>
      <c r="K212" s="150"/>
    </row>
    <row r="213" spans="1:11" s="98" customFormat="1" ht="12.75" customHeight="1" x14ac:dyDescent="0.2">
      <c r="A213" s="692"/>
      <c r="B213" s="643" t="s">
        <v>1912</v>
      </c>
      <c r="C213" s="644">
        <v>212100</v>
      </c>
      <c r="D213" s="644">
        <f>212100-9234</f>
        <v>202866</v>
      </c>
      <c r="E213" s="644">
        <v>202866</v>
      </c>
      <c r="F213" s="644"/>
      <c r="G213" s="1051">
        <f t="shared" si="40"/>
        <v>95.64639321074965</v>
      </c>
      <c r="H213" s="1055">
        <f t="shared" si="38"/>
        <v>100</v>
      </c>
      <c r="I213" s="1056">
        <f t="shared" si="41"/>
        <v>434.06693453948134</v>
      </c>
      <c r="J213" s="29">
        <v>46736.11</v>
      </c>
      <c r="K213" s="150"/>
    </row>
    <row r="214" spans="1:11" s="98" customFormat="1" ht="12.75" customHeight="1" x14ac:dyDescent="0.2">
      <c r="A214" s="730"/>
      <c r="B214" s="731" t="s">
        <v>1211</v>
      </c>
      <c r="C214" s="695">
        <v>287980</v>
      </c>
      <c r="D214" s="695">
        <v>287980</v>
      </c>
      <c r="E214" s="695">
        <v>0</v>
      </c>
      <c r="F214" s="695"/>
      <c r="G214" s="1051">
        <f t="shared" si="40"/>
        <v>0</v>
      </c>
      <c r="H214" s="1055">
        <f t="shared" si="38"/>
        <v>0</v>
      </c>
      <c r="I214" s="1056">
        <v>0</v>
      </c>
      <c r="J214" s="29">
        <v>0</v>
      </c>
    </row>
    <row r="215" spans="1:11" s="98" customFormat="1" ht="12.75" customHeight="1" x14ac:dyDescent="0.2">
      <c r="A215" s="732"/>
      <c r="B215" s="733"/>
      <c r="C215" s="682"/>
      <c r="D215" s="682"/>
      <c r="E215" s="682"/>
      <c r="F215" s="682"/>
      <c r="G215" s="682"/>
      <c r="H215" s="682"/>
      <c r="I215" s="583"/>
      <c r="J215" s="29"/>
    </row>
    <row r="216" spans="1:11" s="98" customFormat="1" ht="20.25" x14ac:dyDescent="0.3">
      <c r="A216" s="734"/>
      <c r="B216" s="618" t="s">
        <v>13</v>
      </c>
      <c r="C216" s="735">
        <f>SUM(C32+C64+C154+C167)</f>
        <v>828459861.11999989</v>
      </c>
      <c r="D216" s="735">
        <f>SUM(D32+D64+D154+D167)</f>
        <v>839378801.78000009</v>
      </c>
      <c r="E216" s="735">
        <v>426691226.81999999</v>
      </c>
      <c r="F216" s="1078">
        <f>SUM(E32,E64,E154,E167)</f>
        <v>426691226.81999999</v>
      </c>
      <c r="G216" s="735">
        <f t="shared" si="40"/>
        <v>51.504152083258873</v>
      </c>
      <c r="H216" s="735">
        <f t="shared" si="38"/>
        <v>50.834167590979398</v>
      </c>
      <c r="I216" s="736">
        <f t="shared" si="41"/>
        <v>99.244203495373995</v>
      </c>
      <c r="J216" s="1037">
        <v>429940703.63</v>
      </c>
    </row>
    <row r="217" spans="1:11" s="98" customFormat="1" ht="12.75" customHeight="1" x14ac:dyDescent="0.25">
      <c r="A217" s="737"/>
      <c r="B217" s="738"/>
      <c r="C217" s="739"/>
      <c r="D217" s="739"/>
      <c r="E217" s="739"/>
      <c r="F217" s="739"/>
      <c r="G217" s="739"/>
      <c r="H217" s="739"/>
      <c r="I217" s="740"/>
      <c r="J217" s="29"/>
    </row>
    <row r="218" spans="1:11" s="244" customFormat="1" ht="16.5" customHeight="1" x14ac:dyDescent="0.25">
      <c r="A218" s="621"/>
      <c r="B218" s="657" t="s">
        <v>14</v>
      </c>
      <c r="C218" s="741">
        <f>SUM(C219:C222)</f>
        <v>172017736.07999998</v>
      </c>
      <c r="D218" s="741">
        <f>SUM(D219:D222)</f>
        <v>172017736.07999998</v>
      </c>
      <c r="E218" s="741">
        <v>-50277247.380000003</v>
      </c>
      <c r="F218" s="1079">
        <f>SUM(E219:E222)</f>
        <v>-50277247.379999995</v>
      </c>
      <c r="G218" s="623">
        <f t="shared" si="40"/>
        <v>-29.227943888656721</v>
      </c>
      <c r="H218" s="623">
        <f t="shared" si="38"/>
        <v>-29.227943888656721</v>
      </c>
      <c r="I218" s="741">
        <f t="shared" si="41"/>
        <v>-114.02066179207759</v>
      </c>
      <c r="J218" s="29">
        <v>44094856.659999996</v>
      </c>
    </row>
    <row r="219" spans="1:11" ht="27.75" customHeight="1" x14ac:dyDescent="0.2">
      <c r="A219" s="660">
        <v>8115</v>
      </c>
      <c r="B219" s="743" t="s">
        <v>1212</v>
      </c>
      <c r="C219" s="637">
        <f>100000000-11315591.92</f>
        <v>88684408.079999998</v>
      </c>
      <c r="D219" s="637">
        <f>100000000-11315591.92</f>
        <v>88684408.079999998</v>
      </c>
      <c r="E219" s="637">
        <v>-44774857.469999999</v>
      </c>
      <c r="F219" s="644"/>
      <c r="G219" s="630">
        <f t="shared" si="40"/>
        <v>-50.487857380307155</v>
      </c>
      <c r="H219" s="1052">
        <f t="shared" si="38"/>
        <v>-50.487857380307155</v>
      </c>
      <c r="I219" s="639">
        <f t="shared" si="41"/>
        <v>-161.34457285078585</v>
      </c>
      <c r="J219" s="1037">
        <v>27751077.510000002</v>
      </c>
    </row>
    <row r="220" spans="1:11" x14ac:dyDescent="0.2">
      <c r="A220" s="660">
        <v>8124</v>
      </c>
      <c r="B220" s="745" t="s">
        <v>1214</v>
      </c>
      <c r="C220" s="637">
        <f>-(555556*12)</f>
        <v>-6666672</v>
      </c>
      <c r="D220" s="637">
        <f>-(555556*12)</f>
        <v>-6666672</v>
      </c>
      <c r="E220" s="637">
        <v>-3333336</v>
      </c>
      <c r="F220" s="644"/>
      <c r="G220" s="630">
        <f t="shared" si="40"/>
        <v>50</v>
      </c>
      <c r="H220" s="1052">
        <f t="shared" si="38"/>
        <v>50</v>
      </c>
      <c r="I220" s="631">
        <v>0</v>
      </c>
      <c r="J220" s="29">
        <v>0</v>
      </c>
    </row>
    <row r="221" spans="1:11" ht="12.75" customHeight="1" x14ac:dyDescent="0.2">
      <c r="A221" s="660">
        <v>8125</v>
      </c>
      <c r="B221" s="745" t="s">
        <v>1215</v>
      </c>
      <c r="C221" s="637">
        <v>90000000</v>
      </c>
      <c r="D221" s="637">
        <v>90000000</v>
      </c>
      <c r="E221" s="637">
        <v>0</v>
      </c>
      <c r="F221" s="644"/>
      <c r="G221" s="630">
        <f t="shared" si="40"/>
        <v>0</v>
      </c>
      <c r="H221" s="1052">
        <f t="shared" si="38"/>
        <v>0</v>
      </c>
      <c r="I221" s="631">
        <v>0</v>
      </c>
      <c r="J221" s="29">
        <v>0</v>
      </c>
    </row>
    <row r="222" spans="1:11" s="235" customFormat="1" ht="12.75" customHeight="1" x14ac:dyDescent="0.4">
      <c r="A222" s="663">
        <v>8901</v>
      </c>
      <c r="B222" s="634" t="s">
        <v>254</v>
      </c>
      <c r="C222" s="635">
        <f>SUM(C223:C223)</f>
        <v>0</v>
      </c>
      <c r="D222" s="635">
        <f>SUM(D223:D223)</f>
        <v>0</v>
      </c>
      <c r="E222" s="635">
        <v>-2169053.91</v>
      </c>
      <c r="F222" s="652"/>
      <c r="G222" s="630">
        <v>0</v>
      </c>
      <c r="H222" s="1052">
        <v>0</v>
      </c>
      <c r="I222" s="639">
        <f t="shared" si="41"/>
        <v>64.001640938862863</v>
      </c>
      <c r="J222" s="1037">
        <v>-3389059.84</v>
      </c>
    </row>
    <row r="223" spans="1:11" ht="12.75" customHeight="1" x14ac:dyDescent="0.2">
      <c r="A223" s="1080"/>
      <c r="B223" s="1080" t="s">
        <v>256</v>
      </c>
      <c r="C223" s="816">
        <v>0</v>
      </c>
      <c r="D223" s="816">
        <v>0</v>
      </c>
      <c r="E223" s="695">
        <v>-2169053.91</v>
      </c>
      <c r="F223" s="695"/>
      <c r="G223" s="1051">
        <v>0</v>
      </c>
      <c r="H223" s="1055">
        <v>0</v>
      </c>
      <c r="I223" s="1056">
        <f t="shared" si="41"/>
        <v>72.571975934927906</v>
      </c>
      <c r="J223" s="1037">
        <v>-2988831.27</v>
      </c>
    </row>
    <row r="224" spans="1:11" ht="12.75" customHeight="1" x14ac:dyDescent="0.2">
      <c r="A224" s="749"/>
      <c r="B224" s="700"/>
      <c r="C224" s="750"/>
      <c r="D224" s="750"/>
      <c r="E224" s="750"/>
      <c r="F224" s="750"/>
      <c r="G224" s="750"/>
      <c r="H224" s="750"/>
      <c r="I224" s="751"/>
    </row>
    <row r="225" spans="1:10" s="33" customFormat="1" ht="24" customHeight="1" x14ac:dyDescent="0.35">
      <c r="A225" s="752"/>
      <c r="B225" s="753" t="s">
        <v>15</v>
      </c>
      <c r="C225" s="754">
        <f>SUM(C216+C218)</f>
        <v>1000477597.1999998</v>
      </c>
      <c r="D225" s="754">
        <f>SUM(D216+D218)</f>
        <v>1011396537.8600001</v>
      </c>
      <c r="E225" s="754">
        <v>376413979.44</v>
      </c>
      <c r="F225" s="1048">
        <f>SUM(E216:E218)</f>
        <v>376413979.44</v>
      </c>
      <c r="G225" s="754">
        <f t="shared" si="40"/>
        <v>37.623429099607634</v>
      </c>
      <c r="H225" s="754">
        <f t="shared" si="38"/>
        <v>37.217250143692318</v>
      </c>
      <c r="I225" s="1081">
        <f t="shared" si="41"/>
        <v>79.406274754940696</v>
      </c>
      <c r="J225" s="1037">
        <v>474035560.29000002</v>
      </c>
    </row>
    <row r="226" spans="1:10" s="98" customFormat="1" ht="20.25" x14ac:dyDescent="0.3">
      <c r="A226" s="756"/>
      <c r="B226" s="757" t="s">
        <v>257</v>
      </c>
      <c r="C226" s="758"/>
      <c r="D226" s="758"/>
      <c r="E226" s="758"/>
      <c r="F226" s="758"/>
      <c r="G226" s="758"/>
      <c r="H226" s="758"/>
      <c r="I226" s="740"/>
      <c r="J226" s="29"/>
    </row>
    <row r="227" spans="1:10" s="85" customFormat="1" ht="20.25" x14ac:dyDescent="0.3">
      <c r="A227" s="759"/>
      <c r="B227" s="757" t="s">
        <v>258</v>
      </c>
      <c r="C227" s="760">
        <f>C228+C242+C270+C280</f>
        <v>75934044.200000003</v>
      </c>
      <c r="D227" s="760">
        <f>D228+D242+D270+D280</f>
        <v>76099081.200000003</v>
      </c>
      <c r="E227" s="760">
        <v>23555689.16</v>
      </c>
      <c r="F227" s="1082">
        <f>SUM(E228,E242,E270,E280)</f>
        <v>23555689.16</v>
      </c>
      <c r="G227" s="735">
        <f t="shared" si="40"/>
        <v>31.021249306776681</v>
      </c>
      <c r="H227" s="735">
        <f t="shared" si="38"/>
        <v>30.953973147313107</v>
      </c>
      <c r="I227" s="1083">
        <f t="shared" si="41"/>
        <v>108.1669365758784</v>
      </c>
      <c r="J227" s="1037">
        <v>21777162.140000001</v>
      </c>
    </row>
    <row r="228" spans="1:10" ht="15.75" x14ac:dyDescent="0.25">
      <c r="A228" s="762"/>
      <c r="B228" s="763" t="s">
        <v>259</v>
      </c>
      <c r="C228" s="764">
        <f t="shared" ref="C228:D228" si="42">SUM(C229+C234+C239)</f>
        <v>2095000</v>
      </c>
      <c r="D228" s="764">
        <f t="shared" si="42"/>
        <v>2337676</v>
      </c>
      <c r="E228" s="764">
        <v>415729.73</v>
      </c>
      <c r="F228" s="1084">
        <f>SUM(E229,E234,E239)</f>
        <v>415729.73</v>
      </c>
      <c r="G228" s="623">
        <f t="shared" si="40"/>
        <v>19.843901193317421</v>
      </c>
      <c r="H228" s="623">
        <f t="shared" si="38"/>
        <v>17.783890068598044</v>
      </c>
      <c r="I228" s="741">
        <f t="shared" si="41"/>
        <v>1964.3982647244911</v>
      </c>
      <c r="J228" s="29">
        <v>21163.21</v>
      </c>
    </row>
    <row r="229" spans="1:10" x14ac:dyDescent="0.2">
      <c r="A229" s="766">
        <v>2310</v>
      </c>
      <c r="B229" s="767" t="s">
        <v>1216</v>
      </c>
      <c r="C229" s="768">
        <f>SUM(C230:C233)</f>
        <v>315000</v>
      </c>
      <c r="D229" s="768">
        <f>SUM(D230:D233)</f>
        <v>315000</v>
      </c>
      <c r="E229" s="768">
        <v>49126</v>
      </c>
      <c r="F229" s="1085">
        <f>SUM(E230:E233)</f>
        <v>49126</v>
      </c>
      <c r="G229" s="630">
        <f t="shared" si="40"/>
        <v>15.595555555555555</v>
      </c>
      <c r="H229" s="1052">
        <f t="shared" si="38"/>
        <v>15.595555555555555</v>
      </c>
      <c r="I229" s="631">
        <v>0</v>
      </c>
      <c r="J229" s="29">
        <v>0</v>
      </c>
    </row>
    <row r="230" spans="1:10" x14ac:dyDescent="0.2">
      <c r="A230" s="769" t="s">
        <v>261</v>
      </c>
      <c r="B230" s="643" t="s">
        <v>262</v>
      </c>
      <c r="C230" s="644">
        <v>15000</v>
      </c>
      <c r="D230" s="644">
        <f>15000-13240</f>
        <v>1760</v>
      </c>
      <c r="E230" s="644">
        <v>0</v>
      </c>
      <c r="F230" s="644"/>
      <c r="G230" s="1051">
        <f t="shared" si="40"/>
        <v>0</v>
      </c>
      <c r="H230" s="1055">
        <f t="shared" si="38"/>
        <v>0</v>
      </c>
      <c r="I230" s="1056">
        <v>0</v>
      </c>
      <c r="J230" s="29">
        <v>0</v>
      </c>
    </row>
    <row r="231" spans="1:10" x14ac:dyDescent="0.2">
      <c r="A231" s="769" t="s">
        <v>263</v>
      </c>
      <c r="B231" s="643" t="s">
        <v>1217</v>
      </c>
      <c r="C231" s="644">
        <v>150000</v>
      </c>
      <c r="D231" s="644">
        <v>150000</v>
      </c>
      <c r="E231" s="644">
        <v>49126</v>
      </c>
      <c r="F231" s="644"/>
      <c r="G231" s="1051">
        <f t="shared" si="40"/>
        <v>32.750666666666667</v>
      </c>
      <c r="H231" s="1055">
        <f t="shared" si="38"/>
        <v>32.750666666666667</v>
      </c>
      <c r="I231" s="1056">
        <v>0</v>
      </c>
      <c r="J231" s="29">
        <v>0</v>
      </c>
    </row>
    <row r="232" spans="1:10" x14ac:dyDescent="0.2">
      <c r="A232" s="769" t="s">
        <v>265</v>
      </c>
      <c r="B232" s="643" t="s">
        <v>1218</v>
      </c>
      <c r="C232" s="644">
        <v>150000</v>
      </c>
      <c r="D232" s="644">
        <v>150000</v>
      </c>
      <c r="E232" s="644">
        <v>0</v>
      </c>
      <c r="F232" s="644"/>
      <c r="G232" s="1051">
        <f t="shared" si="40"/>
        <v>0</v>
      </c>
      <c r="H232" s="1055">
        <f t="shared" si="38"/>
        <v>0</v>
      </c>
      <c r="I232" s="1056">
        <v>0</v>
      </c>
      <c r="J232" s="29">
        <v>0</v>
      </c>
    </row>
    <row r="233" spans="1:10" x14ac:dyDescent="0.2">
      <c r="A233" s="769" t="s">
        <v>1925</v>
      </c>
      <c r="B233" s="643" t="s">
        <v>1926</v>
      </c>
      <c r="C233" s="644">
        <v>0</v>
      </c>
      <c r="D233" s="644">
        <v>13240</v>
      </c>
      <c r="E233" s="644">
        <v>0</v>
      </c>
      <c r="F233" s="644"/>
      <c r="G233" s="1051">
        <v>0</v>
      </c>
      <c r="H233" s="1055">
        <f t="shared" si="38"/>
        <v>0</v>
      </c>
      <c r="I233" s="1056">
        <v>0</v>
      </c>
      <c r="J233" s="29">
        <v>0</v>
      </c>
    </row>
    <row r="234" spans="1:10" x14ac:dyDescent="0.2">
      <c r="A234" s="663">
        <v>2321</v>
      </c>
      <c r="B234" s="629" t="s">
        <v>1219</v>
      </c>
      <c r="C234" s="635">
        <f>SUM(C235:C238)</f>
        <v>1600000</v>
      </c>
      <c r="D234" s="635">
        <f>SUM(D235:D238)</f>
        <v>1842676</v>
      </c>
      <c r="E234" s="635">
        <v>366603.73</v>
      </c>
      <c r="F234" s="652">
        <f>SUM(E235:E238)</f>
        <v>366603.73</v>
      </c>
      <c r="G234" s="630">
        <f t="shared" si="40"/>
        <v>22.912733124999999</v>
      </c>
      <c r="H234" s="1052">
        <f t="shared" si="38"/>
        <v>19.895181247272987</v>
      </c>
      <c r="I234" s="631">
        <f t="shared" si="41"/>
        <v>173.22599321722711</v>
      </c>
      <c r="J234" s="29">
        <v>211633.21</v>
      </c>
    </row>
    <row r="235" spans="1:10" x14ac:dyDescent="0.2">
      <c r="A235" s="769" t="s">
        <v>268</v>
      </c>
      <c r="B235" s="643" t="s">
        <v>269</v>
      </c>
      <c r="C235" s="644">
        <v>200000</v>
      </c>
      <c r="D235" s="644">
        <v>200000</v>
      </c>
      <c r="E235" s="644">
        <v>61928</v>
      </c>
      <c r="F235" s="644"/>
      <c r="G235" s="1051">
        <f t="shared" si="40"/>
        <v>30.964000000000002</v>
      </c>
      <c r="H235" s="1055">
        <f t="shared" si="38"/>
        <v>30.964000000000002</v>
      </c>
      <c r="I235" s="1056">
        <f t="shared" si="41"/>
        <v>53.186729151855118</v>
      </c>
      <c r="J235" s="29">
        <v>116435.06</v>
      </c>
    </row>
    <row r="236" spans="1:10" x14ac:dyDescent="0.2">
      <c r="A236" s="769" t="s">
        <v>270</v>
      </c>
      <c r="B236" s="770" t="s">
        <v>1927</v>
      </c>
      <c r="C236" s="644">
        <v>500000</v>
      </c>
      <c r="D236" s="644">
        <f>500000+242676</f>
        <v>742676</v>
      </c>
      <c r="E236" s="644">
        <v>241695.63</v>
      </c>
      <c r="F236" s="644"/>
      <c r="G236" s="1051">
        <f t="shared" si="40"/>
        <v>48.339126</v>
      </c>
      <c r="H236" s="1055">
        <f t="shared" ref="H236:H299" si="43">E236/D236*100</f>
        <v>32.543885893714084</v>
      </c>
      <c r="I236" s="1056">
        <f t="shared" si="41"/>
        <v>253.8868980121988</v>
      </c>
      <c r="J236" s="29">
        <v>95198.15</v>
      </c>
    </row>
    <row r="237" spans="1:10" x14ac:dyDescent="0.2">
      <c r="A237" s="769" t="s">
        <v>272</v>
      </c>
      <c r="B237" s="643" t="s">
        <v>1221</v>
      </c>
      <c r="C237" s="644">
        <v>700000</v>
      </c>
      <c r="D237" s="644">
        <v>700000</v>
      </c>
      <c r="E237" s="644">
        <v>62980.1</v>
      </c>
      <c r="F237" s="644"/>
      <c r="G237" s="1051">
        <f t="shared" si="40"/>
        <v>8.9971571428571426</v>
      </c>
      <c r="H237" s="1055">
        <f t="shared" si="43"/>
        <v>8.9971571428571426</v>
      </c>
      <c r="I237" s="1056">
        <v>0</v>
      </c>
      <c r="J237" s="29">
        <v>0</v>
      </c>
    </row>
    <row r="238" spans="1:10" s="2" customFormat="1" ht="24.75" x14ac:dyDescent="0.2">
      <c r="A238" s="769" t="s">
        <v>272</v>
      </c>
      <c r="B238" s="668" t="s">
        <v>1222</v>
      </c>
      <c r="C238" s="644">
        <v>200000</v>
      </c>
      <c r="D238" s="644">
        <v>200000</v>
      </c>
      <c r="E238" s="644">
        <v>0</v>
      </c>
      <c r="F238" s="644"/>
      <c r="G238" s="1051">
        <f t="shared" si="40"/>
        <v>0</v>
      </c>
      <c r="H238" s="1055">
        <f t="shared" si="43"/>
        <v>0</v>
      </c>
      <c r="I238" s="670">
        <v>0</v>
      </c>
      <c r="J238" s="32">
        <v>0</v>
      </c>
    </row>
    <row r="239" spans="1:10" x14ac:dyDescent="0.2">
      <c r="A239" s="660">
        <v>2333</v>
      </c>
      <c r="B239" s="626" t="s">
        <v>1223</v>
      </c>
      <c r="C239" s="771">
        <f>SUM(C240:C241)</f>
        <v>180000</v>
      </c>
      <c r="D239" s="771">
        <f>SUM(D240:D241)</f>
        <v>180000</v>
      </c>
      <c r="E239" s="771">
        <v>0</v>
      </c>
      <c r="F239" s="678">
        <f>SUM(E240:E241)</f>
        <v>0</v>
      </c>
      <c r="G239" s="630">
        <f t="shared" si="40"/>
        <v>0</v>
      </c>
      <c r="H239" s="1052">
        <f t="shared" si="43"/>
        <v>0</v>
      </c>
      <c r="I239" s="631">
        <v>0</v>
      </c>
      <c r="J239" s="29">
        <v>0</v>
      </c>
    </row>
    <row r="240" spans="1:10" x14ac:dyDescent="0.2">
      <c r="A240" s="769" t="s">
        <v>276</v>
      </c>
      <c r="B240" s="643" t="s">
        <v>1224</v>
      </c>
      <c r="C240" s="644">
        <v>80000</v>
      </c>
      <c r="D240" s="644">
        <v>80000</v>
      </c>
      <c r="E240" s="644">
        <v>0</v>
      </c>
      <c r="F240" s="644"/>
      <c r="G240" s="1051">
        <f t="shared" ref="G240:G303" si="44">E240/C240*100</f>
        <v>0</v>
      </c>
      <c r="H240" s="1055">
        <f t="shared" si="43"/>
        <v>0</v>
      </c>
      <c r="I240" s="1056">
        <v>0</v>
      </c>
      <c r="J240" s="29">
        <v>0</v>
      </c>
    </row>
    <row r="241" spans="1:10" x14ac:dyDescent="0.2">
      <c r="A241" s="769" t="s">
        <v>278</v>
      </c>
      <c r="B241" s="643" t="s">
        <v>1225</v>
      </c>
      <c r="C241" s="694">
        <v>100000</v>
      </c>
      <c r="D241" s="694">
        <v>100000</v>
      </c>
      <c r="E241" s="694">
        <v>0</v>
      </c>
      <c r="F241" s="694"/>
      <c r="G241" s="1051">
        <f t="shared" si="44"/>
        <v>0</v>
      </c>
      <c r="H241" s="1055">
        <f t="shared" si="43"/>
        <v>0</v>
      </c>
      <c r="I241" s="1056">
        <v>0</v>
      </c>
      <c r="J241" s="29">
        <v>0</v>
      </c>
    </row>
    <row r="242" spans="1:10" s="98" customFormat="1" ht="15.75" x14ac:dyDescent="0.25">
      <c r="A242" s="621"/>
      <c r="B242" s="657" t="s">
        <v>279</v>
      </c>
      <c r="C242" s="772">
        <f>SUM(C243+C255+C265)</f>
        <v>47752000</v>
      </c>
      <c r="D242" s="772">
        <f>SUM(D243+D255+D265)</f>
        <v>47114797</v>
      </c>
      <c r="E242" s="772">
        <v>15404220.73</v>
      </c>
      <c r="F242" s="1086">
        <f>SUM(E243,E255,E265)</f>
        <v>15404310.73</v>
      </c>
      <c r="G242" s="623">
        <f t="shared" si="44"/>
        <v>32.258796971854579</v>
      </c>
      <c r="H242" s="623">
        <f t="shared" si="43"/>
        <v>32.695080337499917</v>
      </c>
      <c r="I242" s="741">
        <f t="shared" si="41"/>
        <v>112.37687379085932</v>
      </c>
      <c r="J242" s="29">
        <v>13707643.050000001</v>
      </c>
    </row>
    <row r="243" spans="1:10" s="98" customFormat="1" x14ac:dyDescent="0.2">
      <c r="A243" s="699">
        <v>2212</v>
      </c>
      <c r="B243" s="767" t="s">
        <v>1226</v>
      </c>
      <c r="C243" s="661">
        <f>SUM(C245:C254)</f>
        <v>45642000</v>
      </c>
      <c r="D243" s="661">
        <f>SUM(D245:D254)</f>
        <v>45703673</v>
      </c>
      <c r="E243" s="661">
        <v>15232105</v>
      </c>
      <c r="F243" s="1059">
        <f>SUM(E244:E254)</f>
        <v>15232105</v>
      </c>
      <c r="G243" s="630">
        <f t="shared" si="44"/>
        <v>33.373000744927914</v>
      </c>
      <c r="H243" s="1052">
        <f t="shared" si="43"/>
        <v>33.32796687916089</v>
      </c>
      <c r="I243" s="631">
        <f t="shared" si="41"/>
        <v>111.93567611329678</v>
      </c>
      <c r="J243" s="29">
        <v>13607909.050000001</v>
      </c>
    </row>
    <row r="244" spans="1:10" s="2" customFormat="1" x14ac:dyDescent="0.2">
      <c r="A244" s="715"/>
      <c r="B244" s="679" t="s">
        <v>1227</v>
      </c>
      <c r="C244" s="652">
        <f>SUM(C245:C247)</f>
        <v>11467000</v>
      </c>
      <c r="D244" s="652">
        <f>SUM(D245:D247)</f>
        <v>11467000</v>
      </c>
      <c r="E244" s="652">
        <v>0</v>
      </c>
      <c r="F244" s="652">
        <f>SUM(J248:J252,E254)</f>
        <v>14212909.050000001</v>
      </c>
      <c r="G244" s="1051">
        <f t="shared" si="44"/>
        <v>0</v>
      </c>
      <c r="H244" s="1055">
        <f t="shared" si="43"/>
        <v>0</v>
      </c>
      <c r="I244" s="1056">
        <v>0</v>
      </c>
      <c r="J244" s="88">
        <v>0</v>
      </c>
    </row>
    <row r="245" spans="1:10" s="98" customFormat="1" x14ac:dyDescent="0.2">
      <c r="A245" s="769" t="s">
        <v>282</v>
      </c>
      <c r="B245" s="773" t="s">
        <v>1228</v>
      </c>
      <c r="C245" s="644">
        <v>30000</v>
      </c>
      <c r="D245" s="644">
        <v>30000</v>
      </c>
      <c r="E245" s="644">
        <v>0</v>
      </c>
      <c r="F245" s="644"/>
      <c r="G245" s="1051">
        <f t="shared" si="44"/>
        <v>0</v>
      </c>
      <c r="H245" s="1055">
        <f t="shared" si="43"/>
        <v>0</v>
      </c>
      <c r="I245" s="1056">
        <v>0</v>
      </c>
      <c r="J245" s="29">
        <v>0</v>
      </c>
    </row>
    <row r="246" spans="1:10" s="98" customFormat="1" x14ac:dyDescent="0.2">
      <c r="A246" s="769" t="s">
        <v>282</v>
      </c>
      <c r="B246" s="773" t="s">
        <v>1229</v>
      </c>
      <c r="C246" s="644">
        <v>10637000</v>
      </c>
      <c r="D246" s="644">
        <v>10637000</v>
      </c>
      <c r="E246" s="644">
        <v>0</v>
      </c>
      <c r="F246" s="644"/>
      <c r="G246" s="1051">
        <f t="shared" si="44"/>
        <v>0</v>
      </c>
      <c r="H246" s="1055">
        <f t="shared" si="43"/>
        <v>0</v>
      </c>
      <c r="I246" s="1056">
        <v>0</v>
      </c>
      <c r="J246" s="29">
        <v>0</v>
      </c>
    </row>
    <row r="247" spans="1:10" s="98" customFormat="1" x14ac:dyDescent="0.2">
      <c r="A247" s="769" t="s">
        <v>282</v>
      </c>
      <c r="B247" s="773" t="s">
        <v>1230</v>
      </c>
      <c r="C247" s="644">
        <v>800000</v>
      </c>
      <c r="D247" s="644">
        <v>800000</v>
      </c>
      <c r="E247" s="644">
        <v>0</v>
      </c>
      <c r="F247" s="644"/>
      <c r="G247" s="1051">
        <f t="shared" si="44"/>
        <v>0</v>
      </c>
      <c r="H247" s="1055">
        <f t="shared" si="43"/>
        <v>0</v>
      </c>
      <c r="I247" s="1056">
        <v>0</v>
      </c>
      <c r="J247" s="29">
        <v>0</v>
      </c>
    </row>
    <row r="248" spans="1:10" s="98" customFormat="1" x14ac:dyDescent="0.2">
      <c r="A248" s="769" t="s">
        <v>286</v>
      </c>
      <c r="B248" s="643" t="s">
        <v>1231</v>
      </c>
      <c r="C248" s="644">
        <v>4440000</v>
      </c>
      <c r="D248" s="644">
        <v>4440000</v>
      </c>
      <c r="E248" s="644">
        <v>2220000</v>
      </c>
      <c r="F248" s="644">
        <f>SUM(E248:E249)</f>
        <v>14085000</v>
      </c>
      <c r="G248" s="1051">
        <f t="shared" si="44"/>
        <v>50</v>
      </c>
      <c r="H248" s="1055">
        <f t="shared" si="43"/>
        <v>50</v>
      </c>
      <c r="I248" s="1056">
        <f t="shared" si="41"/>
        <v>82.403938165866506</v>
      </c>
      <c r="J248" s="29">
        <v>2694046</v>
      </c>
    </row>
    <row r="249" spans="1:10" s="98" customFormat="1" x14ac:dyDescent="0.2">
      <c r="A249" s="769" t="s">
        <v>286</v>
      </c>
      <c r="B249" s="643" t="s">
        <v>1232</v>
      </c>
      <c r="C249" s="644">
        <v>23730000</v>
      </c>
      <c r="D249" s="644">
        <v>23730000</v>
      </c>
      <c r="E249" s="644">
        <v>11865000</v>
      </c>
      <c r="F249" s="644"/>
      <c r="G249" s="1051">
        <f t="shared" si="44"/>
        <v>50</v>
      </c>
      <c r="H249" s="1055">
        <f t="shared" si="43"/>
        <v>50</v>
      </c>
      <c r="I249" s="1056">
        <f t="shared" si="41"/>
        <v>110.42896137024611</v>
      </c>
      <c r="J249" s="29">
        <v>10744464</v>
      </c>
    </row>
    <row r="250" spans="1:10" s="98" customFormat="1" x14ac:dyDescent="0.2">
      <c r="A250" s="769" t="s">
        <v>291</v>
      </c>
      <c r="B250" s="643" t="s">
        <v>1233</v>
      </c>
      <c r="C250" s="644">
        <v>2000000</v>
      </c>
      <c r="D250" s="644">
        <f>2000000+61673</f>
        <v>2061673</v>
      </c>
      <c r="E250" s="644">
        <v>0</v>
      </c>
      <c r="F250" s="644"/>
      <c r="G250" s="1051">
        <f t="shared" si="44"/>
        <v>0</v>
      </c>
      <c r="H250" s="1055">
        <f t="shared" si="43"/>
        <v>0</v>
      </c>
      <c r="I250" s="1056">
        <f t="shared" si="41"/>
        <v>0</v>
      </c>
      <c r="J250" s="29">
        <v>169399.05</v>
      </c>
    </row>
    <row r="251" spans="1:10" s="98" customFormat="1" x14ac:dyDescent="0.2">
      <c r="A251" s="769" t="s">
        <v>291</v>
      </c>
      <c r="B251" s="643" t="s">
        <v>1234</v>
      </c>
      <c r="C251" s="644">
        <v>1000000</v>
      </c>
      <c r="D251" s="644">
        <v>1000000</v>
      </c>
      <c r="E251" s="644">
        <v>74536</v>
      </c>
      <c r="F251" s="644"/>
      <c r="G251" s="1051">
        <f t="shared" si="44"/>
        <v>7.4536000000000007</v>
      </c>
      <c r="H251" s="1055">
        <f t="shared" si="43"/>
        <v>7.4536000000000007</v>
      </c>
      <c r="I251" s="1056">
        <v>0</v>
      </c>
      <c r="J251" s="29">
        <v>0</v>
      </c>
    </row>
    <row r="252" spans="1:10" s="98" customFormat="1" x14ac:dyDescent="0.2">
      <c r="A252" s="769" t="s">
        <v>293</v>
      </c>
      <c r="B252" s="643" t="s">
        <v>1235</v>
      </c>
      <c r="C252" s="644">
        <v>2050000</v>
      </c>
      <c r="D252" s="644">
        <v>2050000</v>
      </c>
      <c r="E252" s="644">
        <v>0</v>
      </c>
      <c r="F252" s="644"/>
      <c r="G252" s="1051">
        <f t="shared" si="44"/>
        <v>0</v>
      </c>
      <c r="H252" s="1055">
        <f t="shared" si="43"/>
        <v>0</v>
      </c>
      <c r="I252" s="1056">
        <v>0</v>
      </c>
      <c r="J252" s="29">
        <v>0</v>
      </c>
    </row>
    <row r="253" spans="1:10" s="98" customFormat="1" x14ac:dyDescent="0.2">
      <c r="A253" s="769" t="s">
        <v>293</v>
      </c>
      <c r="B253" s="643" t="s">
        <v>1236</v>
      </c>
      <c r="C253" s="644">
        <v>350000</v>
      </c>
      <c r="D253" s="644">
        <v>350000</v>
      </c>
      <c r="E253" s="644">
        <v>467569</v>
      </c>
      <c r="F253" s="644"/>
      <c r="G253" s="1051">
        <f t="shared" si="44"/>
        <v>133.59114285714287</v>
      </c>
      <c r="H253" s="1055">
        <f t="shared" si="43"/>
        <v>133.59114285714287</v>
      </c>
      <c r="I253" s="1056">
        <v>0</v>
      </c>
      <c r="J253" s="29">
        <v>0</v>
      </c>
    </row>
    <row r="254" spans="1:10" s="98" customFormat="1" x14ac:dyDescent="0.2">
      <c r="A254" s="769" t="s">
        <v>1237</v>
      </c>
      <c r="B254" s="643" t="s">
        <v>1238</v>
      </c>
      <c r="C254" s="644">
        <v>605000</v>
      </c>
      <c r="D254" s="644">
        <v>605000</v>
      </c>
      <c r="E254" s="644">
        <v>605000</v>
      </c>
      <c r="F254" s="644"/>
      <c r="G254" s="1051">
        <f t="shared" si="44"/>
        <v>100</v>
      </c>
      <c r="H254" s="1055">
        <f t="shared" si="43"/>
        <v>100</v>
      </c>
      <c r="I254" s="1056">
        <v>0</v>
      </c>
      <c r="J254" s="29">
        <v>0</v>
      </c>
    </row>
    <row r="255" spans="1:10" s="98" customFormat="1" x14ac:dyDescent="0.2">
      <c r="A255" s="663">
        <v>2219</v>
      </c>
      <c r="B255" s="629" t="s">
        <v>1241</v>
      </c>
      <c r="C255" s="635">
        <f>SUM(C257+C258+C259+C261+C262+C263+C260+C264)</f>
        <v>1960000</v>
      </c>
      <c r="D255" s="635">
        <f>SUM(D257+D258+D259+D261+D262+D263+D260+D264)</f>
        <v>1260000</v>
      </c>
      <c r="E255" s="635">
        <v>127330</v>
      </c>
      <c r="F255" s="652">
        <f>SUM(E256,E262:E264)</f>
        <v>127330</v>
      </c>
      <c r="G255" s="630">
        <f t="shared" si="44"/>
        <v>6.496428571428571</v>
      </c>
      <c r="H255" s="1052">
        <f t="shared" si="43"/>
        <v>10.105555555555554</v>
      </c>
      <c r="I255" s="631">
        <f t="shared" si="41"/>
        <v>127.66960113902981</v>
      </c>
      <c r="J255" s="29">
        <v>99734</v>
      </c>
    </row>
    <row r="256" spans="1:10" s="98" customFormat="1" x14ac:dyDescent="0.2">
      <c r="A256" s="769"/>
      <c r="B256" s="679" t="s">
        <v>281</v>
      </c>
      <c r="C256" s="652">
        <f>SUM(C257:C261)</f>
        <v>1300000</v>
      </c>
      <c r="D256" s="652">
        <f>SUM(D257:D261)</f>
        <v>600000</v>
      </c>
      <c r="E256" s="652">
        <v>0</v>
      </c>
      <c r="F256" s="652">
        <f>SUM(E257:E261)</f>
        <v>0</v>
      </c>
      <c r="G256" s="1051">
        <f t="shared" si="44"/>
        <v>0</v>
      </c>
      <c r="H256" s="1055">
        <f t="shared" si="43"/>
        <v>0</v>
      </c>
      <c r="I256" s="1056">
        <f t="shared" si="41"/>
        <v>0</v>
      </c>
      <c r="J256" s="29">
        <v>99734</v>
      </c>
    </row>
    <row r="257" spans="1:10" s="98" customFormat="1" x14ac:dyDescent="0.2">
      <c r="A257" s="769" t="s">
        <v>1246</v>
      </c>
      <c r="B257" s="643" t="s">
        <v>1247</v>
      </c>
      <c r="C257" s="644">
        <v>0</v>
      </c>
      <c r="D257" s="644">
        <v>0</v>
      </c>
      <c r="E257" s="644">
        <v>0</v>
      </c>
      <c r="F257" s="644"/>
      <c r="G257" s="1051">
        <v>0</v>
      </c>
      <c r="H257" s="1055">
        <v>0</v>
      </c>
      <c r="I257" s="1056">
        <v>0</v>
      </c>
      <c r="J257" s="29">
        <v>0</v>
      </c>
    </row>
    <row r="258" spans="1:10" s="98" customFormat="1" x14ac:dyDescent="0.2">
      <c r="A258" s="769" t="s">
        <v>474</v>
      </c>
      <c r="B258" s="643" t="s">
        <v>1248</v>
      </c>
      <c r="C258" s="644">
        <v>700000</v>
      </c>
      <c r="D258" s="644">
        <f>700000-700000</f>
        <v>0</v>
      </c>
      <c r="E258" s="644">
        <v>0</v>
      </c>
      <c r="F258" s="644"/>
      <c r="G258" s="1051">
        <f t="shared" si="44"/>
        <v>0</v>
      </c>
      <c r="H258" s="1055">
        <v>0</v>
      </c>
      <c r="I258" s="1056">
        <v>0</v>
      </c>
      <c r="J258" s="29">
        <v>0</v>
      </c>
    </row>
    <row r="259" spans="1:10" s="98" customFormat="1" x14ac:dyDescent="0.2">
      <c r="A259" s="769" t="s">
        <v>1249</v>
      </c>
      <c r="B259" s="643" t="s">
        <v>1250</v>
      </c>
      <c r="C259" s="644">
        <v>0</v>
      </c>
      <c r="D259" s="644">
        <v>0</v>
      </c>
      <c r="E259" s="644">
        <v>0</v>
      </c>
      <c r="F259" s="644"/>
      <c r="G259" s="1051">
        <v>0</v>
      </c>
      <c r="H259" s="1055">
        <v>0</v>
      </c>
      <c r="I259" s="1056">
        <f t="shared" ref="I259:I318" si="45">E259/J259*100</f>
        <v>0</v>
      </c>
      <c r="J259" s="29">
        <v>46986</v>
      </c>
    </row>
    <row r="260" spans="1:10" s="98" customFormat="1" x14ac:dyDescent="0.2">
      <c r="A260" s="769" t="s">
        <v>1251</v>
      </c>
      <c r="B260" s="643" t="s">
        <v>1252</v>
      </c>
      <c r="C260" s="644">
        <v>500000</v>
      </c>
      <c r="D260" s="644">
        <v>500000</v>
      </c>
      <c r="E260" s="644">
        <v>0</v>
      </c>
      <c r="F260" s="644"/>
      <c r="G260" s="1051">
        <f t="shared" si="44"/>
        <v>0</v>
      </c>
      <c r="H260" s="1055">
        <f t="shared" si="43"/>
        <v>0</v>
      </c>
      <c r="I260" s="1056">
        <v>0</v>
      </c>
      <c r="J260" s="29">
        <v>0</v>
      </c>
    </row>
    <row r="261" spans="1:10" s="98" customFormat="1" x14ac:dyDescent="0.2">
      <c r="A261" s="769" t="s">
        <v>498</v>
      </c>
      <c r="B261" s="643" t="s">
        <v>1253</v>
      </c>
      <c r="C261" s="644">
        <v>100000</v>
      </c>
      <c r="D261" s="644">
        <v>100000</v>
      </c>
      <c r="E261" s="644">
        <v>0</v>
      </c>
      <c r="F261" s="644"/>
      <c r="G261" s="1051">
        <f t="shared" si="44"/>
        <v>0</v>
      </c>
      <c r="H261" s="1055">
        <f t="shared" si="43"/>
        <v>0</v>
      </c>
      <c r="I261" s="1056">
        <f t="shared" si="45"/>
        <v>0</v>
      </c>
      <c r="J261" s="29">
        <v>50748</v>
      </c>
    </row>
    <row r="262" spans="1:10" s="98" customFormat="1" x14ac:dyDescent="0.2">
      <c r="A262" s="769" t="s">
        <v>1254</v>
      </c>
      <c r="B262" s="643" t="s">
        <v>1255</v>
      </c>
      <c r="C262" s="644">
        <v>10000</v>
      </c>
      <c r="D262" s="644">
        <v>10000</v>
      </c>
      <c r="E262" s="644">
        <v>0</v>
      </c>
      <c r="F262" s="644"/>
      <c r="G262" s="1051">
        <f t="shared" si="44"/>
        <v>0</v>
      </c>
      <c r="H262" s="1055">
        <f t="shared" si="43"/>
        <v>0</v>
      </c>
      <c r="I262" s="1056">
        <v>0</v>
      </c>
      <c r="J262" s="29">
        <v>0</v>
      </c>
    </row>
    <row r="263" spans="1:10" s="98" customFormat="1" x14ac:dyDescent="0.2">
      <c r="A263" s="774" t="s">
        <v>299</v>
      </c>
      <c r="B263" s="690" t="s">
        <v>1256</v>
      </c>
      <c r="C263" s="644">
        <v>100000</v>
      </c>
      <c r="D263" s="644">
        <v>100000</v>
      </c>
      <c r="E263" s="644">
        <v>40000</v>
      </c>
      <c r="F263" s="644"/>
      <c r="G263" s="1051">
        <f t="shared" si="44"/>
        <v>40</v>
      </c>
      <c r="H263" s="1055">
        <f t="shared" si="43"/>
        <v>40</v>
      </c>
      <c r="I263" s="1056">
        <v>0</v>
      </c>
      <c r="J263" s="29">
        <v>0</v>
      </c>
    </row>
    <row r="264" spans="1:10" s="98" customFormat="1" x14ac:dyDescent="0.2">
      <c r="A264" s="774" t="s">
        <v>301</v>
      </c>
      <c r="B264" s="690" t="s">
        <v>1257</v>
      </c>
      <c r="C264" s="644">
        <v>550000</v>
      </c>
      <c r="D264" s="644">
        <v>550000</v>
      </c>
      <c r="E264" s="644">
        <v>87330</v>
      </c>
      <c r="F264" s="644"/>
      <c r="G264" s="1051">
        <f t="shared" si="44"/>
        <v>15.878181818181819</v>
      </c>
      <c r="H264" s="1055">
        <f t="shared" si="43"/>
        <v>15.878181818181819</v>
      </c>
      <c r="I264" s="1056">
        <v>0</v>
      </c>
      <c r="J264" s="29">
        <v>0</v>
      </c>
    </row>
    <row r="265" spans="1:10" x14ac:dyDescent="0.2">
      <c r="A265" s="663">
        <v>2221</v>
      </c>
      <c r="B265" s="629" t="s">
        <v>1258</v>
      </c>
      <c r="C265" s="635">
        <f>SUM(C267:C269)</f>
        <v>150000</v>
      </c>
      <c r="D265" s="635">
        <f>SUM(D267:D269)</f>
        <v>151124</v>
      </c>
      <c r="E265" s="635">
        <v>44875.73</v>
      </c>
      <c r="F265" s="652">
        <f>SUM(E267:E269)</f>
        <v>44785.729999999996</v>
      </c>
      <c r="G265" s="630">
        <f t="shared" si="44"/>
        <v>29.917153333333335</v>
      </c>
      <c r="H265" s="1052">
        <f t="shared" si="43"/>
        <v>29.69464148646145</v>
      </c>
      <c r="I265" s="631">
        <v>0</v>
      </c>
      <c r="J265" s="29">
        <v>0</v>
      </c>
    </row>
    <row r="266" spans="1:10" s="2" customFormat="1" x14ac:dyDescent="0.2">
      <c r="A266" s="715"/>
      <c r="B266" s="679" t="s">
        <v>281</v>
      </c>
      <c r="C266" s="652">
        <v>0</v>
      </c>
      <c r="D266" s="652">
        <f>SUM(D267)</f>
        <v>29498.59</v>
      </c>
      <c r="E266" s="652">
        <v>29498.59</v>
      </c>
      <c r="F266" s="652"/>
      <c r="G266" s="1051">
        <v>0</v>
      </c>
      <c r="H266" s="1055">
        <f t="shared" si="43"/>
        <v>100</v>
      </c>
      <c r="I266" s="1056">
        <v>0</v>
      </c>
      <c r="J266" s="88">
        <v>0</v>
      </c>
    </row>
    <row r="267" spans="1:10" x14ac:dyDescent="0.2">
      <c r="A267" s="769" t="s">
        <v>1259</v>
      </c>
      <c r="B267" s="672" t="s">
        <v>1928</v>
      </c>
      <c r="C267" s="644">
        <v>0</v>
      </c>
      <c r="D267" s="644">
        <v>29498.59</v>
      </c>
      <c r="E267" s="644">
        <v>29498.59</v>
      </c>
      <c r="F267" s="644"/>
      <c r="G267" s="1051">
        <v>0</v>
      </c>
      <c r="H267" s="1055">
        <f t="shared" si="43"/>
        <v>100</v>
      </c>
      <c r="I267" s="1056">
        <v>0</v>
      </c>
      <c r="J267" s="29">
        <v>0</v>
      </c>
    </row>
    <row r="268" spans="1:10" x14ac:dyDescent="0.2">
      <c r="A268" s="775" t="s">
        <v>308</v>
      </c>
      <c r="B268" s="679" t="s">
        <v>1929</v>
      </c>
      <c r="C268" s="644">
        <v>60000</v>
      </c>
      <c r="D268" s="644">
        <f>60000-29498.59</f>
        <v>30501.41</v>
      </c>
      <c r="E268" s="644">
        <v>0</v>
      </c>
      <c r="F268" s="644"/>
      <c r="G268" s="1051">
        <f t="shared" si="44"/>
        <v>0</v>
      </c>
      <c r="H268" s="1055">
        <f t="shared" si="43"/>
        <v>0</v>
      </c>
      <c r="I268" s="1056">
        <v>0</v>
      </c>
      <c r="J268" s="29">
        <v>0</v>
      </c>
    </row>
    <row r="269" spans="1:10" x14ac:dyDescent="0.2">
      <c r="A269" s="775" t="s">
        <v>310</v>
      </c>
      <c r="B269" s="776" t="s">
        <v>1930</v>
      </c>
      <c r="C269" s="644">
        <v>90000</v>
      </c>
      <c r="D269" s="644">
        <f>90000+1124</f>
        <v>91124</v>
      </c>
      <c r="E269" s="644">
        <v>15287.14</v>
      </c>
      <c r="F269" s="644"/>
      <c r="G269" s="1051">
        <f t="shared" si="44"/>
        <v>16.985711111111108</v>
      </c>
      <c r="H269" s="1055">
        <f t="shared" si="43"/>
        <v>16.77619507484307</v>
      </c>
      <c r="I269" s="1056">
        <v>0</v>
      </c>
      <c r="J269" s="29">
        <v>0</v>
      </c>
    </row>
    <row r="270" spans="1:10" ht="15.75" x14ac:dyDescent="0.25">
      <c r="A270" s="621"/>
      <c r="B270" s="657" t="s">
        <v>312</v>
      </c>
      <c r="C270" s="777">
        <f t="shared" ref="C270:D270" si="46">C271</f>
        <v>1050000</v>
      </c>
      <c r="D270" s="777">
        <f t="shared" si="46"/>
        <v>1050000</v>
      </c>
      <c r="E270" s="777">
        <v>93317</v>
      </c>
      <c r="F270" s="1087">
        <f>SUM(E272:E279)</f>
        <v>93317</v>
      </c>
      <c r="G270" s="623">
        <f t="shared" si="44"/>
        <v>8.8873333333333324</v>
      </c>
      <c r="H270" s="623">
        <f t="shared" si="43"/>
        <v>8.8873333333333324</v>
      </c>
      <c r="I270" s="741">
        <f t="shared" si="45"/>
        <v>5.7570321088861771</v>
      </c>
      <c r="J270" s="29">
        <v>1620922</v>
      </c>
    </row>
    <row r="271" spans="1:10" x14ac:dyDescent="0.2">
      <c r="A271" s="766">
        <v>3639</v>
      </c>
      <c r="B271" s="767" t="s">
        <v>313</v>
      </c>
      <c r="C271" s="661">
        <f>SUM(C272:C279)</f>
        <v>1050000</v>
      </c>
      <c r="D271" s="661">
        <f>SUM(D272:D279)</f>
        <v>1050000</v>
      </c>
      <c r="E271" s="661">
        <v>93317</v>
      </c>
      <c r="F271" s="1059"/>
      <c r="G271" s="630">
        <f t="shared" si="44"/>
        <v>8.8873333333333324</v>
      </c>
      <c r="H271" s="1052">
        <f t="shared" si="43"/>
        <v>8.8873333333333324</v>
      </c>
      <c r="I271" s="631">
        <f t="shared" si="45"/>
        <v>5.7570321088861771</v>
      </c>
      <c r="J271" s="29">
        <v>1620922</v>
      </c>
    </row>
    <row r="272" spans="1:10" x14ac:dyDescent="0.2">
      <c r="A272" s="769" t="s">
        <v>314</v>
      </c>
      <c r="B272" s="672" t="s">
        <v>1263</v>
      </c>
      <c r="C272" s="644">
        <v>500000</v>
      </c>
      <c r="D272" s="644">
        <v>500000</v>
      </c>
      <c r="E272" s="644">
        <v>10290</v>
      </c>
      <c r="F272" s="644"/>
      <c r="G272" s="1051">
        <f t="shared" si="44"/>
        <v>2.0580000000000003</v>
      </c>
      <c r="H272" s="1055">
        <f t="shared" si="43"/>
        <v>2.0580000000000003</v>
      </c>
      <c r="I272" s="1056">
        <f t="shared" si="45"/>
        <v>0.67820069204152256</v>
      </c>
      <c r="J272" s="29">
        <v>1517250</v>
      </c>
    </row>
    <row r="273" spans="1:10" x14ac:dyDescent="0.2">
      <c r="A273" s="769" t="s">
        <v>316</v>
      </c>
      <c r="B273" s="643" t="s">
        <v>1264</v>
      </c>
      <c r="C273" s="644">
        <v>50000</v>
      </c>
      <c r="D273" s="644">
        <v>50000</v>
      </c>
      <c r="E273" s="644">
        <v>3025</v>
      </c>
      <c r="F273" s="644"/>
      <c r="G273" s="1051">
        <f t="shared" si="44"/>
        <v>6.05</v>
      </c>
      <c r="H273" s="1055">
        <f t="shared" si="43"/>
        <v>6.05</v>
      </c>
      <c r="I273" s="1056">
        <v>0</v>
      </c>
      <c r="J273" s="29">
        <v>0</v>
      </c>
    </row>
    <row r="274" spans="1:10" x14ac:dyDescent="0.2">
      <c r="A274" s="778" t="s">
        <v>316</v>
      </c>
      <c r="B274" s="690" t="s">
        <v>1265</v>
      </c>
      <c r="C274" s="644">
        <v>50000</v>
      </c>
      <c r="D274" s="644">
        <v>50000</v>
      </c>
      <c r="E274" s="644">
        <v>0</v>
      </c>
      <c r="F274" s="644"/>
      <c r="G274" s="1051">
        <f t="shared" si="44"/>
        <v>0</v>
      </c>
      <c r="H274" s="1055">
        <f t="shared" si="43"/>
        <v>0</v>
      </c>
      <c r="I274" s="1056">
        <v>0</v>
      </c>
      <c r="J274" s="29">
        <v>0</v>
      </c>
    </row>
    <row r="275" spans="1:10" x14ac:dyDescent="0.2">
      <c r="A275" s="769" t="s">
        <v>325</v>
      </c>
      <c r="B275" s="643" t="s">
        <v>1266</v>
      </c>
      <c r="C275" s="644">
        <v>50000</v>
      </c>
      <c r="D275" s="644">
        <v>50000</v>
      </c>
      <c r="E275" s="644">
        <v>0</v>
      </c>
      <c r="F275" s="644"/>
      <c r="G275" s="1051">
        <f t="shared" si="44"/>
        <v>0</v>
      </c>
      <c r="H275" s="1055">
        <f t="shared" si="43"/>
        <v>0</v>
      </c>
      <c r="I275" s="1056">
        <v>0</v>
      </c>
      <c r="J275" s="29">
        <v>0</v>
      </c>
    </row>
    <row r="276" spans="1:10" x14ac:dyDescent="0.2">
      <c r="A276" s="769" t="s">
        <v>321</v>
      </c>
      <c r="B276" s="643" t="s">
        <v>1267</v>
      </c>
      <c r="C276" s="644">
        <v>150000</v>
      </c>
      <c r="D276" s="644">
        <v>150000</v>
      </c>
      <c r="E276" s="644">
        <v>47335</v>
      </c>
      <c r="F276" s="644"/>
      <c r="G276" s="1051">
        <f t="shared" si="44"/>
        <v>31.556666666666665</v>
      </c>
      <c r="H276" s="1055">
        <f t="shared" si="43"/>
        <v>31.556666666666665</v>
      </c>
      <c r="I276" s="1056">
        <f t="shared" si="45"/>
        <v>157.99399198931908</v>
      </c>
      <c r="J276" s="29">
        <v>29960</v>
      </c>
    </row>
    <row r="277" spans="1:10" x14ac:dyDescent="0.2">
      <c r="A277" s="769" t="s">
        <v>323</v>
      </c>
      <c r="B277" s="643" t="s">
        <v>1268</v>
      </c>
      <c r="C277" s="644">
        <v>210000</v>
      </c>
      <c r="D277" s="644">
        <v>210000</v>
      </c>
      <c r="E277" s="644">
        <v>15452</v>
      </c>
      <c r="F277" s="644"/>
      <c r="G277" s="1051">
        <f t="shared" si="44"/>
        <v>7.3580952380952382</v>
      </c>
      <c r="H277" s="1055">
        <f t="shared" si="43"/>
        <v>7.3580952380952382</v>
      </c>
      <c r="I277" s="1056">
        <f t="shared" si="45"/>
        <v>27.353029686144698</v>
      </c>
      <c r="J277" s="29">
        <v>56491</v>
      </c>
    </row>
    <row r="278" spans="1:10" x14ac:dyDescent="0.2">
      <c r="A278" s="775" t="s">
        <v>331</v>
      </c>
      <c r="B278" s="643" t="s">
        <v>1269</v>
      </c>
      <c r="C278" s="644">
        <v>10000</v>
      </c>
      <c r="D278" s="644">
        <v>10000</v>
      </c>
      <c r="E278" s="644">
        <v>0</v>
      </c>
      <c r="F278" s="644"/>
      <c r="G278" s="1051">
        <f t="shared" si="44"/>
        <v>0</v>
      </c>
      <c r="H278" s="1055">
        <f t="shared" si="43"/>
        <v>0</v>
      </c>
      <c r="I278" s="1056">
        <f t="shared" si="45"/>
        <v>0</v>
      </c>
      <c r="J278" s="29">
        <v>10000</v>
      </c>
    </row>
    <row r="279" spans="1:10" x14ac:dyDescent="0.2">
      <c r="A279" s="775" t="s">
        <v>333</v>
      </c>
      <c r="B279" s="779" t="s">
        <v>1270</v>
      </c>
      <c r="C279" s="644">
        <v>30000</v>
      </c>
      <c r="D279" s="644">
        <v>30000</v>
      </c>
      <c r="E279" s="644">
        <v>17215</v>
      </c>
      <c r="F279" s="644"/>
      <c r="G279" s="1051">
        <f t="shared" si="44"/>
        <v>57.383333333333333</v>
      </c>
      <c r="H279" s="1055">
        <f t="shared" si="43"/>
        <v>57.383333333333333</v>
      </c>
      <c r="I279" s="1056">
        <f t="shared" si="45"/>
        <v>238.40188339565157</v>
      </c>
      <c r="J279" s="29">
        <v>7221</v>
      </c>
    </row>
    <row r="280" spans="1:10" ht="15.75" x14ac:dyDescent="0.25">
      <c r="A280" s="621"/>
      <c r="B280" s="657" t="s">
        <v>335</v>
      </c>
      <c r="C280" s="780">
        <f>SUM(C281,C285,C287,C294,C303,C318,C325,C327,C330)</f>
        <v>25037044.199999999</v>
      </c>
      <c r="D280" s="780">
        <f>SUM(D281,D285,D287,D294,D303,D318,D325,D327,D330)</f>
        <v>25596608.199999999</v>
      </c>
      <c r="E280" s="780">
        <v>7642421.7000000002</v>
      </c>
      <c r="F280" s="1088">
        <f>SUM(E281,E285,E294,E303,E318,E325,E327,E330)</f>
        <v>6851245.9400000004</v>
      </c>
      <c r="G280" s="623">
        <f t="shared" si="44"/>
        <v>30.524456636937998</v>
      </c>
      <c r="H280" s="623">
        <f t="shared" si="43"/>
        <v>29.857165606808799</v>
      </c>
      <c r="I280" s="741">
        <f t="shared" si="45"/>
        <v>122.53432675002121</v>
      </c>
      <c r="J280" s="29">
        <v>6236963.8799999999</v>
      </c>
    </row>
    <row r="281" spans="1:10" x14ac:dyDescent="0.2">
      <c r="A281" s="766">
        <v>3341</v>
      </c>
      <c r="B281" s="767" t="s">
        <v>1271</v>
      </c>
      <c r="C281" s="687">
        <f>SUM(C282:C284)</f>
        <v>225000</v>
      </c>
      <c r="D281" s="687">
        <f>SUM(D282:D284)</f>
        <v>225000</v>
      </c>
      <c r="E281" s="687">
        <v>22155.68</v>
      </c>
      <c r="F281" s="1089">
        <f>SUM(E282:E284)</f>
        <v>22155.68</v>
      </c>
      <c r="G281" s="630">
        <f t="shared" si="44"/>
        <v>9.84696888888889</v>
      </c>
      <c r="H281" s="1052">
        <f t="shared" si="43"/>
        <v>9.84696888888889</v>
      </c>
      <c r="I281" s="631">
        <f t="shared" si="45"/>
        <v>489.91519895629477</v>
      </c>
      <c r="J281" s="29">
        <v>4522.3500000000004</v>
      </c>
    </row>
    <row r="282" spans="1:10" x14ac:dyDescent="0.2">
      <c r="A282" s="769" t="s">
        <v>337</v>
      </c>
      <c r="B282" s="672" t="s">
        <v>338</v>
      </c>
      <c r="C282" s="644">
        <v>145000</v>
      </c>
      <c r="D282" s="644">
        <v>145000</v>
      </c>
      <c r="E282" s="644">
        <v>18280.68</v>
      </c>
      <c r="F282" s="644"/>
      <c r="G282" s="1051">
        <f t="shared" si="44"/>
        <v>12.607365517241378</v>
      </c>
      <c r="H282" s="1055">
        <f t="shared" si="43"/>
        <v>12.607365517241378</v>
      </c>
      <c r="I282" s="1056">
        <f t="shared" si="45"/>
        <v>2823.9252336448599</v>
      </c>
      <c r="J282" s="29">
        <v>647.35</v>
      </c>
    </row>
    <row r="283" spans="1:10" x14ac:dyDescent="0.2">
      <c r="A283" s="769" t="s">
        <v>339</v>
      </c>
      <c r="B283" s="672" t="s">
        <v>1272</v>
      </c>
      <c r="C283" s="644">
        <v>5000</v>
      </c>
      <c r="D283" s="644">
        <v>5000</v>
      </c>
      <c r="E283" s="644">
        <v>3875</v>
      </c>
      <c r="F283" s="644"/>
      <c r="G283" s="1051">
        <f t="shared" si="44"/>
        <v>77.5</v>
      </c>
      <c r="H283" s="1055">
        <f t="shared" si="43"/>
        <v>77.5</v>
      </c>
      <c r="I283" s="1056">
        <f t="shared" si="45"/>
        <v>100</v>
      </c>
      <c r="J283" s="29">
        <v>3875</v>
      </c>
    </row>
    <row r="284" spans="1:10" x14ac:dyDescent="0.2">
      <c r="A284" s="769" t="s">
        <v>1273</v>
      </c>
      <c r="B284" s="672" t="s">
        <v>1274</v>
      </c>
      <c r="C284" s="644">
        <v>75000</v>
      </c>
      <c r="D284" s="644">
        <v>75000</v>
      </c>
      <c r="E284" s="644">
        <v>0</v>
      </c>
      <c r="F284" s="644"/>
      <c r="G284" s="1051">
        <f t="shared" si="44"/>
        <v>0</v>
      </c>
      <c r="H284" s="1055">
        <f t="shared" si="43"/>
        <v>0</v>
      </c>
      <c r="I284" s="1056">
        <v>0</v>
      </c>
      <c r="J284" s="29">
        <v>0</v>
      </c>
    </row>
    <row r="285" spans="1:10" x14ac:dyDescent="0.2">
      <c r="A285" s="660">
        <v>3412</v>
      </c>
      <c r="B285" s="629" t="s">
        <v>1931</v>
      </c>
      <c r="C285" s="635">
        <f>SUM(C286)</f>
        <v>0</v>
      </c>
      <c r="D285" s="635">
        <f>SUM(D286)</f>
        <v>494029.69</v>
      </c>
      <c r="E285" s="635">
        <v>0</v>
      </c>
      <c r="F285" s="652"/>
      <c r="G285" s="630">
        <v>0</v>
      </c>
      <c r="H285" s="1052">
        <f t="shared" si="43"/>
        <v>0</v>
      </c>
      <c r="I285" s="631">
        <v>0</v>
      </c>
      <c r="J285" s="29">
        <v>0</v>
      </c>
    </row>
    <row r="286" spans="1:10" x14ac:dyDescent="0.2">
      <c r="A286" s="769" t="s">
        <v>1932</v>
      </c>
      <c r="B286" s="782" t="s">
        <v>1933</v>
      </c>
      <c r="C286" s="678">
        <v>0</v>
      </c>
      <c r="D286" s="678">
        <f>274029.69+220000</f>
        <v>494029.69</v>
      </c>
      <c r="E286" s="678">
        <v>0</v>
      </c>
      <c r="F286" s="678"/>
      <c r="G286" s="1051">
        <v>0</v>
      </c>
      <c r="H286" s="1055">
        <f t="shared" si="43"/>
        <v>0</v>
      </c>
      <c r="I286" s="1056">
        <v>0</v>
      </c>
      <c r="J286" s="29">
        <v>0</v>
      </c>
    </row>
    <row r="287" spans="1:10" x14ac:dyDescent="0.2">
      <c r="A287" s="660">
        <v>3421</v>
      </c>
      <c r="B287" s="629" t="s">
        <v>1275</v>
      </c>
      <c r="C287" s="635">
        <f>SUM(C288:C293)</f>
        <v>1740000</v>
      </c>
      <c r="D287" s="635">
        <f>SUM(D288:D293)</f>
        <v>1565970.31</v>
      </c>
      <c r="E287" s="635">
        <v>791175.76</v>
      </c>
      <c r="F287" s="652">
        <f>SUM(E288:E293)</f>
        <v>791175.76</v>
      </c>
      <c r="G287" s="630">
        <f t="shared" si="44"/>
        <v>45.469871264367818</v>
      </c>
      <c r="H287" s="1052">
        <f t="shared" si="43"/>
        <v>50.523037055536513</v>
      </c>
      <c r="I287" s="631">
        <f t="shared" si="45"/>
        <v>132.01688179219676</v>
      </c>
      <c r="J287" s="29">
        <v>599298.93000000005</v>
      </c>
    </row>
    <row r="288" spans="1:10" x14ac:dyDescent="0.2">
      <c r="A288" s="769" t="s">
        <v>350</v>
      </c>
      <c r="B288" s="782" t="s">
        <v>1276</v>
      </c>
      <c r="C288" s="678">
        <v>500000</v>
      </c>
      <c r="D288" s="678">
        <v>500000</v>
      </c>
      <c r="E288" s="678">
        <v>216603.31</v>
      </c>
      <c r="F288" s="678"/>
      <c r="G288" s="1051">
        <f t="shared" si="44"/>
        <v>43.320661999999999</v>
      </c>
      <c r="H288" s="1055">
        <f t="shared" si="43"/>
        <v>43.320661999999999</v>
      </c>
      <c r="I288" s="1056">
        <f t="shared" si="45"/>
        <v>117.44738250601883</v>
      </c>
      <c r="J288" s="29">
        <v>184425.83</v>
      </c>
    </row>
    <row r="289" spans="1:10" x14ac:dyDescent="0.2">
      <c r="A289" s="769" t="s">
        <v>342</v>
      </c>
      <c r="B289" s="783" t="s">
        <v>1277</v>
      </c>
      <c r="C289" s="644">
        <v>600000</v>
      </c>
      <c r="D289" s="644">
        <f>600000-179080-274029.69</f>
        <v>146890.31</v>
      </c>
      <c r="E289" s="644">
        <v>0</v>
      </c>
      <c r="F289" s="644"/>
      <c r="G289" s="1051">
        <f t="shared" si="44"/>
        <v>0</v>
      </c>
      <c r="H289" s="1055">
        <f t="shared" si="43"/>
        <v>0</v>
      </c>
      <c r="I289" s="1056">
        <v>0</v>
      </c>
      <c r="J289" s="29">
        <v>0</v>
      </c>
    </row>
    <row r="290" spans="1:10" x14ac:dyDescent="0.2">
      <c r="A290" s="769" t="s">
        <v>344</v>
      </c>
      <c r="B290" s="783" t="s">
        <v>1278</v>
      </c>
      <c r="C290" s="644">
        <v>60000</v>
      </c>
      <c r="D290" s="644">
        <v>60000</v>
      </c>
      <c r="E290" s="644">
        <v>27031.4</v>
      </c>
      <c r="F290" s="644"/>
      <c r="G290" s="1051">
        <f t="shared" si="44"/>
        <v>45.05233333333333</v>
      </c>
      <c r="H290" s="1055">
        <f t="shared" si="43"/>
        <v>45.05233333333333</v>
      </c>
      <c r="I290" s="1056">
        <f t="shared" si="45"/>
        <v>272.10718635809991</v>
      </c>
      <c r="J290" s="29">
        <v>9934.1</v>
      </c>
    </row>
    <row r="291" spans="1:10" x14ac:dyDescent="0.2">
      <c r="A291" s="769" t="s">
        <v>346</v>
      </c>
      <c r="B291" s="783" t="s">
        <v>1279</v>
      </c>
      <c r="C291" s="644">
        <v>80000</v>
      </c>
      <c r="D291" s="644">
        <v>80000</v>
      </c>
      <c r="E291" s="644">
        <v>447582.95</v>
      </c>
      <c r="F291" s="644"/>
      <c r="G291" s="1051">
        <f t="shared" si="44"/>
        <v>559.47868750000009</v>
      </c>
      <c r="H291" s="1055">
        <f t="shared" si="43"/>
        <v>559.47868750000009</v>
      </c>
      <c r="I291" s="1056">
        <v>0</v>
      </c>
      <c r="J291" s="29">
        <v>0</v>
      </c>
    </row>
    <row r="292" spans="1:10" x14ac:dyDescent="0.2">
      <c r="A292" s="769" t="s">
        <v>348</v>
      </c>
      <c r="B292" s="782" t="s">
        <v>1280</v>
      </c>
      <c r="C292" s="644">
        <v>500000</v>
      </c>
      <c r="D292" s="644">
        <f>500000+179080</f>
        <v>679080</v>
      </c>
      <c r="E292" s="644">
        <v>0</v>
      </c>
      <c r="F292" s="644"/>
      <c r="G292" s="1051">
        <f t="shared" si="44"/>
        <v>0</v>
      </c>
      <c r="H292" s="1055">
        <f t="shared" si="43"/>
        <v>0</v>
      </c>
      <c r="I292" s="1056">
        <f t="shared" si="45"/>
        <v>0</v>
      </c>
      <c r="J292" s="29">
        <v>60306</v>
      </c>
    </row>
    <row r="293" spans="1:10" x14ac:dyDescent="0.2">
      <c r="A293" s="769" t="s">
        <v>1281</v>
      </c>
      <c r="B293" s="783" t="s">
        <v>1934</v>
      </c>
      <c r="C293" s="644">
        <v>0</v>
      </c>
      <c r="D293" s="644">
        <v>100000</v>
      </c>
      <c r="E293" s="644">
        <v>99958.1</v>
      </c>
      <c r="F293" s="644"/>
      <c r="G293" s="1051">
        <v>0</v>
      </c>
      <c r="H293" s="1055">
        <f t="shared" si="43"/>
        <v>99.958100000000002</v>
      </c>
      <c r="I293" s="1056">
        <v>0</v>
      </c>
      <c r="J293" s="29">
        <v>0</v>
      </c>
    </row>
    <row r="294" spans="1:10" x14ac:dyDescent="0.2">
      <c r="A294" s="663">
        <v>3613</v>
      </c>
      <c r="B294" s="629" t="s">
        <v>1283</v>
      </c>
      <c r="C294" s="635">
        <f>SUM(C295:C302)</f>
        <v>1870000</v>
      </c>
      <c r="D294" s="635">
        <f>SUM(D295:D302)</f>
        <v>1826077</v>
      </c>
      <c r="E294" s="635">
        <v>421405.86</v>
      </c>
      <c r="F294" s="652">
        <f>SUM(E295:E302)</f>
        <v>421405.86</v>
      </c>
      <c r="G294" s="630">
        <f t="shared" si="44"/>
        <v>22.535072727272727</v>
      </c>
      <c r="H294" s="1052">
        <f t="shared" si="43"/>
        <v>23.07711339664209</v>
      </c>
      <c r="I294" s="631">
        <f t="shared" si="45"/>
        <v>231.22522038381646</v>
      </c>
      <c r="J294" s="29">
        <v>182249.09</v>
      </c>
    </row>
    <row r="295" spans="1:10" x14ac:dyDescent="0.2">
      <c r="A295" s="769" t="s">
        <v>1284</v>
      </c>
      <c r="B295" s="782" t="s">
        <v>1285</v>
      </c>
      <c r="C295" s="644">
        <v>350000</v>
      </c>
      <c r="D295" s="644">
        <v>350000</v>
      </c>
      <c r="E295" s="644">
        <v>0</v>
      </c>
      <c r="F295" s="644"/>
      <c r="G295" s="1051">
        <f t="shared" si="44"/>
        <v>0</v>
      </c>
      <c r="H295" s="1055">
        <f t="shared" si="43"/>
        <v>0</v>
      </c>
      <c r="I295" s="1056">
        <v>0</v>
      </c>
      <c r="J295" s="29">
        <v>0</v>
      </c>
    </row>
    <row r="296" spans="1:10" x14ac:dyDescent="0.2">
      <c r="A296" s="775" t="s">
        <v>353</v>
      </c>
      <c r="B296" s="773" t="s">
        <v>1286</v>
      </c>
      <c r="C296" s="644">
        <v>5000</v>
      </c>
      <c r="D296" s="644">
        <v>5000</v>
      </c>
      <c r="E296" s="644">
        <v>0</v>
      </c>
      <c r="F296" s="644"/>
      <c r="G296" s="1051">
        <f t="shared" si="44"/>
        <v>0</v>
      </c>
      <c r="H296" s="1055">
        <f t="shared" si="43"/>
        <v>0</v>
      </c>
      <c r="I296" s="1056">
        <v>0</v>
      </c>
      <c r="J296" s="29">
        <v>0</v>
      </c>
    </row>
    <row r="297" spans="1:10" x14ac:dyDescent="0.2">
      <c r="A297" s="775" t="s">
        <v>355</v>
      </c>
      <c r="B297" s="773" t="s">
        <v>1287</v>
      </c>
      <c r="C297" s="644">
        <v>15000</v>
      </c>
      <c r="D297" s="644">
        <v>15000</v>
      </c>
      <c r="E297" s="644">
        <v>3896.2</v>
      </c>
      <c r="F297" s="644"/>
      <c r="G297" s="1051">
        <f t="shared" si="44"/>
        <v>25.974666666666668</v>
      </c>
      <c r="H297" s="1055">
        <f t="shared" si="43"/>
        <v>25.974666666666668</v>
      </c>
      <c r="I297" s="1056">
        <f t="shared" si="45"/>
        <v>28.706660399072831</v>
      </c>
      <c r="J297" s="29">
        <v>13572.46</v>
      </c>
    </row>
    <row r="298" spans="1:10" x14ac:dyDescent="0.2">
      <c r="A298" s="775" t="s">
        <v>357</v>
      </c>
      <c r="B298" s="643" t="s">
        <v>1288</v>
      </c>
      <c r="C298" s="644">
        <v>200000</v>
      </c>
      <c r="D298" s="644">
        <v>200000</v>
      </c>
      <c r="E298" s="644">
        <v>15690</v>
      </c>
      <c r="F298" s="644"/>
      <c r="G298" s="1051">
        <f t="shared" si="44"/>
        <v>7.8450000000000006</v>
      </c>
      <c r="H298" s="1055">
        <f t="shared" si="43"/>
        <v>7.8450000000000006</v>
      </c>
      <c r="I298" s="1056">
        <f t="shared" si="45"/>
        <v>86.851059566320387</v>
      </c>
      <c r="J298" s="29">
        <v>18065.41</v>
      </c>
    </row>
    <row r="299" spans="1:10" x14ac:dyDescent="0.2">
      <c r="A299" s="775" t="s">
        <v>359</v>
      </c>
      <c r="B299" s="643" t="s">
        <v>1289</v>
      </c>
      <c r="C299" s="644">
        <v>640000</v>
      </c>
      <c r="D299" s="644">
        <v>640000</v>
      </c>
      <c r="E299" s="644">
        <v>401819.66</v>
      </c>
      <c r="F299" s="644"/>
      <c r="G299" s="1051">
        <f t="shared" si="44"/>
        <v>62.784321874999996</v>
      </c>
      <c r="H299" s="1055">
        <f t="shared" si="43"/>
        <v>62.784321874999996</v>
      </c>
      <c r="I299" s="1056">
        <f t="shared" si="45"/>
        <v>266.79264665673645</v>
      </c>
      <c r="J299" s="29">
        <v>150611.22</v>
      </c>
    </row>
    <row r="300" spans="1:10" x14ac:dyDescent="0.2">
      <c r="A300" s="775" t="s">
        <v>361</v>
      </c>
      <c r="B300" s="643" t="s">
        <v>1290</v>
      </c>
      <c r="C300" s="644">
        <v>100000</v>
      </c>
      <c r="D300" s="644">
        <f>100000-43923</f>
        <v>56077</v>
      </c>
      <c r="E300" s="644">
        <v>0</v>
      </c>
      <c r="F300" s="644"/>
      <c r="G300" s="1051">
        <f t="shared" si="44"/>
        <v>0</v>
      </c>
      <c r="H300" s="1055">
        <f t="shared" ref="H300:H363" si="47">E300/D300*100</f>
        <v>0</v>
      </c>
      <c r="I300" s="1056">
        <v>0</v>
      </c>
      <c r="J300" s="29">
        <v>0</v>
      </c>
    </row>
    <row r="301" spans="1:10" x14ac:dyDescent="0.2">
      <c r="A301" s="775" t="s">
        <v>364</v>
      </c>
      <c r="B301" s="672" t="s">
        <v>1291</v>
      </c>
      <c r="C301" s="644">
        <v>260000</v>
      </c>
      <c r="D301" s="644">
        <v>260000</v>
      </c>
      <c r="E301" s="644">
        <v>0</v>
      </c>
      <c r="F301" s="644"/>
      <c r="G301" s="1051">
        <f t="shared" si="44"/>
        <v>0</v>
      </c>
      <c r="H301" s="1055">
        <f t="shared" si="47"/>
        <v>0</v>
      </c>
      <c r="I301" s="1056">
        <v>0</v>
      </c>
      <c r="J301" s="29">
        <v>0</v>
      </c>
    </row>
    <row r="302" spans="1:10" x14ac:dyDescent="0.2">
      <c r="A302" s="769" t="s">
        <v>1292</v>
      </c>
      <c r="B302" s="783" t="s">
        <v>1293</v>
      </c>
      <c r="C302" s="644">
        <v>300000</v>
      </c>
      <c r="D302" s="644">
        <v>300000</v>
      </c>
      <c r="E302" s="644">
        <v>0</v>
      </c>
      <c r="F302" s="644"/>
      <c r="G302" s="1051">
        <f t="shared" si="44"/>
        <v>0</v>
      </c>
      <c r="H302" s="1055">
        <f t="shared" si="47"/>
        <v>0</v>
      </c>
      <c r="I302" s="1056">
        <v>0</v>
      </c>
      <c r="J302" s="29">
        <v>0</v>
      </c>
    </row>
    <row r="303" spans="1:10" x14ac:dyDescent="0.2">
      <c r="A303" s="663">
        <v>3631</v>
      </c>
      <c r="B303" s="629" t="s">
        <v>1294</v>
      </c>
      <c r="C303" s="635">
        <f>SUM(C304:C309)</f>
        <v>14990000</v>
      </c>
      <c r="D303" s="635">
        <f>SUM(D304:D309)</f>
        <v>14991858</v>
      </c>
      <c r="E303" s="635">
        <v>4596650.7</v>
      </c>
      <c r="F303" s="652">
        <f>SUM(E304:E309)</f>
        <v>4596650.7</v>
      </c>
      <c r="G303" s="630">
        <f t="shared" si="44"/>
        <v>30.664781187458306</v>
      </c>
      <c r="H303" s="1052">
        <f t="shared" si="47"/>
        <v>30.660980780367588</v>
      </c>
      <c r="I303" s="631">
        <f t="shared" si="45"/>
        <v>120.90555033130417</v>
      </c>
      <c r="J303" s="29">
        <v>3801852.51</v>
      </c>
    </row>
    <row r="304" spans="1:10" x14ac:dyDescent="0.2">
      <c r="A304" s="769" t="s">
        <v>371</v>
      </c>
      <c r="B304" s="643" t="s">
        <v>1295</v>
      </c>
      <c r="C304" s="644">
        <v>4800000</v>
      </c>
      <c r="D304" s="644">
        <v>4800000</v>
      </c>
      <c r="E304" s="644">
        <v>2400000</v>
      </c>
      <c r="F304" s="644"/>
      <c r="G304" s="1051">
        <f t="shared" ref="G304:G367" si="48">E304/C304*100</f>
        <v>50</v>
      </c>
      <c r="H304" s="1055">
        <f t="shared" si="47"/>
        <v>50</v>
      </c>
      <c r="I304" s="1056">
        <f t="shared" si="45"/>
        <v>104.54682870263483</v>
      </c>
      <c r="J304" s="29">
        <v>2295622</v>
      </c>
    </row>
    <row r="305" spans="1:10" x14ac:dyDescent="0.2">
      <c r="A305" s="775" t="s">
        <v>367</v>
      </c>
      <c r="B305" s="643" t="s">
        <v>1296</v>
      </c>
      <c r="C305" s="644">
        <v>50000</v>
      </c>
      <c r="D305" s="644">
        <v>50000</v>
      </c>
      <c r="E305" s="644">
        <v>0</v>
      </c>
      <c r="F305" s="644"/>
      <c r="G305" s="1051">
        <f t="shared" si="48"/>
        <v>0</v>
      </c>
      <c r="H305" s="1055">
        <f t="shared" si="47"/>
        <v>0</v>
      </c>
      <c r="I305" s="1056">
        <v>0</v>
      </c>
      <c r="J305" s="29">
        <v>0</v>
      </c>
    </row>
    <row r="306" spans="1:10" x14ac:dyDescent="0.2">
      <c r="A306" s="775" t="s">
        <v>369</v>
      </c>
      <c r="B306" s="643" t="s">
        <v>1297</v>
      </c>
      <c r="C306" s="644">
        <v>250000</v>
      </c>
      <c r="D306" s="644">
        <v>250000</v>
      </c>
      <c r="E306" s="644">
        <v>0</v>
      </c>
      <c r="F306" s="644"/>
      <c r="G306" s="1051">
        <f t="shared" si="48"/>
        <v>0</v>
      </c>
      <c r="H306" s="1055">
        <f t="shared" si="47"/>
        <v>0</v>
      </c>
      <c r="I306" s="1056">
        <f t="shared" si="45"/>
        <v>0</v>
      </c>
      <c r="J306" s="29">
        <v>29922.09</v>
      </c>
    </row>
    <row r="307" spans="1:10" x14ac:dyDescent="0.2">
      <c r="A307" s="775" t="s">
        <v>369</v>
      </c>
      <c r="B307" s="643" t="s">
        <v>1298</v>
      </c>
      <c r="C307" s="644">
        <v>300000</v>
      </c>
      <c r="D307" s="644">
        <f>300000+1858</f>
        <v>301858</v>
      </c>
      <c r="E307" s="644">
        <v>0</v>
      </c>
      <c r="F307" s="644"/>
      <c r="G307" s="1051">
        <f t="shared" si="48"/>
        <v>0</v>
      </c>
      <c r="H307" s="1055">
        <f t="shared" si="47"/>
        <v>0</v>
      </c>
      <c r="I307" s="1056">
        <f t="shared" si="45"/>
        <v>0</v>
      </c>
      <c r="J307" s="29">
        <v>56858.51</v>
      </c>
    </row>
    <row r="308" spans="1:10" ht="12.75" customHeight="1" x14ac:dyDescent="0.2">
      <c r="A308" s="769" t="s">
        <v>373</v>
      </c>
      <c r="B308" s="643" t="s">
        <v>374</v>
      </c>
      <c r="C308" s="644">
        <v>7200000</v>
      </c>
      <c r="D308" s="644">
        <v>7200000</v>
      </c>
      <c r="E308" s="644">
        <v>2186980.7000000002</v>
      </c>
      <c r="F308" s="644"/>
      <c r="G308" s="1051">
        <f t="shared" si="48"/>
        <v>30.374731944444449</v>
      </c>
      <c r="H308" s="1055">
        <f t="shared" si="47"/>
        <v>30.374731944444449</v>
      </c>
      <c r="I308" s="1056">
        <f t="shared" si="45"/>
        <v>154.20821032205538</v>
      </c>
      <c r="J308" s="29">
        <v>1418199.91</v>
      </c>
    </row>
    <row r="309" spans="1:10" ht="12.75" customHeight="1" x14ac:dyDescent="0.2">
      <c r="A309" s="769"/>
      <c r="B309" s="679" t="s">
        <v>281</v>
      </c>
      <c r="C309" s="652">
        <f>SUM(C310:C317)</f>
        <v>2390000</v>
      </c>
      <c r="D309" s="652">
        <f>SUM(D310:D317)</f>
        <v>2390000</v>
      </c>
      <c r="E309" s="652">
        <v>9670</v>
      </c>
      <c r="F309" s="652">
        <f>SUM(E310:E317)</f>
        <v>9670</v>
      </c>
      <c r="G309" s="1051">
        <f t="shared" si="48"/>
        <v>0.40460251046025109</v>
      </c>
      <c r="H309" s="1055">
        <f t="shared" si="47"/>
        <v>0.40460251046025109</v>
      </c>
      <c r="I309" s="1056">
        <f t="shared" si="45"/>
        <v>773.6</v>
      </c>
      <c r="J309" s="29">
        <v>1250</v>
      </c>
    </row>
    <row r="310" spans="1:10" x14ac:dyDescent="0.2">
      <c r="A310" s="769" t="s">
        <v>1935</v>
      </c>
      <c r="B310" s="783" t="s">
        <v>1936</v>
      </c>
      <c r="C310" s="644">
        <v>0</v>
      </c>
      <c r="D310" s="644">
        <v>70301</v>
      </c>
      <c r="E310" s="644">
        <v>0</v>
      </c>
      <c r="F310" s="644"/>
      <c r="G310" s="1051">
        <v>0</v>
      </c>
      <c r="H310" s="1055">
        <f t="shared" si="47"/>
        <v>0</v>
      </c>
      <c r="I310" s="1056">
        <v>0</v>
      </c>
      <c r="J310" s="29">
        <v>0</v>
      </c>
    </row>
    <row r="311" spans="1:10" x14ac:dyDescent="0.2">
      <c r="A311" s="769" t="s">
        <v>571</v>
      </c>
      <c r="B311" s="783" t="s">
        <v>1937</v>
      </c>
      <c r="C311" s="644">
        <v>0</v>
      </c>
      <c r="D311" s="644">
        <v>26257</v>
      </c>
      <c r="E311" s="644">
        <v>0</v>
      </c>
      <c r="F311" s="644"/>
      <c r="G311" s="1051">
        <v>0</v>
      </c>
      <c r="H311" s="1055">
        <f t="shared" si="47"/>
        <v>0</v>
      </c>
      <c r="I311" s="1056">
        <v>0</v>
      </c>
      <c r="J311" s="29">
        <v>0</v>
      </c>
    </row>
    <row r="312" spans="1:10" x14ac:dyDescent="0.2">
      <c r="A312" s="769" t="s">
        <v>579</v>
      </c>
      <c r="B312" s="783" t="s">
        <v>1299</v>
      </c>
      <c r="C312" s="644">
        <v>650000</v>
      </c>
      <c r="D312" s="644">
        <v>650000</v>
      </c>
      <c r="E312" s="644">
        <v>8470</v>
      </c>
      <c r="F312" s="644"/>
      <c r="G312" s="1051">
        <f t="shared" si="48"/>
        <v>1.303076923076923</v>
      </c>
      <c r="H312" s="1055">
        <f t="shared" si="47"/>
        <v>1.303076923076923</v>
      </c>
      <c r="I312" s="1056">
        <f t="shared" si="45"/>
        <v>677.6</v>
      </c>
      <c r="J312" s="29">
        <v>1250</v>
      </c>
    </row>
    <row r="313" spans="1:10" ht="12.75" customHeight="1" x14ac:dyDescent="0.2">
      <c r="A313" s="769" t="s">
        <v>1300</v>
      </c>
      <c r="B313" s="783" t="s">
        <v>1301</v>
      </c>
      <c r="C313" s="644">
        <v>80000</v>
      </c>
      <c r="D313" s="644">
        <v>80000</v>
      </c>
      <c r="E313" s="644">
        <v>0</v>
      </c>
      <c r="F313" s="644"/>
      <c r="G313" s="1051">
        <f t="shared" si="48"/>
        <v>0</v>
      </c>
      <c r="H313" s="1055">
        <f t="shared" si="47"/>
        <v>0</v>
      </c>
      <c r="I313" s="1056">
        <v>0</v>
      </c>
      <c r="J313" s="29">
        <v>0</v>
      </c>
    </row>
    <row r="314" spans="1:10" ht="12.75" customHeight="1" x14ac:dyDescent="0.2">
      <c r="A314" s="769" t="s">
        <v>1302</v>
      </c>
      <c r="B314" s="783" t="s">
        <v>1303</v>
      </c>
      <c r="C314" s="644">
        <v>550000</v>
      </c>
      <c r="D314" s="644">
        <f>550000-124482</f>
        <v>425518</v>
      </c>
      <c r="E314" s="644">
        <v>1200</v>
      </c>
      <c r="F314" s="644"/>
      <c r="G314" s="1051">
        <f t="shared" si="48"/>
        <v>0.2181818181818182</v>
      </c>
      <c r="H314" s="1055">
        <f t="shared" si="47"/>
        <v>0.28200922170154963</v>
      </c>
      <c r="I314" s="1056">
        <v>0</v>
      </c>
      <c r="J314" s="29">
        <v>0</v>
      </c>
    </row>
    <row r="315" spans="1:10" ht="12.75" customHeight="1" x14ac:dyDescent="0.2">
      <c r="A315" s="769" t="s">
        <v>1304</v>
      </c>
      <c r="B315" s="783" t="s">
        <v>1305</v>
      </c>
      <c r="C315" s="644">
        <v>50000</v>
      </c>
      <c r="D315" s="644">
        <f>50000+27924</f>
        <v>77924</v>
      </c>
      <c r="E315" s="644">
        <v>0</v>
      </c>
      <c r="F315" s="644"/>
      <c r="G315" s="1051">
        <f t="shared" si="48"/>
        <v>0</v>
      </c>
      <c r="H315" s="1055">
        <f t="shared" si="47"/>
        <v>0</v>
      </c>
      <c r="I315" s="1056">
        <v>0</v>
      </c>
      <c r="J315" s="29">
        <v>0</v>
      </c>
    </row>
    <row r="316" spans="1:10" ht="12.75" customHeight="1" x14ac:dyDescent="0.2">
      <c r="A316" s="769" t="s">
        <v>1306</v>
      </c>
      <c r="B316" s="783" t="s">
        <v>1307</v>
      </c>
      <c r="C316" s="644">
        <v>60000</v>
      </c>
      <c r="D316" s="644">
        <v>60000</v>
      </c>
      <c r="E316" s="644">
        <v>0</v>
      </c>
      <c r="F316" s="644"/>
      <c r="G316" s="1051">
        <f t="shared" si="48"/>
        <v>0</v>
      </c>
      <c r="H316" s="1055">
        <f t="shared" si="47"/>
        <v>0</v>
      </c>
      <c r="I316" s="1056">
        <v>0</v>
      </c>
      <c r="J316" s="29">
        <v>0</v>
      </c>
    </row>
    <row r="317" spans="1:10" ht="12.75" customHeight="1" x14ac:dyDescent="0.2">
      <c r="A317" s="769" t="s">
        <v>585</v>
      </c>
      <c r="B317" s="783" t="s">
        <v>1308</v>
      </c>
      <c r="C317" s="644">
        <v>1000000</v>
      </c>
      <c r="D317" s="644">
        <v>1000000</v>
      </c>
      <c r="E317" s="644">
        <v>0</v>
      </c>
      <c r="F317" s="644"/>
      <c r="G317" s="1051">
        <f t="shared" si="48"/>
        <v>0</v>
      </c>
      <c r="H317" s="1055">
        <f t="shared" si="47"/>
        <v>0</v>
      </c>
      <c r="I317" s="1056">
        <v>0</v>
      </c>
      <c r="J317" s="29">
        <v>0</v>
      </c>
    </row>
    <row r="318" spans="1:10" x14ac:dyDescent="0.2">
      <c r="A318" s="663">
        <v>3632</v>
      </c>
      <c r="B318" s="629" t="s">
        <v>1309</v>
      </c>
      <c r="C318" s="635">
        <f>SUM(C320:C324)</f>
        <v>4142630</v>
      </c>
      <c r="D318" s="635">
        <f>SUM(D320:D324)</f>
        <v>4351328</v>
      </c>
      <c r="E318" s="635">
        <v>1730242</v>
      </c>
      <c r="F318" s="652">
        <f>SUM(E319,E322:E324)</f>
        <v>1730242</v>
      </c>
      <c r="G318" s="630">
        <f t="shared" si="48"/>
        <v>41.766752039163521</v>
      </c>
      <c r="H318" s="1052">
        <f t="shared" si="47"/>
        <v>39.763538855264414</v>
      </c>
      <c r="I318" s="631">
        <f t="shared" si="45"/>
        <v>107.19181243436968</v>
      </c>
      <c r="J318" s="29">
        <v>1614155</v>
      </c>
    </row>
    <row r="319" spans="1:10" s="2" customFormat="1" x14ac:dyDescent="0.2">
      <c r="A319" s="715"/>
      <c r="B319" s="672" t="s">
        <v>1310</v>
      </c>
      <c r="C319" s="652">
        <f>SUM(C320:C321)</f>
        <v>366630</v>
      </c>
      <c r="D319" s="652">
        <f>SUM(D320:D321)</f>
        <v>575328</v>
      </c>
      <c r="E319" s="652">
        <v>30240</v>
      </c>
      <c r="F319" s="652">
        <f>SUM(E320:E321)</f>
        <v>30240</v>
      </c>
      <c r="G319" s="1051">
        <f t="shared" si="48"/>
        <v>8.24809753702643</v>
      </c>
      <c r="H319" s="1055">
        <f t="shared" si="47"/>
        <v>5.2561321541798769</v>
      </c>
      <c r="I319" s="1056">
        <v>0</v>
      </c>
      <c r="J319" s="88">
        <v>0</v>
      </c>
    </row>
    <row r="320" spans="1:10" s="98" customFormat="1" x14ac:dyDescent="0.2">
      <c r="A320" s="769" t="s">
        <v>377</v>
      </c>
      <c r="B320" s="643" t="s">
        <v>1311</v>
      </c>
      <c r="C320" s="644">
        <v>366630</v>
      </c>
      <c r="D320" s="644">
        <f>366630+33698</f>
        <v>400328</v>
      </c>
      <c r="E320" s="644">
        <v>30240</v>
      </c>
      <c r="F320" s="644"/>
      <c r="G320" s="1051">
        <f t="shared" si="48"/>
        <v>8.24809753702643</v>
      </c>
      <c r="H320" s="1055">
        <f t="shared" si="47"/>
        <v>7.5538058791790732</v>
      </c>
      <c r="I320" s="1056">
        <v>0</v>
      </c>
      <c r="J320" s="29">
        <v>0</v>
      </c>
    </row>
    <row r="321" spans="1:10" s="98" customFormat="1" x14ac:dyDescent="0.2">
      <c r="A321" s="769" t="s">
        <v>377</v>
      </c>
      <c r="B321" s="643" t="s">
        <v>1312</v>
      </c>
      <c r="C321" s="644">
        <v>0</v>
      </c>
      <c r="D321" s="644">
        <f>175000</f>
        <v>175000</v>
      </c>
      <c r="E321" s="644">
        <v>0</v>
      </c>
      <c r="F321" s="644"/>
      <c r="G321" s="1051">
        <v>0</v>
      </c>
      <c r="H321" s="1055">
        <f t="shared" si="47"/>
        <v>0</v>
      </c>
      <c r="I321" s="1056">
        <v>0</v>
      </c>
      <c r="J321" s="29">
        <v>0</v>
      </c>
    </row>
    <row r="322" spans="1:10" s="98" customFormat="1" x14ac:dyDescent="0.2">
      <c r="A322" s="769" t="s">
        <v>383</v>
      </c>
      <c r="B322" s="643" t="s">
        <v>1314</v>
      </c>
      <c r="C322" s="644">
        <v>3400000</v>
      </c>
      <c r="D322" s="644">
        <v>3400000</v>
      </c>
      <c r="E322" s="644">
        <v>1700002</v>
      </c>
      <c r="F322" s="644"/>
      <c r="G322" s="1051">
        <f t="shared" si="48"/>
        <v>50.000058823529415</v>
      </c>
      <c r="H322" s="1055">
        <f t="shared" si="47"/>
        <v>50.000058823529415</v>
      </c>
      <c r="I322" s="1056">
        <f t="shared" ref="I322:I384" si="49">E322/J322*100</f>
        <v>105.31838640031472</v>
      </c>
      <c r="J322" s="29">
        <v>1614155</v>
      </c>
    </row>
    <row r="323" spans="1:10" s="98" customFormat="1" x14ac:dyDescent="0.2">
      <c r="A323" s="769" t="s">
        <v>383</v>
      </c>
      <c r="B323" s="643" t="s">
        <v>1315</v>
      </c>
      <c r="C323" s="644">
        <v>276000</v>
      </c>
      <c r="D323" s="644">
        <v>276000</v>
      </c>
      <c r="E323" s="644">
        <v>0</v>
      </c>
      <c r="F323" s="644"/>
      <c r="G323" s="1051">
        <f t="shared" si="48"/>
        <v>0</v>
      </c>
      <c r="H323" s="1055">
        <f t="shared" si="47"/>
        <v>0</v>
      </c>
      <c r="I323" s="1056">
        <v>0</v>
      </c>
      <c r="J323" s="29">
        <v>0</v>
      </c>
    </row>
    <row r="324" spans="1:10" s="98" customFormat="1" x14ac:dyDescent="0.2">
      <c r="A324" s="769" t="s">
        <v>387</v>
      </c>
      <c r="B324" s="643" t="s">
        <v>1316</v>
      </c>
      <c r="C324" s="644">
        <v>100000</v>
      </c>
      <c r="D324" s="644">
        <v>100000</v>
      </c>
      <c r="E324" s="644">
        <v>0</v>
      </c>
      <c r="F324" s="644"/>
      <c r="G324" s="1051">
        <f t="shared" si="48"/>
        <v>0</v>
      </c>
      <c r="H324" s="1055">
        <f t="shared" si="47"/>
        <v>0</v>
      </c>
      <c r="I324" s="1056">
        <v>0</v>
      </c>
      <c r="J324" s="29">
        <v>0</v>
      </c>
    </row>
    <row r="325" spans="1:10" s="98" customFormat="1" x14ac:dyDescent="0.2">
      <c r="A325" s="663">
        <v>3633</v>
      </c>
      <c r="B325" s="629" t="s">
        <v>1317</v>
      </c>
      <c r="C325" s="635">
        <f>SUM(C326)</f>
        <v>1780000</v>
      </c>
      <c r="D325" s="635">
        <f>SUM(D326)</f>
        <v>1780000</v>
      </c>
      <c r="E325" s="635">
        <v>0</v>
      </c>
      <c r="F325" s="652"/>
      <c r="G325" s="630">
        <f t="shared" si="48"/>
        <v>0</v>
      </c>
      <c r="H325" s="1052">
        <f t="shared" si="47"/>
        <v>0</v>
      </c>
      <c r="I325" s="631">
        <v>0</v>
      </c>
      <c r="J325" s="29">
        <v>0</v>
      </c>
    </row>
    <row r="326" spans="1:10" s="98" customFormat="1" ht="24.75" x14ac:dyDescent="0.2">
      <c r="A326" s="769"/>
      <c r="B326" s="650" t="s">
        <v>1318</v>
      </c>
      <c r="C326" s="644">
        <v>1780000</v>
      </c>
      <c r="D326" s="644">
        <v>1780000</v>
      </c>
      <c r="E326" s="644">
        <v>0</v>
      </c>
      <c r="F326" s="644"/>
      <c r="G326" s="1051">
        <f t="shared" si="48"/>
        <v>0</v>
      </c>
      <c r="H326" s="1055">
        <f t="shared" si="47"/>
        <v>0</v>
      </c>
      <c r="I326" s="670">
        <v>0</v>
      </c>
      <c r="J326" s="1037">
        <v>0</v>
      </c>
    </row>
    <row r="327" spans="1:10" s="98" customFormat="1" x14ac:dyDescent="0.2">
      <c r="A327" s="663">
        <v>3639</v>
      </c>
      <c r="B327" s="629" t="s">
        <v>1319</v>
      </c>
      <c r="C327" s="635">
        <f>SUM(C328:C329)</f>
        <v>14414.2</v>
      </c>
      <c r="D327" s="635">
        <f>SUM(D328:D329)</f>
        <v>14414.2</v>
      </c>
      <c r="E327" s="635">
        <v>0</v>
      </c>
      <c r="F327" s="652">
        <f>SUM(E328:E329)</f>
        <v>0</v>
      </c>
      <c r="G327" s="630">
        <f t="shared" si="48"/>
        <v>0</v>
      </c>
      <c r="H327" s="1052">
        <f t="shared" si="47"/>
        <v>0</v>
      </c>
      <c r="I327" s="631">
        <v>0</v>
      </c>
      <c r="J327" s="29">
        <v>0</v>
      </c>
    </row>
    <row r="328" spans="1:10" s="98" customFormat="1" x14ac:dyDescent="0.2">
      <c r="A328" s="769" t="s">
        <v>390</v>
      </c>
      <c r="B328" s="773" t="s">
        <v>1320</v>
      </c>
      <c r="C328" s="644">
        <v>9414.2000000000007</v>
      </c>
      <c r="D328" s="644">
        <v>9414.2000000000007</v>
      </c>
      <c r="E328" s="644">
        <v>0</v>
      </c>
      <c r="F328" s="644"/>
      <c r="G328" s="1051">
        <f t="shared" si="48"/>
        <v>0</v>
      </c>
      <c r="H328" s="1055">
        <f t="shared" si="47"/>
        <v>0</v>
      </c>
      <c r="I328" s="1056">
        <v>0</v>
      </c>
      <c r="J328" s="29">
        <v>0</v>
      </c>
    </row>
    <row r="329" spans="1:10" s="98" customFormat="1" x14ac:dyDescent="0.2">
      <c r="A329" s="775" t="s">
        <v>392</v>
      </c>
      <c r="B329" s="643" t="s">
        <v>1321</v>
      </c>
      <c r="C329" s="644">
        <v>5000</v>
      </c>
      <c r="D329" s="644">
        <v>5000</v>
      </c>
      <c r="E329" s="644">
        <v>0</v>
      </c>
      <c r="F329" s="644"/>
      <c r="G329" s="1051">
        <f t="shared" si="48"/>
        <v>0</v>
      </c>
      <c r="H329" s="1055">
        <f t="shared" si="47"/>
        <v>0</v>
      </c>
      <c r="I329" s="1056">
        <v>0</v>
      </c>
      <c r="J329" s="29">
        <v>0</v>
      </c>
    </row>
    <row r="330" spans="1:10" s="98" customFormat="1" x14ac:dyDescent="0.2">
      <c r="A330" s="663">
        <v>3699</v>
      </c>
      <c r="B330" s="629" t="s">
        <v>1322</v>
      </c>
      <c r="C330" s="635">
        <f>SUM(C331:C332)</f>
        <v>275000</v>
      </c>
      <c r="D330" s="635">
        <f>SUM(D331:D332)</f>
        <v>347931</v>
      </c>
      <c r="E330" s="635">
        <v>80791.7</v>
      </c>
      <c r="F330" s="652">
        <f>SUM(E331:E332)</f>
        <v>80791.7</v>
      </c>
      <c r="G330" s="630">
        <f t="shared" si="48"/>
        <v>29.378799999999998</v>
      </c>
      <c r="H330" s="1052">
        <f t="shared" si="47"/>
        <v>23.220609833558953</v>
      </c>
      <c r="I330" s="631">
        <f t="shared" si="49"/>
        <v>231.5877429341283</v>
      </c>
      <c r="J330" s="29">
        <v>34886</v>
      </c>
    </row>
    <row r="331" spans="1:10" s="98" customFormat="1" x14ac:dyDescent="0.2">
      <c r="A331" s="774" t="s">
        <v>395</v>
      </c>
      <c r="B331" s="690" t="s">
        <v>1325</v>
      </c>
      <c r="C331" s="785">
        <v>275000</v>
      </c>
      <c r="D331" s="785">
        <f>275000</f>
        <v>275000</v>
      </c>
      <c r="E331" s="785">
        <v>36868.699999999997</v>
      </c>
      <c r="F331" s="785"/>
      <c r="G331" s="1051">
        <f t="shared" si="48"/>
        <v>13.406799999999999</v>
      </c>
      <c r="H331" s="1055">
        <f t="shared" si="47"/>
        <v>13.406799999999999</v>
      </c>
      <c r="I331" s="1056">
        <f t="shared" si="49"/>
        <v>105.68336868657913</v>
      </c>
      <c r="J331" s="29">
        <v>34886</v>
      </c>
    </row>
    <row r="332" spans="1:10" s="98" customFormat="1" x14ac:dyDescent="0.2">
      <c r="A332" s="774" t="s">
        <v>1938</v>
      </c>
      <c r="B332" s="690" t="s">
        <v>1939</v>
      </c>
      <c r="C332" s="785">
        <v>0</v>
      </c>
      <c r="D332" s="785">
        <f>43923+29008</f>
        <v>72931</v>
      </c>
      <c r="E332" s="785">
        <v>43923</v>
      </c>
      <c r="F332" s="785"/>
      <c r="G332" s="1051">
        <v>0</v>
      </c>
      <c r="H332" s="1055">
        <f t="shared" si="47"/>
        <v>60.225418546297185</v>
      </c>
      <c r="I332" s="1056">
        <v>0</v>
      </c>
      <c r="J332" s="29">
        <v>0</v>
      </c>
    </row>
    <row r="333" spans="1:10" s="85" customFormat="1" ht="20.25" x14ac:dyDescent="0.3">
      <c r="A333" s="786"/>
      <c r="B333" s="787" t="s">
        <v>1017</v>
      </c>
      <c r="C333" s="788">
        <f>C334+C346+C398+C419+C426+C433+C437+C410+C471+C491</f>
        <v>196635250</v>
      </c>
      <c r="D333" s="788">
        <f>D334+D346+D398+D419+D426+D433+D437+D410+D471+D491</f>
        <v>195707268</v>
      </c>
      <c r="E333" s="788">
        <v>11790221</v>
      </c>
      <c r="F333" s="1090">
        <f>SUM(E334,E346,E398,E410,E419,E426,E433,E437,E471,E491)</f>
        <v>11790221.100000001</v>
      </c>
      <c r="G333" s="735">
        <f t="shared" si="48"/>
        <v>5.9959854603892238</v>
      </c>
      <c r="H333" s="735">
        <f t="shared" si="47"/>
        <v>6.0244165280565873</v>
      </c>
      <c r="I333" s="1091">
        <f t="shared" si="49"/>
        <v>91.360676953096117</v>
      </c>
      <c r="J333" s="1037">
        <v>12905137.52</v>
      </c>
    </row>
    <row r="334" spans="1:10" s="98" customFormat="1" ht="15.75" x14ac:dyDescent="0.25">
      <c r="A334" s="790"/>
      <c r="B334" s="791" t="s">
        <v>398</v>
      </c>
      <c r="C334" s="792">
        <f>SUM(C335+C338)</f>
        <v>4800000</v>
      </c>
      <c r="D334" s="792">
        <f>SUM(D335+D338)</f>
        <v>4800000</v>
      </c>
      <c r="E334" s="792">
        <v>24203</v>
      </c>
      <c r="F334" s="1092">
        <f>SUM(E335,E338)</f>
        <v>24203</v>
      </c>
      <c r="G334" s="623">
        <f t="shared" si="48"/>
        <v>0.50422916666666662</v>
      </c>
      <c r="H334" s="623">
        <f t="shared" si="47"/>
        <v>0.50422916666666662</v>
      </c>
      <c r="I334" s="741">
        <f t="shared" si="49"/>
        <v>40.773247978436657</v>
      </c>
      <c r="J334" s="29">
        <v>59360</v>
      </c>
    </row>
    <row r="335" spans="1:10" s="98" customFormat="1" x14ac:dyDescent="0.2">
      <c r="A335" s="793">
        <v>2310</v>
      </c>
      <c r="B335" s="794" t="s">
        <v>1216</v>
      </c>
      <c r="C335" s="795">
        <f>SUM(C336:C337)</f>
        <v>1010000</v>
      </c>
      <c r="D335" s="795">
        <f>SUM(D336:D337)</f>
        <v>1010000</v>
      </c>
      <c r="E335" s="795">
        <v>0</v>
      </c>
      <c r="F335" s="1093">
        <f>SUM(E336:E337)</f>
        <v>0</v>
      </c>
      <c r="G335" s="630">
        <f t="shared" si="48"/>
        <v>0</v>
      </c>
      <c r="H335" s="1052">
        <f t="shared" si="47"/>
        <v>0</v>
      </c>
      <c r="I335" s="631">
        <f t="shared" si="49"/>
        <v>0</v>
      </c>
      <c r="J335" s="29">
        <v>20000</v>
      </c>
    </row>
    <row r="336" spans="1:10" s="98" customFormat="1" x14ac:dyDescent="0.2">
      <c r="A336" s="796" t="s">
        <v>403</v>
      </c>
      <c r="B336" s="731" t="s">
        <v>404</v>
      </c>
      <c r="C336" s="695">
        <v>10000</v>
      </c>
      <c r="D336" s="695">
        <v>10000</v>
      </c>
      <c r="E336" s="695">
        <v>0</v>
      </c>
      <c r="F336" s="695"/>
      <c r="G336" s="1051">
        <f t="shared" si="48"/>
        <v>0</v>
      </c>
      <c r="H336" s="1055">
        <f t="shared" si="47"/>
        <v>0</v>
      </c>
      <c r="I336" s="1056">
        <v>0</v>
      </c>
      <c r="J336" s="29">
        <v>0</v>
      </c>
    </row>
    <row r="337" spans="1:10" s="98" customFormat="1" x14ac:dyDescent="0.2">
      <c r="A337" s="796" t="s">
        <v>1327</v>
      </c>
      <c r="B337" s="731" t="s">
        <v>1328</v>
      </c>
      <c r="C337" s="695">
        <v>1000000</v>
      </c>
      <c r="D337" s="695">
        <v>1000000</v>
      </c>
      <c r="E337" s="695">
        <v>0</v>
      </c>
      <c r="F337" s="695"/>
      <c r="G337" s="1051">
        <f t="shared" si="48"/>
        <v>0</v>
      </c>
      <c r="H337" s="1055">
        <f t="shared" si="47"/>
        <v>0</v>
      </c>
      <c r="I337" s="1056">
        <v>0</v>
      </c>
      <c r="J337" s="29">
        <v>0</v>
      </c>
    </row>
    <row r="338" spans="1:10" s="98" customFormat="1" x14ac:dyDescent="0.2">
      <c r="A338" s="730">
        <v>2321</v>
      </c>
      <c r="B338" s="797" t="s">
        <v>1219</v>
      </c>
      <c r="C338" s="798">
        <f>SUM(C339:C345)</f>
        <v>3790000</v>
      </c>
      <c r="D338" s="798">
        <f>SUM(D339:D345)</f>
        <v>3790000</v>
      </c>
      <c r="E338" s="798">
        <v>24203</v>
      </c>
      <c r="F338" s="1094">
        <f>SUM(E339:E345)</f>
        <v>24203</v>
      </c>
      <c r="G338" s="630">
        <f t="shared" si="48"/>
        <v>0.63860158311345649</v>
      </c>
      <c r="H338" s="1052">
        <f t="shared" si="47"/>
        <v>0.63860158311345649</v>
      </c>
      <c r="I338" s="631">
        <f t="shared" si="49"/>
        <v>61.49136178861788</v>
      </c>
      <c r="J338" s="29">
        <v>39360</v>
      </c>
    </row>
    <row r="339" spans="1:10" s="98" customFormat="1" x14ac:dyDescent="0.2">
      <c r="A339" s="796" t="s">
        <v>1331</v>
      </c>
      <c r="B339" s="731" t="s">
        <v>1332</v>
      </c>
      <c r="C339" s="695">
        <v>1500000</v>
      </c>
      <c r="D339" s="695">
        <v>1500000</v>
      </c>
      <c r="E339" s="695">
        <v>0</v>
      </c>
      <c r="F339" s="695"/>
      <c r="G339" s="1051">
        <f t="shared" si="48"/>
        <v>0</v>
      </c>
      <c r="H339" s="1055">
        <f t="shared" si="47"/>
        <v>0</v>
      </c>
      <c r="I339" s="1056">
        <v>0</v>
      </c>
      <c r="J339" s="29">
        <v>0</v>
      </c>
    </row>
    <row r="340" spans="1:10" s="98" customFormat="1" x14ac:dyDescent="0.2">
      <c r="A340" s="796" t="s">
        <v>1333</v>
      </c>
      <c r="B340" s="731" t="s">
        <v>1334</v>
      </c>
      <c r="C340" s="695">
        <v>1000000</v>
      </c>
      <c r="D340" s="695">
        <v>1000000</v>
      </c>
      <c r="E340" s="695">
        <v>0</v>
      </c>
      <c r="F340" s="695"/>
      <c r="G340" s="1051">
        <f t="shared" si="48"/>
        <v>0</v>
      </c>
      <c r="H340" s="1055">
        <f t="shared" si="47"/>
        <v>0</v>
      </c>
      <c r="I340" s="1056">
        <v>0</v>
      </c>
      <c r="J340" s="29">
        <v>0</v>
      </c>
    </row>
    <row r="341" spans="1:10" s="98" customFormat="1" x14ac:dyDescent="0.2">
      <c r="A341" s="796" t="s">
        <v>1335</v>
      </c>
      <c r="B341" s="731" t="s">
        <v>1336</v>
      </c>
      <c r="C341" s="695">
        <v>500000</v>
      </c>
      <c r="D341" s="695">
        <v>500000</v>
      </c>
      <c r="E341" s="695">
        <v>22930</v>
      </c>
      <c r="F341" s="695"/>
      <c r="G341" s="1051">
        <f t="shared" si="48"/>
        <v>4.5859999999999994</v>
      </c>
      <c r="H341" s="1055">
        <f t="shared" si="47"/>
        <v>4.5859999999999994</v>
      </c>
      <c r="I341" s="1056">
        <v>0</v>
      </c>
      <c r="J341" s="29">
        <v>0</v>
      </c>
    </row>
    <row r="342" spans="1:10" s="98" customFormat="1" x14ac:dyDescent="0.2">
      <c r="A342" s="796" t="s">
        <v>1329</v>
      </c>
      <c r="B342" s="731" t="s">
        <v>1330</v>
      </c>
      <c r="C342" s="695">
        <v>300000</v>
      </c>
      <c r="D342" s="695">
        <v>300000</v>
      </c>
      <c r="E342" s="695">
        <v>1273</v>
      </c>
      <c r="F342" s="695"/>
      <c r="G342" s="1051">
        <f t="shared" si="48"/>
        <v>0.42433333333333334</v>
      </c>
      <c r="H342" s="1055">
        <f t="shared" si="47"/>
        <v>0.42433333333333334</v>
      </c>
      <c r="I342" s="1056">
        <v>0</v>
      </c>
      <c r="J342" s="29">
        <v>0</v>
      </c>
    </row>
    <row r="343" spans="1:10" s="98" customFormat="1" x14ac:dyDescent="0.2">
      <c r="A343" s="796" t="s">
        <v>411</v>
      </c>
      <c r="B343" s="731" t="s">
        <v>1337</v>
      </c>
      <c r="C343" s="695">
        <v>230000</v>
      </c>
      <c r="D343" s="695">
        <v>230000</v>
      </c>
      <c r="E343" s="695">
        <v>0</v>
      </c>
      <c r="F343" s="695"/>
      <c r="G343" s="1051">
        <f t="shared" si="48"/>
        <v>0</v>
      </c>
      <c r="H343" s="1055">
        <f t="shared" si="47"/>
        <v>0</v>
      </c>
      <c r="I343" s="1056">
        <f t="shared" si="49"/>
        <v>0</v>
      </c>
      <c r="J343" s="29">
        <v>19200</v>
      </c>
    </row>
    <row r="344" spans="1:10" s="98" customFormat="1" x14ac:dyDescent="0.2">
      <c r="A344" s="796" t="s">
        <v>413</v>
      </c>
      <c r="B344" s="731" t="s">
        <v>1338</v>
      </c>
      <c r="C344" s="695">
        <v>250000</v>
      </c>
      <c r="D344" s="695">
        <v>250000</v>
      </c>
      <c r="E344" s="695">
        <v>0</v>
      </c>
      <c r="F344" s="695"/>
      <c r="G344" s="1051">
        <f t="shared" si="48"/>
        <v>0</v>
      </c>
      <c r="H344" s="1055">
        <f t="shared" si="47"/>
        <v>0</v>
      </c>
      <c r="I344" s="1056">
        <f t="shared" si="49"/>
        <v>0</v>
      </c>
      <c r="J344" s="29">
        <v>20160</v>
      </c>
    </row>
    <row r="345" spans="1:10" x14ac:dyDescent="0.2">
      <c r="A345" s="799" t="s">
        <v>415</v>
      </c>
      <c r="B345" s="800" t="s">
        <v>416</v>
      </c>
      <c r="C345" s="728">
        <v>10000</v>
      </c>
      <c r="D345" s="728">
        <v>10000</v>
      </c>
      <c r="E345" s="728">
        <v>0</v>
      </c>
      <c r="F345" s="728"/>
      <c r="G345" s="1051">
        <f t="shared" si="48"/>
        <v>0</v>
      </c>
      <c r="H345" s="1055">
        <f t="shared" si="47"/>
        <v>0</v>
      </c>
      <c r="I345" s="1056">
        <v>0</v>
      </c>
      <c r="J345" s="29">
        <v>0</v>
      </c>
    </row>
    <row r="346" spans="1:10" ht="15.75" x14ac:dyDescent="0.25">
      <c r="A346" s="802"/>
      <c r="B346" s="803" t="s">
        <v>422</v>
      </c>
      <c r="C346" s="792">
        <f>SUM(C347+C362+C395)</f>
        <v>57873000</v>
      </c>
      <c r="D346" s="792">
        <f>SUM(D347+D362+D395)</f>
        <v>62858018</v>
      </c>
      <c r="E346" s="792">
        <v>3716915.33</v>
      </c>
      <c r="F346" s="1092">
        <f>SUM(E347,E362,E395)</f>
        <v>3716915.33</v>
      </c>
      <c r="G346" s="623">
        <f t="shared" si="48"/>
        <v>6.42253785012009</v>
      </c>
      <c r="H346" s="623">
        <f t="shared" si="47"/>
        <v>5.9131920608759891</v>
      </c>
      <c r="I346" s="741">
        <f t="shared" si="49"/>
        <v>140.74638588502657</v>
      </c>
      <c r="J346" s="29">
        <v>2640860.23</v>
      </c>
    </row>
    <row r="347" spans="1:10" x14ac:dyDescent="0.2">
      <c r="A347" s="805">
        <v>2212</v>
      </c>
      <c r="B347" s="806" t="s">
        <v>1339</v>
      </c>
      <c r="C347" s="807">
        <f>SUM(C348:C361)</f>
        <v>10770000</v>
      </c>
      <c r="D347" s="807">
        <f>SUM(D348:D361)</f>
        <v>13220000</v>
      </c>
      <c r="E347" s="807">
        <v>505309.85</v>
      </c>
      <c r="F347" s="1095">
        <f>SUM(E348:E361)</f>
        <v>505309.85</v>
      </c>
      <c r="G347" s="630">
        <f t="shared" si="48"/>
        <v>4.6918277623026921</v>
      </c>
      <c r="H347" s="1052">
        <f t="shared" si="47"/>
        <v>3.8223135400907715</v>
      </c>
      <c r="I347" s="631">
        <f t="shared" si="49"/>
        <v>27.197487365000384</v>
      </c>
      <c r="J347" s="29">
        <v>1857928.43</v>
      </c>
    </row>
    <row r="348" spans="1:10" x14ac:dyDescent="0.2">
      <c r="A348" s="796" t="s">
        <v>293</v>
      </c>
      <c r="B348" s="731" t="s">
        <v>424</v>
      </c>
      <c r="C348" s="695">
        <v>300000</v>
      </c>
      <c r="D348" s="695">
        <f>300000-13500+(700000+1250000)</f>
        <v>2236500</v>
      </c>
      <c r="E348" s="695">
        <v>77621.600000000006</v>
      </c>
      <c r="F348" s="695"/>
      <c r="G348" s="1051">
        <f t="shared" si="48"/>
        <v>25.873866666666668</v>
      </c>
      <c r="H348" s="1055">
        <f t="shared" si="47"/>
        <v>3.4706729264475746</v>
      </c>
      <c r="I348" s="1056">
        <f t="shared" si="49"/>
        <v>96.757289056754303</v>
      </c>
      <c r="J348" s="29">
        <v>80223</v>
      </c>
    </row>
    <row r="349" spans="1:10" x14ac:dyDescent="0.2">
      <c r="A349" s="796" t="s">
        <v>291</v>
      </c>
      <c r="B349" s="731" t="s">
        <v>425</v>
      </c>
      <c r="C349" s="695">
        <v>5000000</v>
      </c>
      <c r="D349" s="695">
        <v>5000000</v>
      </c>
      <c r="E349" s="695">
        <v>0</v>
      </c>
      <c r="F349" s="695"/>
      <c r="G349" s="1051">
        <f t="shared" si="48"/>
        <v>0</v>
      </c>
      <c r="H349" s="1055">
        <f t="shared" si="47"/>
        <v>0</v>
      </c>
      <c r="I349" s="1056">
        <f t="shared" si="49"/>
        <v>0</v>
      </c>
      <c r="J349" s="29">
        <v>1157139.54</v>
      </c>
    </row>
    <row r="350" spans="1:10" x14ac:dyDescent="0.2">
      <c r="A350" s="796" t="s">
        <v>1358</v>
      </c>
      <c r="B350" s="731" t="s">
        <v>1940</v>
      </c>
      <c r="C350" s="695">
        <v>600000</v>
      </c>
      <c r="D350" s="695">
        <v>600000</v>
      </c>
      <c r="E350" s="695">
        <v>0</v>
      </c>
      <c r="F350" s="695"/>
      <c r="G350" s="1051">
        <f t="shared" si="48"/>
        <v>0</v>
      </c>
      <c r="H350" s="1055">
        <f t="shared" si="47"/>
        <v>0</v>
      </c>
      <c r="I350" s="1056">
        <v>0</v>
      </c>
      <c r="J350" s="29">
        <v>0</v>
      </c>
    </row>
    <row r="351" spans="1:10" x14ac:dyDescent="0.2">
      <c r="A351" s="796" t="s">
        <v>440</v>
      </c>
      <c r="B351" s="809" t="s">
        <v>1343</v>
      </c>
      <c r="C351" s="695">
        <v>10000</v>
      </c>
      <c r="D351" s="695">
        <v>10000</v>
      </c>
      <c r="E351" s="695">
        <v>0</v>
      </c>
      <c r="F351" s="695"/>
      <c r="G351" s="1051">
        <f t="shared" si="48"/>
        <v>0</v>
      </c>
      <c r="H351" s="1055">
        <f t="shared" si="47"/>
        <v>0</v>
      </c>
      <c r="I351" s="1056">
        <v>0</v>
      </c>
      <c r="J351" s="29">
        <v>0</v>
      </c>
    </row>
    <row r="352" spans="1:10" x14ac:dyDescent="0.2">
      <c r="A352" s="796" t="s">
        <v>442</v>
      </c>
      <c r="B352" s="731" t="s">
        <v>1344</v>
      </c>
      <c r="C352" s="695">
        <v>0</v>
      </c>
      <c r="D352" s="695">
        <v>13500</v>
      </c>
      <c r="E352" s="695">
        <v>13500</v>
      </c>
      <c r="F352" s="695"/>
      <c r="G352" s="1051">
        <v>0</v>
      </c>
      <c r="H352" s="1055">
        <f t="shared" si="47"/>
        <v>100</v>
      </c>
      <c r="I352" s="1056">
        <v>0</v>
      </c>
      <c r="J352" s="29">
        <v>0</v>
      </c>
    </row>
    <row r="353" spans="1:10" x14ac:dyDescent="0.2">
      <c r="A353" s="796" t="s">
        <v>1349</v>
      </c>
      <c r="B353" s="731" t="s">
        <v>1350</v>
      </c>
      <c r="C353" s="695">
        <v>150000</v>
      </c>
      <c r="D353" s="695">
        <f>150000+200000</f>
        <v>350000</v>
      </c>
      <c r="E353" s="695">
        <v>0</v>
      </c>
      <c r="F353" s="695"/>
      <c r="G353" s="1051">
        <f t="shared" si="48"/>
        <v>0</v>
      </c>
      <c r="H353" s="1055">
        <f t="shared" si="47"/>
        <v>0</v>
      </c>
      <c r="I353" s="1056">
        <f t="shared" si="49"/>
        <v>0</v>
      </c>
      <c r="J353" s="29">
        <v>75000</v>
      </c>
    </row>
    <row r="354" spans="1:10" x14ac:dyDescent="0.2">
      <c r="A354" s="796" t="s">
        <v>438</v>
      </c>
      <c r="B354" s="731" t="s">
        <v>1342</v>
      </c>
      <c r="C354" s="695">
        <v>10000</v>
      </c>
      <c r="D354" s="695">
        <v>10000</v>
      </c>
      <c r="E354" s="695">
        <v>0</v>
      </c>
      <c r="F354" s="695"/>
      <c r="G354" s="1051">
        <f t="shared" si="48"/>
        <v>0</v>
      </c>
      <c r="H354" s="1055">
        <f t="shared" si="47"/>
        <v>0</v>
      </c>
      <c r="I354" s="1056">
        <v>0</v>
      </c>
      <c r="J354" s="29">
        <v>0</v>
      </c>
    </row>
    <row r="355" spans="1:10" x14ac:dyDescent="0.2">
      <c r="A355" s="796" t="s">
        <v>1345</v>
      </c>
      <c r="B355" s="731" t="s">
        <v>1346</v>
      </c>
      <c r="C355" s="695">
        <v>2200000</v>
      </c>
      <c r="D355" s="695">
        <f>2200000-200000</f>
        <v>2000000</v>
      </c>
      <c r="E355" s="695">
        <v>0</v>
      </c>
      <c r="F355" s="695"/>
      <c r="G355" s="1051">
        <f t="shared" si="48"/>
        <v>0</v>
      </c>
      <c r="H355" s="1055">
        <f t="shared" si="47"/>
        <v>0</v>
      </c>
      <c r="I355" s="1056">
        <v>0</v>
      </c>
      <c r="J355" s="29">
        <v>0</v>
      </c>
    </row>
    <row r="356" spans="1:10" x14ac:dyDescent="0.2">
      <c r="A356" s="796" t="s">
        <v>451</v>
      </c>
      <c r="B356" s="731" t="s">
        <v>1352</v>
      </c>
      <c r="C356" s="695">
        <v>500000</v>
      </c>
      <c r="D356" s="695">
        <v>500000</v>
      </c>
      <c r="E356" s="695">
        <v>0</v>
      </c>
      <c r="F356" s="695"/>
      <c r="G356" s="1051">
        <f t="shared" si="48"/>
        <v>0</v>
      </c>
      <c r="H356" s="1055">
        <f t="shared" si="47"/>
        <v>0</v>
      </c>
      <c r="I356" s="1056">
        <f t="shared" si="49"/>
        <v>0</v>
      </c>
      <c r="J356" s="29">
        <v>204490</v>
      </c>
    </row>
    <row r="357" spans="1:10" x14ac:dyDescent="0.2">
      <c r="A357" s="796" t="s">
        <v>1941</v>
      </c>
      <c r="B357" s="731" t="s">
        <v>1942</v>
      </c>
      <c r="C357" s="695">
        <v>0</v>
      </c>
      <c r="D357" s="695">
        <v>500000</v>
      </c>
      <c r="E357" s="695">
        <v>0</v>
      </c>
      <c r="F357" s="695"/>
      <c r="G357" s="1051">
        <v>0</v>
      </c>
      <c r="H357" s="1055">
        <f t="shared" si="47"/>
        <v>0</v>
      </c>
      <c r="I357" s="1056">
        <v>0</v>
      </c>
      <c r="J357" s="29">
        <v>0</v>
      </c>
    </row>
    <row r="358" spans="1:10" x14ac:dyDescent="0.2">
      <c r="A358" s="796" t="s">
        <v>1354</v>
      </c>
      <c r="B358" s="731" t="s">
        <v>1355</v>
      </c>
      <c r="C358" s="695">
        <v>500000</v>
      </c>
      <c r="D358" s="695">
        <v>500000</v>
      </c>
      <c r="E358" s="695">
        <v>106480</v>
      </c>
      <c r="F358" s="695"/>
      <c r="G358" s="1051">
        <f t="shared" si="48"/>
        <v>21.295999999999999</v>
      </c>
      <c r="H358" s="1055">
        <f t="shared" si="47"/>
        <v>21.295999999999999</v>
      </c>
      <c r="I358" s="1056">
        <v>0</v>
      </c>
      <c r="J358" s="29">
        <v>0</v>
      </c>
    </row>
    <row r="359" spans="1:10" x14ac:dyDescent="0.2">
      <c r="A359" s="796" t="s">
        <v>1356</v>
      </c>
      <c r="B359" s="731" t="s">
        <v>1357</v>
      </c>
      <c r="C359" s="695">
        <v>600000</v>
      </c>
      <c r="D359" s="695">
        <v>600000</v>
      </c>
      <c r="E359" s="695">
        <v>0</v>
      </c>
      <c r="F359" s="695"/>
      <c r="G359" s="1051">
        <f t="shared" si="48"/>
        <v>0</v>
      </c>
      <c r="H359" s="1055">
        <f t="shared" si="47"/>
        <v>0</v>
      </c>
      <c r="I359" s="1056">
        <f t="shared" si="49"/>
        <v>0</v>
      </c>
      <c r="J359" s="29">
        <v>6050</v>
      </c>
    </row>
    <row r="360" spans="1:10" x14ac:dyDescent="0.2">
      <c r="A360" s="796" t="s">
        <v>447</v>
      </c>
      <c r="B360" s="731" t="s">
        <v>448</v>
      </c>
      <c r="C360" s="695">
        <v>550000</v>
      </c>
      <c r="D360" s="695">
        <v>550000</v>
      </c>
      <c r="E360" s="695">
        <v>0</v>
      </c>
      <c r="F360" s="695"/>
      <c r="G360" s="1051">
        <f t="shared" si="48"/>
        <v>0</v>
      </c>
      <c r="H360" s="1055">
        <f t="shared" si="47"/>
        <v>0</v>
      </c>
      <c r="I360" s="1056">
        <v>0</v>
      </c>
      <c r="J360" s="29">
        <v>0</v>
      </c>
    </row>
    <row r="361" spans="1:10" x14ac:dyDescent="0.2">
      <c r="A361" s="796" t="s">
        <v>453</v>
      </c>
      <c r="B361" s="731" t="s">
        <v>1353</v>
      </c>
      <c r="C361" s="695">
        <v>350000</v>
      </c>
      <c r="D361" s="695">
        <v>350000</v>
      </c>
      <c r="E361" s="695">
        <v>307708.25</v>
      </c>
      <c r="F361" s="695"/>
      <c r="G361" s="1051">
        <f t="shared" si="48"/>
        <v>87.916642857142861</v>
      </c>
      <c r="H361" s="1055">
        <f t="shared" si="47"/>
        <v>87.916642857142861</v>
      </c>
      <c r="I361" s="1056">
        <f t="shared" si="49"/>
        <v>901.78843561338726</v>
      </c>
      <c r="J361" s="29">
        <v>34122</v>
      </c>
    </row>
    <row r="362" spans="1:10" x14ac:dyDescent="0.2">
      <c r="A362" s="730">
        <v>2219</v>
      </c>
      <c r="B362" s="797" t="s">
        <v>1241</v>
      </c>
      <c r="C362" s="798">
        <f>SUM(C363:C394)</f>
        <v>45348000</v>
      </c>
      <c r="D362" s="798">
        <f>SUM(D363:D394)</f>
        <v>47883018</v>
      </c>
      <c r="E362" s="798">
        <v>3193419.48</v>
      </c>
      <c r="F362" s="1094">
        <f>SUM(E363:E394)</f>
        <v>3193419.48</v>
      </c>
      <c r="G362" s="630">
        <f t="shared" si="48"/>
        <v>7.0420293728499601</v>
      </c>
      <c r="H362" s="1052">
        <f t="shared" si="47"/>
        <v>6.6692109507383179</v>
      </c>
      <c r="I362" s="631">
        <f t="shared" si="49"/>
        <v>424.95533165715597</v>
      </c>
      <c r="J362" s="29">
        <v>751471.8</v>
      </c>
    </row>
    <row r="363" spans="1:10" x14ac:dyDescent="0.2">
      <c r="A363" s="796" t="s">
        <v>299</v>
      </c>
      <c r="B363" s="731" t="s">
        <v>460</v>
      </c>
      <c r="C363" s="695">
        <v>200000</v>
      </c>
      <c r="D363" s="695">
        <f>200000+50000</f>
        <v>250000</v>
      </c>
      <c r="E363" s="695">
        <v>88000</v>
      </c>
      <c r="F363" s="695"/>
      <c r="G363" s="1051">
        <f t="shared" si="48"/>
        <v>44</v>
      </c>
      <c r="H363" s="1055">
        <f t="shared" si="47"/>
        <v>35.199999999999996</v>
      </c>
      <c r="I363" s="1056">
        <v>0</v>
      </c>
      <c r="J363" s="29">
        <v>0</v>
      </c>
    </row>
    <row r="364" spans="1:10" x14ac:dyDescent="0.2">
      <c r="A364" s="796" t="s">
        <v>301</v>
      </c>
      <c r="B364" s="731" t="s">
        <v>461</v>
      </c>
      <c r="C364" s="695">
        <v>3600000</v>
      </c>
      <c r="D364" s="695">
        <f>3600000-50000-50000</f>
        <v>3500000</v>
      </c>
      <c r="E364" s="695">
        <v>0</v>
      </c>
      <c r="F364" s="695"/>
      <c r="G364" s="1051">
        <f t="shared" si="48"/>
        <v>0</v>
      </c>
      <c r="H364" s="1055">
        <f t="shared" ref="H364:H427" si="50">E364/D364*100</f>
        <v>0</v>
      </c>
      <c r="I364" s="1056">
        <v>0</v>
      </c>
      <c r="J364" s="29">
        <v>0</v>
      </c>
    </row>
    <row r="365" spans="1:10" x14ac:dyDescent="0.2">
      <c r="A365" s="796" t="s">
        <v>464</v>
      </c>
      <c r="B365" s="731" t="s">
        <v>1360</v>
      </c>
      <c r="C365" s="695">
        <v>5350000</v>
      </c>
      <c r="D365" s="695">
        <v>5350000</v>
      </c>
      <c r="E365" s="695">
        <v>5808</v>
      </c>
      <c r="F365" s="695"/>
      <c r="G365" s="1051">
        <f t="shared" si="48"/>
        <v>0.10856074766355139</v>
      </c>
      <c r="H365" s="1055">
        <f t="shared" si="50"/>
        <v>0.10856074766355139</v>
      </c>
      <c r="I365" s="1056">
        <v>0</v>
      </c>
      <c r="J365" s="29">
        <v>0</v>
      </c>
    </row>
    <row r="366" spans="1:10" x14ac:dyDescent="0.2">
      <c r="A366" s="796" t="s">
        <v>468</v>
      </c>
      <c r="B366" s="731" t="s">
        <v>1361</v>
      </c>
      <c r="C366" s="695">
        <v>1500000</v>
      </c>
      <c r="D366" s="695">
        <f>1500000+50000</f>
        <v>1550000</v>
      </c>
      <c r="E366" s="695">
        <v>47116</v>
      </c>
      <c r="F366" s="695"/>
      <c r="G366" s="1051">
        <f t="shared" si="48"/>
        <v>3.1410666666666671</v>
      </c>
      <c r="H366" s="1055">
        <f t="shared" si="50"/>
        <v>3.0397419354838711</v>
      </c>
      <c r="I366" s="1056">
        <v>0</v>
      </c>
      <c r="J366" s="29">
        <v>0</v>
      </c>
    </row>
    <row r="367" spans="1:10" x14ac:dyDescent="0.2">
      <c r="A367" s="796" t="s">
        <v>470</v>
      </c>
      <c r="B367" s="809" t="s">
        <v>1943</v>
      </c>
      <c r="C367" s="695">
        <v>100000</v>
      </c>
      <c r="D367" s="695">
        <v>100000</v>
      </c>
      <c r="E367" s="695">
        <v>58080</v>
      </c>
      <c r="F367" s="695"/>
      <c r="G367" s="1051">
        <f t="shared" si="48"/>
        <v>58.08</v>
      </c>
      <c r="H367" s="1055">
        <f t="shared" si="50"/>
        <v>58.08</v>
      </c>
      <c r="I367" s="1056">
        <v>0</v>
      </c>
      <c r="J367" s="29">
        <v>0</v>
      </c>
    </row>
    <row r="368" spans="1:10" x14ac:dyDescent="0.2">
      <c r="A368" s="796" t="s">
        <v>1396</v>
      </c>
      <c r="B368" s="809" t="s">
        <v>1397</v>
      </c>
      <c r="C368" s="695">
        <v>800000</v>
      </c>
      <c r="D368" s="695">
        <v>800000</v>
      </c>
      <c r="E368" s="695">
        <v>0</v>
      </c>
      <c r="F368" s="695"/>
      <c r="G368" s="1051">
        <f t="shared" ref="G368:G431" si="51">E368/C368*100</f>
        <v>0</v>
      </c>
      <c r="H368" s="1055">
        <f t="shared" si="50"/>
        <v>0</v>
      </c>
      <c r="I368" s="1056">
        <v>0</v>
      </c>
      <c r="J368" s="29">
        <v>0</v>
      </c>
    </row>
    <row r="369" spans="1:10" x14ac:dyDescent="0.2">
      <c r="A369" s="796" t="s">
        <v>486</v>
      </c>
      <c r="B369" s="731" t="s">
        <v>1944</v>
      </c>
      <c r="C369" s="695">
        <v>500000</v>
      </c>
      <c r="D369" s="695">
        <f>500000+2500000</f>
        <v>3000000</v>
      </c>
      <c r="E369" s="695">
        <v>2250972.48</v>
      </c>
      <c r="F369" s="695"/>
      <c r="G369" s="1051">
        <f t="shared" si="51"/>
        <v>450.19449600000002</v>
      </c>
      <c r="H369" s="1055">
        <f t="shared" si="50"/>
        <v>75.032415999999998</v>
      </c>
      <c r="I369" s="1056">
        <v>0</v>
      </c>
      <c r="J369" s="29">
        <v>0</v>
      </c>
    </row>
    <row r="370" spans="1:10" x14ac:dyDescent="0.2">
      <c r="A370" s="796" t="s">
        <v>1394</v>
      </c>
      <c r="B370" s="809" t="s">
        <v>1395</v>
      </c>
      <c r="C370" s="695">
        <v>550000</v>
      </c>
      <c r="D370" s="695">
        <v>550000</v>
      </c>
      <c r="E370" s="695">
        <v>290400</v>
      </c>
      <c r="F370" s="695"/>
      <c r="G370" s="1051">
        <f t="shared" si="51"/>
        <v>52.800000000000004</v>
      </c>
      <c r="H370" s="1055">
        <f t="shared" si="50"/>
        <v>52.800000000000004</v>
      </c>
      <c r="I370" s="1056">
        <v>0</v>
      </c>
      <c r="J370" s="29">
        <v>0</v>
      </c>
    </row>
    <row r="371" spans="1:10" x14ac:dyDescent="0.2">
      <c r="A371" s="796" t="s">
        <v>1398</v>
      </c>
      <c r="B371" s="809" t="s">
        <v>1399</v>
      </c>
      <c r="C371" s="695">
        <v>600000</v>
      </c>
      <c r="D371" s="695">
        <v>600000</v>
      </c>
      <c r="E371" s="695">
        <v>0</v>
      </c>
      <c r="F371" s="695"/>
      <c r="G371" s="1051">
        <f t="shared" si="51"/>
        <v>0</v>
      </c>
      <c r="H371" s="1055">
        <f t="shared" si="50"/>
        <v>0</v>
      </c>
      <c r="I371" s="1056">
        <f t="shared" si="49"/>
        <v>0</v>
      </c>
      <c r="J371" s="29">
        <v>25954</v>
      </c>
    </row>
    <row r="372" spans="1:10" x14ac:dyDescent="0.2">
      <c r="A372" s="796" t="s">
        <v>1400</v>
      </c>
      <c r="B372" s="809" t="s">
        <v>1401</v>
      </c>
      <c r="C372" s="695">
        <v>350000</v>
      </c>
      <c r="D372" s="695">
        <v>350000</v>
      </c>
      <c r="E372" s="695">
        <v>0</v>
      </c>
      <c r="F372" s="695"/>
      <c r="G372" s="1051">
        <f t="shared" si="51"/>
        <v>0</v>
      </c>
      <c r="H372" s="1055">
        <f t="shared" si="50"/>
        <v>0</v>
      </c>
      <c r="I372" s="1056">
        <v>0</v>
      </c>
      <c r="J372" s="29">
        <v>0</v>
      </c>
    </row>
    <row r="373" spans="1:10" x14ac:dyDescent="0.2">
      <c r="A373" s="796" t="s">
        <v>492</v>
      </c>
      <c r="B373" s="809" t="s">
        <v>1945</v>
      </c>
      <c r="C373" s="695">
        <v>37000</v>
      </c>
      <c r="D373" s="695">
        <v>37000</v>
      </c>
      <c r="E373" s="695">
        <v>36300</v>
      </c>
      <c r="F373" s="695"/>
      <c r="G373" s="1051">
        <f t="shared" si="51"/>
        <v>98.108108108108098</v>
      </c>
      <c r="H373" s="1055">
        <f t="shared" si="50"/>
        <v>98.108108108108098</v>
      </c>
      <c r="I373" s="1056">
        <v>0</v>
      </c>
      <c r="J373" s="29">
        <v>0</v>
      </c>
    </row>
    <row r="374" spans="1:10" x14ac:dyDescent="0.2">
      <c r="A374" s="796" t="s">
        <v>1369</v>
      </c>
      <c r="B374" s="809" t="s">
        <v>1370</v>
      </c>
      <c r="C374" s="695">
        <v>37000</v>
      </c>
      <c r="D374" s="695">
        <v>37000</v>
      </c>
      <c r="E374" s="695">
        <v>36300</v>
      </c>
      <c r="F374" s="695"/>
      <c r="G374" s="1051">
        <f t="shared" si="51"/>
        <v>98.108108108108098</v>
      </c>
      <c r="H374" s="1055">
        <f t="shared" si="50"/>
        <v>98.108108108108098</v>
      </c>
      <c r="I374" s="1056">
        <v>0</v>
      </c>
      <c r="J374" s="29">
        <v>0</v>
      </c>
    </row>
    <row r="375" spans="1:10" x14ac:dyDescent="0.2">
      <c r="A375" s="796" t="s">
        <v>1374</v>
      </c>
      <c r="B375" s="809" t="s">
        <v>1375</v>
      </c>
      <c r="C375" s="695">
        <v>200000</v>
      </c>
      <c r="D375" s="695">
        <v>200000</v>
      </c>
      <c r="E375" s="695">
        <v>59692</v>
      </c>
      <c r="F375" s="695"/>
      <c r="G375" s="1051">
        <f t="shared" si="51"/>
        <v>29.846</v>
      </c>
      <c r="H375" s="1055">
        <f t="shared" si="50"/>
        <v>29.846</v>
      </c>
      <c r="I375" s="1056">
        <v>0</v>
      </c>
      <c r="J375" s="29">
        <v>0</v>
      </c>
    </row>
    <row r="376" spans="1:10" x14ac:dyDescent="0.2">
      <c r="A376" s="796" t="s">
        <v>1376</v>
      </c>
      <c r="B376" s="809" t="s">
        <v>1377</v>
      </c>
      <c r="C376" s="695">
        <v>3330000</v>
      </c>
      <c r="D376" s="695">
        <v>3330000</v>
      </c>
      <c r="E376" s="695">
        <v>24073</v>
      </c>
      <c r="F376" s="695"/>
      <c r="G376" s="1051">
        <f t="shared" si="51"/>
        <v>0.72291291291291293</v>
      </c>
      <c r="H376" s="1055">
        <f t="shared" si="50"/>
        <v>0.72291291291291293</v>
      </c>
      <c r="I376" s="1056">
        <f t="shared" si="49"/>
        <v>47.291908139009486</v>
      </c>
      <c r="J376" s="29">
        <v>50903</v>
      </c>
    </row>
    <row r="377" spans="1:10" x14ac:dyDescent="0.2">
      <c r="A377" s="796" t="s">
        <v>1378</v>
      </c>
      <c r="B377" s="809" t="s">
        <v>1379</v>
      </c>
      <c r="C377" s="695">
        <v>1630000</v>
      </c>
      <c r="D377" s="695">
        <v>1630000</v>
      </c>
      <c r="E377" s="695">
        <v>22662</v>
      </c>
      <c r="F377" s="695"/>
      <c r="G377" s="1051">
        <f t="shared" si="51"/>
        <v>1.3903067484662577</v>
      </c>
      <c r="H377" s="1055">
        <f t="shared" si="50"/>
        <v>1.3903067484662577</v>
      </c>
      <c r="I377" s="1056">
        <f t="shared" si="49"/>
        <v>106.71501224336033</v>
      </c>
      <c r="J377" s="29">
        <v>21236</v>
      </c>
    </row>
    <row r="378" spans="1:10" x14ac:dyDescent="0.2">
      <c r="A378" s="796" t="s">
        <v>1381</v>
      </c>
      <c r="B378" s="809" t="s">
        <v>1946</v>
      </c>
      <c r="C378" s="695">
        <v>2400000</v>
      </c>
      <c r="D378" s="695">
        <v>2400000</v>
      </c>
      <c r="E378" s="695">
        <v>-750</v>
      </c>
      <c r="F378" s="695"/>
      <c r="G378" s="1051">
        <f t="shared" si="51"/>
        <v>-3.125E-2</v>
      </c>
      <c r="H378" s="1055">
        <f t="shared" si="50"/>
        <v>-3.125E-2</v>
      </c>
      <c r="I378" s="1056">
        <f t="shared" si="49"/>
        <v>-0.74872716382150351</v>
      </c>
      <c r="J378" s="29">
        <v>100170</v>
      </c>
    </row>
    <row r="379" spans="1:10" x14ac:dyDescent="0.2">
      <c r="A379" s="796" t="s">
        <v>1383</v>
      </c>
      <c r="B379" s="809" t="s">
        <v>1384</v>
      </c>
      <c r="C379" s="695">
        <v>3150000</v>
      </c>
      <c r="D379" s="695">
        <v>3150000</v>
      </c>
      <c r="E379" s="695">
        <v>25566</v>
      </c>
      <c r="F379" s="695"/>
      <c r="G379" s="1051">
        <f t="shared" si="51"/>
        <v>0.81161904761904768</v>
      </c>
      <c r="H379" s="1055">
        <f t="shared" si="50"/>
        <v>0.81161904761904768</v>
      </c>
      <c r="I379" s="1056">
        <f t="shared" si="49"/>
        <v>98.505047391538881</v>
      </c>
      <c r="J379" s="29">
        <v>25954</v>
      </c>
    </row>
    <row r="380" spans="1:10" x14ac:dyDescent="0.2">
      <c r="A380" s="796" t="s">
        <v>1385</v>
      </c>
      <c r="B380" s="809" t="s">
        <v>1386</v>
      </c>
      <c r="C380" s="695">
        <v>37000</v>
      </c>
      <c r="D380" s="695">
        <v>37000</v>
      </c>
      <c r="E380" s="695">
        <v>0</v>
      </c>
      <c r="F380" s="695"/>
      <c r="G380" s="1051">
        <f t="shared" si="51"/>
        <v>0</v>
      </c>
      <c r="H380" s="1055">
        <f t="shared" si="50"/>
        <v>0</v>
      </c>
      <c r="I380" s="1056">
        <v>0</v>
      </c>
      <c r="J380" s="29">
        <v>0</v>
      </c>
    </row>
    <row r="381" spans="1:10" x14ac:dyDescent="0.2">
      <c r="A381" s="796" t="s">
        <v>1387</v>
      </c>
      <c r="B381" s="809" t="s">
        <v>1388</v>
      </c>
      <c r="C381" s="695">
        <v>37000</v>
      </c>
      <c r="D381" s="695">
        <v>37000</v>
      </c>
      <c r="E381" s="695">
        <v>0</v>
      </c>
      <c r="F381" s="695"/>
      <c r="G381" s="1051">
        <f t="shared" si="51"/>
        <v>0</v>
      </c>
      <c r="H381" s="1055">
        <f t="shared" si="50"/>
        <v>0</v>
      </c>
      <c r="I381" s="1056">
        <v>0</v>
      </c>
      <c r="J381" s="29">
        <v>0</v>
      </c>
    </row>
    <row r="382" spans="1:10" x14ac:dyDescent="0.2">
      <c r="A382" s="796" t="s">
        <v>1389</v>
      </c>
      <c r="B382" s="809" t="s">
        <v>1390</v>
      </c>
      <c r="C382" s="695">
        <v>40000</v>
      </c>
      <c r="D382" s="695">
        <v>40000</v>
      </c>
      <c r="E382" s="695">
        <v>0</v>
      </c>
      <c r="F382" s="695"/>
      <c r="G382" s="1051">
        <f t="shared" si="51"/>
        <v>0</v>
      </c>
      <c r="H382" s="1055">
        <f t="shared" si="50"/>
        <v>0</v>
      </c>
      <c r="I382" s="1056">
        <v>0</v>
      </c>
      <c r="J382" s="29">
        <v>0</v>
      </c>
    </row>
    <row r="383" spans="1:10" x14ac:dyDescent="0.2">
      <c r="A383" s="796" t="s">
        <v>1391</v>
      </c>
      <c r="B383" s="809" t="s">
        <v>1392</v>
      </c>
      <c r="C383" s="695">
        <v>190000</v>
      </c>
      <c r="D383" s="695">
        <v>190000</v>
      </c>
      <c r="E383" s="695">
        <v>0</v>
      </c>
      <c r="F383" s="695"/>
      <c r="G383" s="1051">
        <f t="shared" si="51"/>
        <v>0</v>
      </c>
      <c r="H383" s="1055">
        <f t="shared" si="50"/>
        <v>0</v>
      </c>
      <c r="I383" s="1056">
        <v>0</v>
      </c>
      <c r="J383" s="29">
        <v>0</v>
      </c>
    </row>
    <row r="384" spans="1:10" x14ac:dyDescent="0.2">
      <c r="A384" s="796" t="s">
        <v>500</v>
      </c>
      <c r="B384" s="809" t="s">
        <v>501</v>
      </c>
      <c r="C384" s="695">
        <v>10000</v>
      </c>
      <c r="D384" s="695">
        <v>10000</v>
      </c>
      <c r="E384" s="695">
        <v>0</v>
      </c>
      <c r="F384" s="695"/>
      <c r="G384" s="1051">
        <f t="shared" si="51"/>
        <v>0</v>
      </c>
      <c r="H384" s="1055">
        <f t="shared" si="50"/>
        <v>0</v>
      </c>
      <c r="I384" s="1056">
        <f t="shared" si="49"/>
        <v>0</v>
      </c>
      <c r="J384" s="29">
        <v>206216</v>
      </c>
    </row>
    <row r="385" spans="1:10" x14ac:dyDescent="0.2">
      <c r="A385" s="796" t="s">
        <v>1402</v>
      </c>
      <c r="B385" s="809" t="s">
        <v>1947</v>
      </c>
      <c r="C385" s="695">
        <f>3400000+2200000</f>
        <v>5600000</v>
      </c>
      <c r="D385" s="695">
        <f>3400000+2200000+22018</f>
        <v>5622018</v>
      </c>
      <c r="E385" s="695">
        <v>13250</v>
      </c>
      <c r="F385" s="695"/>
      <c r="G385" s="1051">
        <f t="shared" si="51"/>
        <v>0.23660714285714288</v>
      </c>
      <c r="H385" s="1055">
        <f t="shared" si="50"/>
        <v>0.2356804976433729</v>
      </c>
      <c r="I385" s="1056">
        <v>0</v>
      </c>
      <c r="J385" s="29">
        <v>0</v>
      </c>
    </row>
    <row r="386" spans="1:10" x14ac:dyDescent="0.2">
      <c r="A386" s="796" t="s">
        <v>1406</v>
      </c>
      <c r="B386" s="809" t="s">
        <v>1407</v>
      </c>
      <c r="C386" s="695">
        <v>1700000</v>
      </c>
      <c r="D386" s="695">
        <v>1700000</v>
      </c>
      <c r="E386" s="695">
        <v>235950</v>
      </c>
      <c r="F386" s="695"/>
      <c r="G386" s="1051">
        <f t="shared" si="51"/>
        <v>13.879411764705882</v>
      </c>
      <c r="H386" s="1055">
        <f t="shared" si="50"/>
        <v>13.879411764705882</v>
      </c>
      <c r="I386" s="1056">
        <v>0</v>
      </c>
      <c r="J386" s="29">
        <v>0</v>
      </c>
    </row>
    <row r="387" spans="1:10" x14ac:dyDescent="0.2">
      <c r="A387" s="796" t="s">
        <v>1408</v>
      </c>
      <c r="B387" s="809" t="s">
        <v>1409</v>
      </c>
      <c r="C387" s="695">
        <v>1300000</v>
      </c>
      <c r="D387" s="695">
        <v>1300000</v>
      </c>
      <c r="E387" s="695">
        <v>0</v>
      </c>
      <c r="F387" s="695"/>
      <c r="G387" s="1051">
        <f t="shared" si="51"/>
        <v>0</v>
      </c>
      <c r="H387" s="1055">
        <f t="shared" si="50"/>
        <v>0</v>
      </c>
      <c r="I387" s="1056">
        <v>0</v>
      </c>
      <c r="J387" s="29">
        <v>0</v>
      </c>
    </row>
    <row r="388" spans="1:10" x14ac:dyDescent="0.2">
      <c r="A388" s="796" t="s">
        <v>1410</v>
      </c>
      <c r="B388" s="809" t="s">
        <v>1411</v>
      </c>
      <c r="C388" s="695">
        <v>630000</v>
      </c>
      <c r="D388" s="695">
        <v>630000</v>
      </c>
      <c r="E388" s="695">
        <v>0</v>
      </c>
      <c r="F388" s="695"/>
      <c r="G388" s="1051">
        <f t="shared" si="51"/>
        <v>0</v>
      </c>
      <c r="H388" s="1055">
        <f t="shared" si="50"/>
        <v>0</v>
      </c>
      <c r="I388" s="1056">
        <v>0</v>
      </c>
      <c r="J388" s="29">
        <v>0</v>
      </c>
    </row>
    <row r="389" spans="1:10" x14ac:dyDescent="0.2">
      <c r="A389" s="796" t="s">
        <v>1412</v>
      </c>
      <c r="B389" s="809" t="s">
        <v>1413</v>
      </c>
      <c r="C389" s="695">
        <v>800000</v>
      </c>
      <c r="D389" s="695">
        <v>800000</v>
      </c>
      <c r="E389" s="695">
        <v>0</v>
      </c>
      <c r="F389" s="695"/>
      <c r="G389" s="1051">
        <f t="shared" si="51"/>
        <v>0</v>
      </c>
      <c r="H389" s="1055">
        <f t="shared" si="50"/>
        <v>0</v>
      </c>
      <c r="I389" s="1056">
        <v>0</v>
      </c>
      <c r="J389" s="29">
        <v>0</v>
      </c>
    </row>
    <row r="390" spans="1:10" x14ac:dyDescent="0.2">
      <c r="A390" s="796" t="s">
        <v>1414</v>
      </c>
      <c r="B390" s="809" t="s">
        <v>1415</v>
      </c>
      <c r="C390" s="695">
        <v>350000</v>
      </c>
      <c r="D390" s="695">
        <f>350000+13000</f>
        <v>363000</v>
      </c>
      <c r="E390" s="695">
        <v>0</v>
      </c>
      <c r="F390" s="695"/>
      <c r="G390" s="1051">
        <f t="shared" si="51"/>
        <v>0</v>
      </c>
      <c r="H390" s="1055">
        <f t="shared" si="50"/>
        <v>0</v>
      </c>
      <c r="I390" s="1056">
        <v>0</v>
      </c>
      <c r="J390" s="29">
        <v>0</v>
      </c>
    </row>
    <row r="391" spans="1:10" x14ac:dyDescent="0.2">
      <c r="A391" s="796" t="s">
        <v>1418</v>
      </c>
      <c r="B391" s="809" t="s">
        <v>1948</v>
      </c>
      <c r="C391" s="695">
        <f>302100+287900</f>
        <v>590000</v>
      </c>
      <c r="D391" s="695">
        <f>302100+287900</f>
        <v>590000</v>
      </c>
      <c r="E391" s="695">
        <v>0</v>
      </c>
      <c r="F391" s="695"/>
      <c r="G391" s="1051">
        <f t="shared" si="51"/>
        <v>0</v>
      </c>
      <c r="H391" s="1055">
        <f t="shared" si="50"/>
        <v>0</v>
      </c>
      <c r="I391" s="1056">
        <v>0</v>
      </c>
      <c r="J391" s="29">
        <v>0</v>
      </c>
    </row>
    <row r="392" spans="1:10" x14ac:dyDescent="0.2">
      <c r="A392" s="796" t="s">
        <v>1422</v>
      </c>
      <c r="B392" s="809" t="s">
        <v>1423</v>
      </c>
      <c r="C392" s="695">
        <v>9650000</v>
      </c>
      <c r="D392" s="695">
        <v>9650000</v>
      </c>
      <c r="E392" s="695">
        <v>0</v>
      </c>
      <c r="F392" s="695"/>
      <c r="G392" s="1051">
        <f t="shared" si="51"/>
        <v>0</v>
      </c>
      <c r="H392" s="1055">
        <f t="shared" si="50"/>
        <v>0</v>
      </c>
      <c r="I392" s="1056">
        <v>0</v>
      </c>
      <c r="J392" s="29">
        <v>0</v>
      </c>
    </row>
    <row r="393" spans="1:10" x14ac:dyDescent="0.2">
      <c r="A393" s="796" t="s">
        <v>1426</v>
      </c>
      <c r="B393" s="809" t="s">
        <v>1427</v>
      </c>
      <c r="C393" s="695">
        <v>30000</v>
      </c>
      <c r="D393" s="695">
        <v>30000</v>
      </c>
      <c r="E393" s="695">
        <v>0</v>
      </c>
      <c r="F393" s="695"/>
      <c r="G393" s="1051">
        <f t="shared" si="51"/>
        <v>0</v>
      </c>
      <c r="H393" s="1055">
        <f t="shared" si="50"/>
        <v>0</v>
      </c>
      <c r="I393" s="1056">
        <v>0</v>
      </c>
      <c r="J393" s="29">
        <v>0</v>
      </c>
    </row>
    <row r="394" spans="1:10" x14ac:dyDescent="0.2">
      <c r="A394" s="796" t="s">
        <v>1428</v>
      </c>
      <c r="B394" s="809" t="s">
        <v>1429</v>
      </c>
      <c r="C394" s="695">
        <v>50000</v>
      </c>
      <c r="D394" s="695">
        <v>50000</v>
      </c>
      <c r="E394" s="695">
        <v>0</v>
      </c>
      <c r="F394" s="695"/>
      <c r="G394" s="1051">
        <f t="shared" si="51"/>
        <v>0</v>
      </c>
      <c r="H394" s="1055">
        <f t="shared" si="50"/>
        <v>0</v>
      </c>
      <c r="I394" s="1056">
        <f t="shared" ref="I394:I443" si="52">E394/J394*100</f>
        <v>0</v>
      </c>
      <c r="J394" s="29">
        <v>54450</v>
      </c>
    </row>
    <row r="395" spans="1:10" x14ac:dyDescent="0.2">
      <c r="A395" s="730">
        <v>2221</v>
      </c>
      <c r="B395" s="797" t="s">
        <v>1258</v>
      </c>
      <c r="C395" s="798">
        <f>SUM(C396:C397)</f>
        <v>1755000</v>
      </c>
      <c r="D395" s="798">
        <f>SUM(D396:D397)</f>
        <v>1755000</v>
      </c>
      <c r="E395" s="798">
        <v>18186</v>
      </c>
      <c r="F395" s="1094">
        <f>SUM(E396:E397)</f>
        <v>18186</v>
      </c>
      <c r="G395" s="630">
        <f t="shared" si="51"/>
        <v>1.0362393162393162</v>
      </c>
      <c r="H395" s="1052">
        <f t="shared" si="50"/>
        <v>1.0362393162393162</v>
      </c>
      <c r="I395" s="631">
        <f t="shared" si="52"/>
        <v>57.806738715829617</v>
      </c>
      <c r="J395" s="29">
        <v>31460</v>
      </c>
    </row>
    <row r="396" spans="1:10" x14ac:dyDescent="0.2">
      <c r="A396" s="796" t="s">
        <v>517</v>
      </c>
      <c r="B396" s="809" t="s">
        <v>518</v>
      </c>
      <c r="C396" s="695">
        <v>1400000</v>
      </c>
      <c r="D396" s="695">
        <v>1400000</v>
      </c>
      <c r="E396" s="695">
        <v>14520</v>
      </c>
      <c r="F396" s="695"/>
      <c r="G396" s="1051">
        <f t="shared" si="51"/>
        <v>1.0371428571428571</v>
      </c>
      <c r="H396" s="1055">
        <f t="shared" si="50"/>
        <v>1.0371428571428571</v>
      </c>
      <c r="I396" s="1056">
        <v>0</v>
      </c>
      <c r="J396" s="29">
        <v>0</v>
      </c>
    </row>
    <row r="397" spans="1:10" x14ac:dyDescent="0.2">
      <c r="A397" s="796" t="s">
        <v>1432</v>
      </c>
      <c r="B397" s="809" t="s">
        <v>1433</v>
      </c>
      <c r="C397" s="695">
        <v>355000</v>
      </c>
      <c r="D397" s="695">
        <v>355000</v>
      </c>
      <c r="E397" s="695">
        <v>3666</v>
      </c>
      <c r="F397" s="695"/>
      <c r="G397" s="1051">
        <f t="shared" si="51"/>
        <v>1.0326760563380282</v>
      </c>
      <c r="H397" s="1055">
        <f t="shared" si="50"/>
        <v>1.0326760563380282</v>
      </c>
      <c r="I397" s="1056">
        <v>0</v>
      </c>
      <c r="J397" s="29">
        <v>0</v>
      </c>
    </row>
    <row r="398" spans="1:10" ht="15.75" x14ac:dyDescent="0.25">
      <c r="A398" s="621"/>
      <c r="B398" s="813" t="s">
        <v>1436</v>
      </c>
      <c r="C398" s="777">
        <f>SUM(C399)</f>
        <v>30785000</v>
      </c>
      <c r="D398" s="777">
        <f>SUM(D399)</f>
        <v>15085000</v>
      </c>
      <c r="E398" s="777">
        <v>0</v>
      </c>
      <c r="F398" s="1096"/>
      <c r="G398" s="623">
        <f t="shared" si="51"/>
        <v>0</v>
      </c>
      <c r="H398" s="623">
        <f t="shared" si="50"/>
        <v>0</v>
      </c>
      <c r="I398" s="741">
        <v>0</v>
      </c>
      <c r="J398" s="29">
        <v>0</v>
      </c>
    </row>
    <row r="399" spans="1:10" x14ac:dyDescent="0.2">
      <c r="A399" s="1097" t="s">
        <v>1949</v>
      </c>
      <c r="B399" s="815" t="s">
        <v>1950</v>
      </c>
      <c r="C399" s="768">
        <f>SUM(C400:C409)</f>
        <v>30785000</v>
      </c>
      <c r="D399" s="768">
        <f>SUM(D400:D409)</f>
        <v>15085000</v>
      </c>
      <c r="E399" s="768">
        <v>0</v>
      </c>
      <c r="F399" s="1098">
        <f>SUM(E400:E409)</f>
        <v>0</v>
      </c>
      <c r="G399" s="630">
        <f t="shared" si="51"/>
        <v>0</v>
      </c>
      <c r="H399" s="1052">
        <f t="shared" si="50"/>
        <v>0</v>
      </c>
      <c r="I399" s="631">
        <v>0</v>
      </c>
      <c r="J399" s="29">
        <v>0</v>
      </c>
    </row>
    <row r="400" spans="1:10" x14ac:dyDescent="0.2">
      <c r="A400" s="796" t="s">
        <v>1438</v>
      </c>
      <c r="B400" s="731" t="s">
        <v>1439</v>
      </c>
      <c r="C400" s="695">
        <v>0</v>
      </c>
      <c r="D400" s="695">
        <v>0</v>
      </c>
      <c r="E400" s="695">
        <v>0</v>
      </c>
      <c r="F400" s="695"/>
      <c r="G400" s="1051">
        <v>0</v>
      </c>
      <c r="H400" s="1055">
        <v>0</v>
      </c>
      <c r="I400" s="1056">
        <v>0</v>
      </c>
      <c r="J400" s="29">
        <v>0</v>
      </c>
    </row>
    <row r="401" spans="1:10" x14ac:dyDescent="0.2">
      <c r="A401" s="796" t="s">
        <v>1442</v>
      </c>
      <c r="B401" s="731" t="s">
        <v>1443</v>
      </c>
      <c r="C401" s="695">
        <v>5000000</v>
      </c>
      <c r="D401" s="695">
        <v>5000000</v>
      </c>
      <c r="E401" s="695">
        <v>0</v>
      </c>
      <c r="F401" s="695"/>
      <c r="G401" s="1051">
        <f t="shared" si="51"/>
        <v>0</v>
      </c>
      <c r="H401" s="1055">
        <f t="shared" si="50"/>
        <v>0</v>
      </c>
      <c r="I401" s="1056">
        <v>0</v>
      </c>
      <c r="J401" s="29">
        <v>0</v>
      </c>
    </row>
    <row r="402" spans="1:10" x14ac:dyDescent="0.2">
      <c r="A402" s="796" t="s">
        <v>1444</v>
      </c>
      <c r="B402" s="809" t="s">
        <v>1445</v>
      </c>
      <c r="C402" s="695">
        <v>800000</v>
      </c>
      <c r="D402" s="695">
        <v>800000</v>
      </c>
      <c r="E402" s="695">
        <v>0</v>
      </c>
      <c r="F402" s="695"/>
      <c r="G402" s="1051">
        <f t="shared" si="51"/>
        <v>0</v>
      </c>
      <c r="H402" s="1055">
        <f t="shared" si="50"/>
        <v>0</v>
      </c>
      <c r="I402" s="1056">
        <v>0</v>
      </c>
      <c r="J402" s="29">
        <v>0</v>
      </c>
    </row>
    <row r="403" spans="1:10" x14ac:dyDescent="0.2">
      <c r="A403" s="796" t="s">
        <v>1951</v>
      </c>
      <c r="B403" s="731" t="s">
        <v>1952</v>
      </c>
      <c r="C403" s="695">
        <v>0</v>
      </c>
      <c r="D403" s="695">
        <f>4635000</f>
        <v>4635000</v>
      </c>
      <c r="E403" s="695">
        <v>0</v>
      </c>
      <c r="F403" s="695"/>
      <c r="G403" s="1051">
        <v>0</v>
      </c>
      <c r="H403" s="1055">
        <f t="shared" si="50"/>
        <v>0</v>
      </c>
      <c r="I403" s="1056">
        <v>0</v>
      </c>
      <c r="J403" s="29">
        <v>0</v>
      </c>
    </row>
    <row r="404" spans="1:10" x14ac:dyDescent="0.2">
      <c r="A404" s="796" t="s">
        <v>1440</v>
      </c>
      <c r="B404" s="731" t="s">
        <v>1441</v>
      </c>
      <c r="C404" s="695">
        <v>4635000</v>
      </c>
      <c r="D404" s="695">
        <f>4635000-4635000</f>
        <v>0</v>
      </c>
      <c r="E404" s="695">
        <v>0</v>
      </c>
      <c r="F404" s="695"/>
      <c r="G404" s="1051">
        <f t="shared" si="51"/>
        <v>0</v>
      </c>
      <c r="H404" s="1055">
        <v>0</v>
      </c>
      <c r="I404" s="1056">
        <v>0</v>
      </c>
      <c r="J404" s="29">
        <v>0</v>
      </c>
    </row>
    <row r="405" spans="1:10" x14ac:dyDescent="0.2">
      <c r="A405" s="796" t="s">
        <v>1953</v>
      </c>
      <c r="B405" s="731" t="s">
        <v>1447</v>
      </c>
      <c r="C405" s="695">
        <v>500000</v>
      </c>
      <c r="D405" s="695">
        <v>500000</v>
      </c>
      <c r="E405" s="695">
        <v>0</v>
      </c>
      <c r="F405" s="695"/>
      <c r="G405" s="1051">
        <f t="shared" si="51"/>
        <v>0</v>
      </c>
      <c r="H405" s="1055">
        <f t="shared" si="50"/>
        <v>0</v>
      </c>
      <c r="I405" s="1056">
        <v>0</v>
      </c>
      <c r="J405" s="29">
        <v>0</v>
      </c>
    </row>
    <row r="406" spans="1:10" x14ac:dyDescent="0.2">
      <c r="A406" s="796" t="s">
        <v>1954</v>
      </c>
      <c r="B406" s="731" t="s">
        <v>1449</v>
      </c>
      <c r="C406" s="695">
        <v>2150000</v>
      </c>
      <c r="D406" s="695">
        <f>2150000+(150000+80000)</f>
        <v>2380000</v>
      </c>
      <c r="E406" s="695">
        <v>0</v>
      </c>
      <c r="F406" s="695"/>
      <c r="G406" s="1051">
        <f t="shared" si="51"/>
        <v>0</v>
      </c>
      <c r="H406" s="1055">
        <f t="shared" si="50"/>
        <v>0</v>
      </c>
      <c r="I406" s="1056">
        <v>0</v>
      </c>
      <c r="J406" s="29">
        <v>0</v>
      </c>
    </row>
    <row r="407" spans="1:10" x14ac:dyDescent="0.2">
      <c r="A407" s="796" t="s">
        <v>1955</v>
      </c>
      <c r="B407" s="731" t="s">
        <v>1451</v>
      </c>
      <c r="C407" s="695">
        <v>1500000</v>
      </c>
      <c r="D407" s="695">
        <f>1500000</f>
        <v>1500000</v>
      </c>
      <c r="E407" s="695">
        <v>0</v>
      </c>
      <c r="F407" s="695"/>
      <c r="G407" s="1051">
        <f t="shared" si="51"/>
        <v>0</v>
      </c>
      <c r="H407" s="1055">
        <f t="shared" si="50"/>
        <v>0</v>
      </c>
      <c r="I407" s="1056">
        <v>0</v>
      </c>
      <c r="J407" s="29">
        <v>0</v>
      </c>
    </row>
    <row r="408" spans="1:10" x14ac:dyDescent="0.2">
      <c r="A408" s="796" t="s">
        <v>1956</v>
      </c>
      <c r="B408" s="731" t="s">
        <v>1453</v>
      </c>
      <c r="C408" s="695">
        <v>1700000</v>
      </c>
      <c r="D408" s="695">
        <f>1700000-1700000</f>
        <v>0</v>
      </c>
      <c r="E408" s="695">
        <v>0</v>
      </c>
      <c r="F408" s="695"/>
      <c r="G408" s="1051">
        <f t="shared" si="51"/>
        <v>0</v>
      </c>
      <c r="H408" s="1055">
        <v>0</v>
      </c>
      <c r="I408" s="1056">
        <v>0</v>
      </c>
      <c r="J408" s="29">
        <v>0</v>
      </c>
    </row>
    <row r="409" spans="1:10" x14ac:dyDescent="0.2">
      <c r="A409" s="817" t="s">
        <v>1957</v>
      </c>
      <c r="B409" s="800" t="s">
        <v>1455</v>
      </c>
      <c r="C409" s="818">
        <v>14500000</v>
      </c>
      <c r="D409" s="818">
        <f>14500000-14000000-230000</f>
        <v>270000</v>
      </c>
      <c r="E409" s="818">
        <v>0</v>
      </c>
      <c r="F409" s="818"/>
      <c r="G409" s="1051">
        <f t="shared" si="51"/>
        <v>0</v>
      </c>
      <c r="H409" s="1055">
        <f t="shared" si="50"/>
        <v>0</v>
      </c>
      <c r="I409" s="1056">
        <v>0</v>
      </c>
      <c r="J409" s="29">
        <v>0</v>
      </c>
    </row>
    <row r="410" spans="1:10" ht="15.75" x14ac:dyDescent="0.25">
      <c r="A410" s="819"/>
      <c r="B410" s="813" t="s">
        <v>523</v>
      </c>
      <c r="C410" s="792">
        <f>SUM(C411+C413)</f>
        <v>8007000</v>
      </c>
      <c r="D410" s="792">
        <f>SUM(D411+D413)</f>
        <v>7753693</v>
      </c>
      <c r="E410" s="792">
        <v>2712313.64</v>
      </c>
      <c r="F410" s="1092">
        <f>SUM(E411,E413)</f>
        <v>2712313.64</v>
      </c>
      <c r="G410" s="623">
        <f t="shared" si="51"/>
        <v>33.874280504558513</v>
      </c>
      <c r="H410" s="623">
        <f t="shared" si="50"/>
        <v>34.980926379210523</v>
      </c>
      <c r="I410" s="741">
        <f t="shared" si="52"/>
        <v>391.45504536009253</v>
      </c>
      <c r="J410" s="29">
        <v>692879.98</v>
      </c>
    </row>
    <row r="411" spans="1:10" x14ac:dyDescent="0.2">
      <c r="A411" s="814">
        <v>3613</v>
      </c>
      <c r="B411" s="815" t="s">
        <v>1456</v>
      </c>
      <c r="C411" s="795">
        <f t="shared" ref="C411:D411" si="53">C412</f>
        <v>1850000</v>
      </c>
      <c r="D411" s="795">
        <f t="shared" si="53"/>
        <v>1850000</v>
      </c>
      <c r="E411" s="795">
        <v>145200</v>
      </c>
      <c r="F411" s="1093">
        <f>SUM(E412)</f>
        <v>145200</v>
      </c>
      <c r="G411" s="630">
        <f t="shared" si="51"/>
        <v>7.8486486486486484</v>
      </c>
      <c r="H411" s="1052">
        <f t="shared" si="50"/>
        <v>7.8486486486486484</v>
      </c>
      <c r="I411" s="631">
        <v>0</v>
      </c>
      <c r="J411" s="29">
        <v>0</v>
      </c>
    </row>
    <row r="412" spans="1:10" ht="25.5" x14ac:dyDescent="0.2">
      <c r="A412" s="796" t="s">
        <v>525</v>
      </c>
      <c r="B412" s="820" t="s">
        <v>1457</v>
      </c>
      <c r="C412" s="695">
        <v>1850000</v>
      </c>
      <c r="D412" s="695">
        <v>1850000</v>
      </c>
      <c r="E412" s="695">
        <v>145200</v>
      </c>
      <c r="F412" s="695"/>
      <c r="G412" s="1051">
        <f t="shared" si="51"/>
        <v>7.8486486486486484</v>
      </c>
      <c r="H412" s="1055">
        <f t="shared" si="50"/>
        <v>7.8486486486486484</v>
      </c>
      <c r="I412" s="670">
        <v>0</v>
      </c>
      <c r="J412" s="1037">
        <v>0</v>
      </c>
    </row>
    <row r="413" spans="1:10" x14ac:dyDescent="0.2">
      <c r="A413" s="730">
        <v>3639</v>
      </c>
      <c r="B413" s="797" t="s">
        <v>1458</v>
      </c>
      <c r="C413" s="798">
        <f t="shared" ref="C413:D413" si="54">SUM(C414:C418)</f>
        <v>6157000</v>
      </c>
      <c r="D413" s="798">
        <f t="shared" si="54"/>
        <v>5903693</v>
      </c>
      <c r="E413" s="798">
        <v>2567113.64</v>
      </c>
      <c r="F413" s="1094">
        <f>SUM(E414:E418)</f>
        <v>2567113.64</v>
      </c>
      <c r="G413" s="630">
        <f t="shared" si="51"/>
        <v>41.694228357966544</v>
      </c>
      <c r="H413" s="1052">
        <f t="shared" si="50"/>
        <v>43.483183153324539</v>
      </c>
      <c r="I413" s="631">
        <f t="shared" si="52"/>
        <v>370.4990350565476</v>
      </c>
      <c r="J413" s="29">
        <v>692879.98</v>
      </c>
    </row>
    <row r="414" spans="1:10" x14ac:dyDescent="0.2">
      <c r="A414" s="796" t="s">
        <v>1958</v>
      </c>
      <c r="B414" s="809" t="s">
        <v>1959</v>
      </c>
      <c r="C414" s="695">
        <f>280000+1650000</f>
        <v>1930000</v>
      </c>
      <c r="D414" s="695">
        <f>280000+1650000</f>
        <v>1930000</v>
      </c>
      <c r="E414" s="695">
        <v>1750000</v>
      </c>
      <c r="F414" s="695"/>
      <c r="G414" s="1051">
        <f t="shared" si="51"/>
        <v>90.673575129533674</v>
      </c>
      <c r="H414" s="1055">
        <f t="shared" si="50"/>
        <v>90.673575129533674</v>
      </c>
      <c r="I414" s="1056">
        <v>0</v>
      </c>
      <c r="J414" s="29">
        <v>0</v>
      </c>
    </row>
    <row r="415" spans="1:10" x14ac:dyDescent="0.2">
      <c r="A415" s="796" t="s">
        <v>530</v>
      </c>
      <c r="B415" s="809" t="s">
        <v>1460</v>
      </c>
      <c r="C415" s="695">
        <v>270000</v>
      </c>
      <c r="D415" s="695">
        <v>270000</v>
      </c>
      <c r="E415" s="695">
        <v>15829.66</v>
      </c>
      <c r="F415" s="695"/>
      <c r="G415" s="1051">
        <f t="shared" si="51"/>
        <v>5.8628370370370373</v>
      </c>
      <c r="H415" s="1055">
        <f t="shared" si="50"/>
        <v>5.8628370370370373</v>
      </c>
      <c r="I415" s="1056">
        <v>0</v>
      </c>
      <c r="J415" s="29">
        <v>3345.5</v>
      </c>
    </row>
    <row r="416" spans="1:10" x14ac:dyDescent="0.2">
      <c r="A416" s="796" t="s">
        <v>534</v>
      </c>
      <c r="B416" s="809" t="s">
        <v>1461</v>
      </c>
      <c r="C416" s="695">
        <v>470000</v>
      </c>
      <c r="D416" s="695">
        <v>470000</v>
      </c>
      <c r="E416" s="695">
        <v>240033.8</v>
      </c>
      <c r="F416" s="695"/>
      <c r="G416" s="1051">
        <f t="shared" si="51"/>
        <v>51.071021276595744</v>
      </c>
      <c r="H416" s="1055">
        <f t="shared" si="50"/>
        <v>51.071021276595744</v>
      </c>
      <c r="I416" s="1056">
        <v>0</v>
      </c>
      <c r="J416" s="29">
        <v>153367.5</v>
      </c>
    </row>
    <row r="417" spans="1:10" ht="25.5" x14ac:dyDescent="0.2">
      <c r="A417" s="796" t="s">
        <v>1960</v>
      </c>
      <c r="B417" s="820" t="s">
        <v>1961</v>
      </c>
      <c r="C417" s="695">
        <f>3462000</f>
        <v>3462000</v>
      </c>
      <c r="D417" s="695">
        <f>3462000-153307-100000</f>
        <v>3208693</v>
      </c>
      <c r="E417" s="695">
        <v>549209.07999999996</v>
      </c>
      <c r="F417" s="695"/>
      <c r="G417" s="1051">
        <f t="shared" si="51"/>
        <v>15.863924898902368</v>
      </c>
      <c r="H417" s="1055">
        <f t="shared" si="50"/>
        <v>17.116286288529317</v>
      </c>
      <c r="I417" s="670">
        <v>0</v>
      </c>
      <c r="J417" s="1037">
        <v>519631.48</v>
      </c>
    </row>
    <row r="418" spans="1:10" ht="19.5" customHeight="1" x14ac:dyDescent="0.2">
      <c r="A418" s="810" t="s">
        <v>538</v>
      </c>
      <c r="B418" s="821" t="s">
        <v>539</v>
      </c>
      <c r="C418" s="728">
        <v>25000</v>
      </c>
      <c r="D418" s="728">
        <v>25000</v>
      </c>
      <c r="E418" s="728">
        <v>12041.1</v>
      </c>
      <c r="F418" s="728"/>
      <c r="G418" s="1051">
        <f t="shared" si="51"/>
        <v>48.164400000000001</v>
      </c>
      <c r="H418" s="1055">
        <f t="shared" si="50"/>
        <v>48.164400000000001</v>
      </c>
      <c r="I418" s="1056">
        <v>0</v>
      </c>
      <c r="J418" s="29">
        <v>16535.5</v>
      </c>
    </row>
    <row r="419" spans="1:10" ht="15.75" x14ac:dyDescent="0.25">
      <c r="A419" s="822"/>
      <c r="B419" s="823" t="s">
        <v>1463</v>
      </c>
      <c r="C419" s="792">
        <f>SUM(C420,C422)</f>
        <v>10003000</v>
      </c>
      <c r="D419" s="792">
        <f>SUM(D420,D422)</f>
        <v>10003000</v>
      </c>
      <c r="E419" s="792">
        <v>279060.88</v>
      </c>
      <c r="F419" s="825">
        <f>SUM(E420,E422)</f>
        <v>279060.88</v>
      </c>
      <c r="G419" s="623">
        <f t="shared" si="51"/>
        <v>2.7897718684394683</v>
      </c>
      <c r="H419" s="623">
        <f t="shared" si="50"/>
        <v>2.7897718684394683</v>
      </c>
      <c r="I419" s="741">
        <v>0</v>
      </c>
      <c r="J419" s="29">
        <v>0</v>
      </c>
    </row>
    <row r="420" spans="1:10" x14ac:dyDescent="0.2">
      <c r="A420" s="805">
        <v>3311</v>
      </c>
      <c r="B420" s="806" t="s">
        <v>1464</v>
      </c>
      <c r="C420" s="807">
        <f t="shared" ref="C420:D420" si="55">SUM(C421:C421)</f>
        <v>7023000</v>
      </c>
      <c r="D420" s="807">
        <f t="shared" si="55"/>
        <v>7023000</v>
      </c>
      <c r="E420" s="807">
        <v>3025</v>
      </c>
      <c r="F420" s="1095">
        <f>SUM(E421)</f>
        <v>3025</v>
      </c>
      <c r="G420" s="630">
        <f t="shared" si="51"/>
        <v>4.3072760928378181E-2</v>
      </c>
      <c r="H420" s="1052">
        <f t="shared" si="50"/>
        <v>4.3072760928378181E-2</v>
      </c>
      <c r="I420" s="631">
        <v>0</v>
      </c>
      <c r="J420" s="29">
        <v>0</v>
      </c>
    </row>
    <row r="421" spans="1:10" x14ac:dyDescent="0.2">
      <c r="A421" s="796" t="s">
        <v>1962</v>
      </c>
      <c r="B421" s="731" t="s">
        <v>1466</v>
      </c>
      <c r="C421" s="695">
        <v>7023000</v>
      </c>
      <c r="D421" s="695">
        <v>7023000</v>
      </c>
      <c r="E421" s="695">
        <v>3025</v>
      </c>
      <c r="F421" s="695"/>
      <c r="G421" s="1051">
        <f t="shared" si="51"/>
        <v>4.3072760928378181E-2</v>
      </c>
      <c r="H421" s="1055">
        <f t="shared" si="50"/>
        <v>4.3072760928378181E-2</v>
      </c>
      <c r="I421" s="1056">
        <v>0</v>
      </c>
      <c r="J421" s="29">
        <v>0</v>
      </c>
    </row>
    <row r="422" spans="1:10" x14ac:dyDescent="0.2">
      <c r="A422" s="730">
        <v>3392</v>
      </c>
      <c r="B422" s="797" t="s">
        <v>1467</v>
      </c>
      <c r="C422" s="798">
        <f>SUM(C423:C425)</f>
        <v>2980000</v>
      </c>
      <c r="D422" s="798">
        <f>SUM(D423:D425)</f>
        <v>2980000</v>
      </c>
      <c r="E422" s="798">
        <v>276035.88</v>
      </c>
      <c r="F422" s="1094">
        <f>SUM(E423:E425)</f>
        <v>276035.88</v>
      </c>
      <c r="G422" s="630">
        <f t="shared" si="51"/>
        <v>9.2629489932885907</v>
      </c>
      <c r="H422" s="1052">
        <f t="shared" si="50"/>
        <v>9.2629489932885907</v>
      </c>
      <c r="I422" s="631">
        <v>0</v>
      </c>
      <c r="J422" s="29">
        <v>0</v>
      </c>
    </row>
    <row r="423" spans="1:10" x14ac:dyDescent="0.2">
      <c r="A423" s="796" t="s">
        <v>1468</v>
      </c>
      <c r="B423" s="731" t="s">
        <v>1469</v>
      </c>
      <c r="C423" s="695">
        <v>2500000</v>
      </c>
      <c r="D423" s="695">
        <v>2500000</v>
      </c>
      <c r="E423" s="695">
        <v>0</v>
      </c>
      <c r="F423" s="695"/>
      <c r="G423" s="1051">
        <f t="shared" si="51"/>
        <v>0</v>
      </c>
      <c r="H423" s="1055">
        <f t="shared" si="50"/>
        <v>0</v>
      </c>
      <c r="I423" s="1056">
        <v>0</v>
      </c>
      <c r="J423" s="29">
        <v>0</v>
      </c>
    </row>
    <row r="424" spans="1:10" x14ac:dyDescent="0.2">
      <c r="A424" s="799" t="s">
        <v>1472</v>
      </c>
      <c r="B424" s="800" t="s">
        <v>1473</v>
      </c>
      <c r="C424" s="728">
        <v>300000</v>
      </c>
      <c r="D424" s="728">
        <v>300000</v>
      </c>
      <c r="E424" s="728">
        <v>276035.88</v>
      </c>
      <c r="F424" s="728"/>
      <c r="G424" s="1051">
        <f t="shared" si="51"/>
        <v>92.011960000000002</v>
      </c>
      <c r="H424" s="1055">
        <f t="shared" si="50"/>
        <v>92.011960000000002</v>
      </c>
      <c r="I424" s="1056">
        <v>0</v>
      </c>
      <c r="J424" s="29">
        <v>0</v>
      </c>
    </row>
    <row r="425" spans="1:10" x14ac:dyDescent="0.2">
      <c r="A425" s="796" t="s">
        <v>1470</v>
      </c>
      <c r="B425" s="731" t="s">
        <v>1963</v>
      </c>
      <c r="C425" s="695">
        <v>180000</v>
      </c>
      <c r="D425" s="695">
        <v>180000</v>
      </c>
      <c r="E425" s="695">
        <v>0</v>
      </c>
      <c r="F425" s="695"/>
      <c r="G425" s="1051">
        <f t="shared" si="51"/>
        <v>0</v>
      </c>
      <c r="H425" s="1055">
        <f t="shared" si="50"/>
        <v>0</v>
      </c>
      <c r="I425" s="1056">
        <v>0</v>
      </c>
      <c r="J425" s="29">
        <v>0</v>
      </c>
    </row>
    <row r="426" spans="1:10" ht="15.75" x14ac:dyDescent="0.25">
      <c r="A426" s="822"/>
      <c r="B426" s="823" t="s">
        <v>1474</v>
      </c>
      <c r="C426" s="792">
        <f>SUM(C427)</f>
        <v>8566000</v>
      </c>
      <c r="D426" s="792">
        <f>SUM(D427)</f>
        <v>8566000</v>
      </c>
      <c r="E426" s="792">
        <v>0</v>
      </c>
      <c r="F426" s="1099"/>
      <c r="G426" s="623">
        <f t="shared" si="51"/>
        <v>0</v>
      </c>
      <c r="H426" s="623">
        <f t="shared" si="50"/>
        <v>0</v>
      </c>
      <c r="I426" s="741">
        <v>0</v>
      </c>
      <c r="J426" s="29">
        <v>0</v>
      </c>
    </row>
    <row r="427" spans="1:10" x14ac:dyDescent="0.2">
      <c r="A427" s="805">
        <v>6171</v>
      </c>
      <c r="B427" s="806" t="s">
        <v>1475</v>
      </c>
      <c r="C427" s="807">
        <f>SUM(C428:C432)</f>
        <v>8566000</v>
      </c>
      <c r="D427" s="807">
        <f>SUM(D428:D432)</f>
        <v>8566000</v>
      </c>
      <c r="E427" s="807">
        <v>0</v>
      </c>
      <c r="F427" s="1095">
        <f>SUM(E428:E432)</f>
        <v>0</v>
      </c>
      <c r="G427" s="630">
        <f t="shared" si="51"/>
        <v>0</v>
      </c>
      <c r="H427" s="1052">
        <f t="shared" si="50"/>
        <v>0</v>
      </c>
      <c r="I427" s="631">
        <v>0</v>
      </c>
      <c r="J427" s="29">
        <v>0</v>
      </c>
    </row>
    <row r="428" spans="1:10" x14ac:dyDescent="0.2">
      <c r="A428" s="796" t="s">
        <v>1476</v>
      </c>
      <c r="B428" s="731" t="s">
        <v>1477</v>
      </c>
      <c r="C428" s="695">
        <v>2000000</v>
      </c>
      <c r="D428" s="695">
        <f>2000000+500000</f>
        <v>2500000</v>
      </c>
      <c r="E428" s="695">
        <v>0</v>
      </c>
      <c r="F428" s="695"/>
      <c r="G428" s="1051">
        <f t="shared" si="51"/>
        <v>0</v>
      </c>
      <c r="H428" s="1055">
        <f t="shared" ref="H428:H491" si="56">E428/D428*100</f>
        <v>0</v>
      </c>
      <c r="I428" s="1056">
        <v>0</v>
      </c>
      <c r="J428" s="29">
        <v>0</v>
      </c>
    </row>
    <row r="429" spans="1:10" x14ac:dyDescent="0.2">
      <c r="A429" s="796" t="s">
        <v>1478</v>
      </c>
      <c r="B429" s="731" t="s">
        <v>1479</v>
      </c>
      <c r="C429" s="695">
        <v>2420000</v>
      </c>
      <c r="D429" s="695">
        <v>2420000</v>
      </c>
      <c r="E429" s="695">
        <v>0</v>
      </c>
      <c r="F429" s="695"/>
      <c r="G429" s="1051">
        <f t="shared" si="51"/>
        <v>0</v>
      </c>
      <c r="H429" s="1055">
        <f t="shared" si="56"/>
        <v>0</v>
      </c>
      <c r="I429" s="1056">
        <v>0</v>
      </c>
      <c r="J429" s="29">
        <v>0</v>
      </c>
    </row>
    <row r="430" spans="1:10" x14ac:dyDescent="0.2">
      <c r="A430" s="796" t="s">
        <v>1480</v>
      </c>
      <c r="B430" s="731" t="s">
        <v>1481</v>
      </c>
      <c r="C430" s="695">
        <v>3146000</v>
      </c>
      <c r="D430" s="695">
        <f>3146000-500000</f>
        <v>2646000</v>
      </c>
      <c r="E430" s="695">
        <v>0</v>
      </c>
      <c r="F430" s="695"/>
      <c r="G430" s="1051">
        <f t="shared" si="51"/>
        <v>0</v>
      </c>
      <c r="H430" s="1055">
        <f t="shared" si="56"/>
        <v>0</v>
      </c>
      <c r="I430" s="1056">
        <v>0</v>
      </c>
      <c r="J430" s="29">
        <v>0</v>
      </c>
    </row>
    <row r="431" spans="1:10" x14ac:dyDescent="0.2">
      <c r="A431" s="796" t="s">
        <v>1482</v>
      </c>
      <c r="B431" s="731" t="s">
        <v>1483</v>
      </c>
      <c r="C431" s="695">
        <v>500000</v>
      </c>
      <c r="D431" s="695">
        <v>500000</v>
      </c>
      <c r="E431" s="695">
        <v>0</v>
      </c>
      <c r="F431" s="695"/>
      <c r="G431" s="1051">
        <f t="shared" si="51"/>
        <v>0</v>
      </c>
      <c r="H431" s="1055">
        <f t="shared" si="56"/>
        <v>0</v>
      </c>
      <c r="I431" s="1056">
        <v>0</v>
      </c>
      <c r="J431" s="29">
        <v>0</v>
      </c>
    </row>
    <row r="432" spans="1:10" x14ac:dyDescent="0.2">
      <c r="A432" s="826" t="s">
        <v>1484</v>
      </c>
      <c r="B432" s="827" t="s">
        <v>1485</v>
      </c>
      <c r="C432" s="828">
        <v>500000</v>
      </c>
      <c r="D432" s="828">
        <v>500000</v>
      </c>
      <c r="E432" s="828">
        <v>0</v>
      </c>
      <c r="F432" s="828"/>
      <c r="G432" s="1051">
        <f t="shared" ref="G432:G495" si="57">E432/C432*100</f>
        <v>0</v>
      </c>
      <c r="H432" s="1055">
        <f t="shared" si="56"/>
        <v>0</v>
      </c>
      <c r="I432" s="1056">
        <v>0</v>
      </c>
      <c r="J432" s="29">
        <v>0</v>
      </c>
    </row>
    <row r="433" spans="1:36" s="829" customFormat="1" ht="15.75" x14ac:dyDescent="0.25">
      <c r="A433" s="822"/>
      <c r="B433" s="830" t="s">
        <v>1486</v>
      </c>
      <c r="C433" s="792">
        <f>SUM(C434)</f>
        <v>2150000</v>
      </c>
      <c r="D433" s="792">
        <f>SUM(D434)</f>
        <v>2150000</v>
      </c>
      <c r="E433" s="792">
        <v>0</v>
      </c>
      <c r="F433" s="1099"/>
      <c r="G433" s="623">
        <f t="shared" si="57"/>
        <v>0</v>
      </c>
      <c r="H433" s="623">
        <f t="shared" si="56"/>
        <v>0</v>
      </c>
      <c r="I433" s="741">
        <v>0</v>
      </c>
      <c r="J433" s="29">
        <v>0</v>
      </c>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row>
    <row r="434" spans="1:36" s="831" customFormat="1" x14ac:dyDescent="0.2">
      <c r="A434" s="805">
        <v>3745</v>
      </c>
      <c r="B434" s="805" t="s">
        <v>1487</v>
      </c>
      <c r="C434" s="807">
        <f>SUM(C435:C436)</f>
        <v>2150000</v>
      </c>
      <c r="D434" s="807">
        <f>SUM(D435:D436)</f>
        <v>2150000</v>
      </c>
      <c r="E434" s="807">
        <v>0</v>
      </c>
      <c r="F434" s="1095">
        <f>SUM(E435:E436)</f>
        <v>0</v>
      </c>
      <c r="G434" s="630">
        <f t="shared" si="57"/>
        <v>0</v>
      </c>
      <c r="H434" s="1052">
        <f t="shared" si="56"/>
        <v>0</v>
      </c>
      <c r="I434" s="631">
        <v>0</v>
      </c>
      <c r="J434" s="29">
        <v>0</v>
      </c>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row>
    <row r="435" spans="1:36" s="829" customFormat="1" x14ac:dyDescent="0.2">
      <c r="A435" s="796" t="s">
        <v>1488</v>
      </c>
      <c r="B435" s="832" t="s">
        <v>1489</v>
      </c>
      <c r="C435" s="695">
        <v>300000</v>
      </c>
      <c r="D435" s="695">
        <v>300000</v>
      </c>
      <c r="E435" s="695">
        <v>0</v>
      </c>
      <c r="F435" s="695"/>
      <c r="G435" s="1051">
        <f t="shared" si="57"/>
        <v>0</v>
      </c>
      <c r="H435" s="1055">
        <f t="shared" si="56"/>
        <v>0</v>
      </c>
      <c r="I435" s="1056">
        <v>0</v>
      </c>
      <c r="J435" s="29">
        <v>0</v>
      </c>
      <c r="K435" s="1"/>
      <c r="L435" s="1"/>
      <c r="M435" s="1"/>
      <c r="N435" s="1"/>
      <c r="O435" s="1"/>
      <c r="P435" s="1"/>
      <c r="Q435" s="1"/>
      <c r="R435" s="1"/>
      <c r="S435" s="1"/>
      <c r="T435" s="1"/>
      <c r="U435" s="1"/>
      <c r="V435" s="1"/>
      <c r="W435" s="1"/>
      <c r="X435" s="1"/>
      <c r="Y435" s="1"/>
      <c r="Z435" s="1"/>
      <c r="AA435" s="1"/>
    </row>
    <row r="436" spans="1:36" x14ac:dyDescent="0.2">
      <c r="A436" s="826" t="s">
        <v>1490</v>
      </c>
      <c r="B436" s="833" t="s">
        <v>1491</v>
      </c>
      <c r="C436" s="828">
        <v>1850000</v>
      </c>
      <c r="D436" s="828">
        <v>1850000</v>
      </c>
      <c r="E436" s="828">
        <v>0</v>
      </c>
      <c r="F436" s="828"/>
      <c r="G436" s="1051">
        <f t="shared" si="57"/>
        <v>0</v>
      </c>
      <c r="H436" s="1055">
        <f t="shared" si="56"/>
        <v>0</v>
      </c>
      <c r="I436" s="1056">
        <v>0</v>
      </c>
      <c r="J436" s="29">
        <v>0</v>
      </c>
    </row>
    <row r="437" spans="1:36" ht="15.75" x14ac:dyDescent="0.25">
      <c r="A437" s="802"/>
      <c r="B437" s="803" t="s">
        <v>1492</v>
      </c>
      <c r="C437" s="702">
        <f>SUM(C443,C438,C450,C457,C467,C469)</f>
        <v>55211250</v>
      </c>
      <c r="D437" s="702">
        <f>SUM(D443,D438,D450,D457,D467,D469)</f>
        <v>65111250</v>
      </c>
      <c r="E437" s="702">
        <v>4209302.75</v>
      </c>
      <c r="F437" s="1068">
        <f>SUM(E438,E443,E450,E457,E467,E469)</f>
        <v>4209302.75</v>
      </c>
      <c r="G437" s="623">
        <f t="shared" si="57"/>
        <v>7.6239946568860519</v>
      </c>
      <c r="H437" s="623">
        <f t="shared" si="56"/>
        <v>6.4647856553207008</v>
      </c>
      <c r="I437" s="741">
        <f t="shared" si="52"/>
        <v>3649.4893336627952</v>
      </c>
      <c r="J437" s="29">
        <v>115339.5</v>
      </c>
    </row>
    <row r="438" spans="1:36" ht="12.75" customHeight="1" x14ac:dyDescent="0.2">
      <c r="A438" s="834">
        <v>3412</v>
      </c>
      <c r="B438" s="834" t="s">
        <v>1493</v>
      </c>
      <c r="C438" s="835">
        <f>SUM(C439:C442)</f>
        <v>3400000</v>
      </c>
      <c r="D438" s="835">
        <f>SUM(D439:D442)</f>
        <v>4900000</v>
      </c>
      <c r="E438" s="835">
        <v>5000</v>
      </c>
      <c r="F438" s="1100">
        <f>SUM(E439:E442)</f>
        <v>5000</v>
      </c>
      <c r="G438" s="630">
        <f t="shared" si="57"/>
        <v>0.14705882352941177</v>
      </c>
      <c r="H438" s="1052">
        <f t="shared" si="56"/>
        <v>0.10204081632653061</v>
      </c>
      <c r="I438" s="631">
        <v>0</v>
      </c>
      <c r="J438" s="29">
        <v>0</v>
      </c>
    </row>
    <row r="439" spans="1:36" ht="12.75" customHeight="1" x14ac:dyDescent="0.2">
      <c r="A439" s="796" t="s">
        <v>1494</v>
      </c>
      <c r="B439" s="717" t="s">
        <v>1495</v>
      </c>
      <c r="C439" s="836">
        <v>2600000</v>
      </c>
      <c r="D439" s="836">
        <v>2600000</v>
      </c>
      <c r="E439" s="836">
        <v>0</v>
      </c>
      <c r="F439" s="836"/>
      <c r="G439" s="1051">
        <f t="shared" si="57"/>
        <v>0</v>
      </c>
      <c r="H439" s="1055">
        <f t="shared" si="56"/>
        <v>0</v>
      </c>
      <c r="I439" s="1056">
        <v>0</v>
      </c>
      <c r="J439" s="29">
        <v>0</v>
      </c>
    </row>
    <row r="440" spans="1:36" ht="12.75" customHeight="1" x14ac:dyDescent="0.2">
      <c r="A440" s="796" t="s">
        <v>1496</v>
      </c>
      <c r="B440" s="717" t="s">
        <v>1497</v>
      </c>
      <c r="C440" s="836">
        <v>500000</v>
      </c>
      <c r="D440" s="836">
        <v>500000</v>
      </c>
      <c r="E440" s="836">
        <v>0</v>
      </c>
      <c r="F440" s="836"/>
      <c r="G440" s="1051">
        <f t="shared" si="57"/>
        <v>0</v>
      </c>
      <c r="H440" s="1055">
        <f t="shared" si="56"/>
        <v>0</v>
      </c>
      <c r="I440" s="1056">
        <v>0</v>
      </c>
      <c r="J440" s="29">
        <v>0</v>
      </c>
    </row>
    <row r="441" spans="1:36" x14ac:dyDescent="0.2">
      <c r="A441" s="796" t="s">
        <v>1498</v>
      </c>
      <c r="B441" s="717" t="s">
        <v>1499</v>
      </c>
      <c r="C441" s="836">
        <v>300000</v>
      </c>
      <c r="D441" s="836">
        <v>300000</v>
      </c>
      <c r="E441" s="836">
        <v>0</v>
      </c>
      <c r="F441" s="836"/>
      <c r="G441" s="1051">
        <f t="shared" si="57"/>
        <v>0</v>
      </c>
      <c r="H441" s="1055">
        <f t="shared" si="56"/>
        <v>0</v>
      </c>
      <c r="I441" s="1056">
        <v>0</v>
      </c>
      <c r="J441" s="29">
        <v>0</v>
      </c>
    </row>
    <row r="442" spans="1:36" s="98" customFormat="1" x14ac:dyDescent="0.2">
      <c r="A442" s="796" t="s">
        <v>1964</v>
      </c>
      <c r="B442" s="731" t="s">
        <v>1965</v>
      </c>
      <c r="C442" s="695">
        <v>0</v>
      </c>
      <c r="D442" s="695">
        <v>1500000</v>
      </c>
      <c r="E442" s="695">
        <v>5000</v>
      </c>
      <c r="F442" s="695"/>
      <c r="G442" s="1051">
        <v>0</v>
      </c>
      <c r="H442" s="1055">
        <f t="shared" si="56"/>
        <v>0.33333333333333337</v>
      </c>
      <c r="I442" s="1056">
        <v>0</v>
      </c>
      <c r="J442" s="29">
        <v>0</v>
      </c>
    </row>
    <row r="443" spans="1:36" x14ac:dyDescent="0.2">
      <c r="A443" s="730">
        <v>3612</v>
      </c>
      <c r="B443" s="730" t="s">
        <v>1500</v>
      </c>
      <c r="C443" s="798">
        <f>SUM(C444:C449)</f>
        <v>5250000</v>
      </c>
      <c r="D443" s="798">
        <f>SUM(D444:D449)</f>
        <v>7950000</v>
      </c>
      <c r="E443" s="798">
        <v>1659150.23</v>
      </c>
      <c r="F443" s="1094">
        <f>SUM(E444:E449)</f>
        <v>1659150.23</v>
      </c>
      <c r="G443" s="630">
        <f t="shared" si="57"/>
        <v>31.602861523809523</v>
      </c>
      <c r="H443" s="1052">
        <f t="shared" si="56"/>
        <v>20.869814213836477</v>
      </c>
      <c r="I443" s="631">
        <f t="shared" si="52"/>
        <v>2108.1557911856826</v>
      </c>
      <c r="J443" s="29">
        <v>78701.5</v>
      </c>
    </row>
    <row r="444" spans="1:36" x14ac:dyDescent="0.2">
      <c r="A444" s="796" t="s">
        <v>1966</v>
      </c>
      <c r="B444" s="837" t="s">
        <v>1508</v>
      </c>
      <c r="C444" s="695">
        <v>400000</v>
      </c>
      <c r="D444" s="695">
        <v>400000</v>
      </c>
      <c r="E444" s="695">
        <v>260000</v>
      </c>
      <c r="F444" s="695"/>
      <c r="G444" s="1051">
        <f t="shared" si="57"/>
        <v>65</v>
      </c>
      <c r="H444" s="1055">
        <f t="shared" si="56"/>
        <v>65</v>
      </c>
      <c r="I444" s="1056">
        <v>0</v>
      </c>
      <c r="J444" s="29">
        <v>0</v>
      </c>
    </row>
    <row r="445" spans="1:36" x14ac:dyDescent="0.2">
      <c r="A445" s="796" t="s">
        <v>1509</v>
      </c>
      <c r="B445" s="837" t="s">
        <v>1510</v>
      </c>
      <c r="C445" s="695">
        <v>350000</v>
      </c>
      <c r="D445" s="695">
        <v>350000</v>
      </c>
      <c r="E445" s="695">
        <v>0</v>
      </c>
      <c r="F445" s="695"/>
      <c r="G445" s="1051">
        <f t="shared" si="57"/>
        <v>0</v>
      </c>
      <c r="H445" s="1055">
        <f t="shared" si="56"/>
        <v>0</v>
      </c>
      <c r="I445" s="1056">
        <v>0</v>
      </c>
      <c r="J445" s="29">
        <v>0</v>
      </c>
    </row>
    <row r="446" spans="1:36" x14ac:dyDescent="0.2">
      <c r="A446" s="796" t="s">
        <v>1511</v>
      </c>
      <c r="B446" s="832" t="s">
        <v>1512</v>
      </c>
      <c r="C446" s="695">
        <v>1500000</v>
      </c>
      <c r="D446" s="695">
        <v>1500000</v>
      </c>
      <c r="E446" s="695">
        <v>0</v>
      </c>
      <c r="F446" s="695"/>
      <c r="G446" s="1051">
        <f t="shared" si="57"/>
        <v>0</v>
      </c>
      <c r="H446" s="1055">
        <f t="shared" si="56"/>
        <v>0</v>
      </c>
      <c r="I446" s="1056">
        <v>0</v>
      </c>
      <c r="J446" s="29">
        <v>0</v>
      </c>
    </row>
    <row r="447" spans="1:36" x14ac:dyDescent="0.2">
      <c r="A447" s="796" t="s">
        <v>1529</v>
      </c>
      <c r="B447" s="832" t="s">
        <v>1530</v>
      </c>
      <c r="C447" s="695">
        <v>3000000</v>
      </c>
      <c r="D447" s="695">
        <v>3000000</v>
      </c>
      <c r="E447" s="695">
        <v>0</v>
      </c>
      <c r="F447" s="695"/>
      <c r="G447" s="1051">
        <f t="shared" si="57"/>
        <v>0</v>
      </c>
      <c r="H447" s="1055">
        <f t="shared" si="56"/>
        <v>0</v>
      </c>
      <c r="I447" s="1056">
        <v>0</v>
      </c>
      <c r="J447" s="29">
        <v>0</v>
      </c>
    </row>
    <row r="448" spans="1:36" x14ac:dyDescent="0.2">
      <c r="A448" s="796" t="s">
        <v>1967</v>
      </c>
      <c r="B448" s="832" t="s">
        <v>1968</v>
      </c>
      <c r="C448" s="695">
        <v>0</v>
      </c>
      <c r="D448" s="695">
        <v>1500000</v>
      </c>
      <c r="E448" s="695">
        <v>1399150.23</v>
      </c>
      <c r="F448" s="695"/>
      <c r="G448" s="1051">
        <v>0</v>
      </c>
      <c r="H448" s="1055">
        <f t="shared" si="56"/>
        <v>93.276681999999994</v>
      </c>
      <c r="I448" s="1056">
        <v>0</v>
      </c>
      <c r="J448" s="29">
        <v>0</v>
      </c>
    </row>
    <row r="449" spans="1:10" x14ac:dyDescent="0.2">
      <c r="A449" s="796" t="s">
        <v>1969</v>
      </c>
      <c r="B449" s="832" t="s">
        <v>1970</v>
      </c>
      <c r="C449" s="695">
        <v>0</v>
      </c>
      <c r="D449" s="695">
        <v>1200000</v>
      </c>
      <c r="E449" s="695">
        <v>0</v>
      </c>
      <c r="F449" s="695"/>
      <c r="G449" s="1051">
        <v>0</v>
      </c>
      <c r="H449" s="1055">
        <f t="shared" si="56"/>
        <v>0</v>
      </c>
      <c r="I449" s="1056">
        <v>0</v>
      </c>
      <c r="J449" s="29">
        <v>0</v>
      </c>
    </row>
    <row r="450" spans="1:10" x14ac:dyDescent="0.2">
      <c r="A450" s="838">
        <v>3613</v>
      </c>
      <c r="B450" s="730" t="s">
        <v>1283</v>
      </c>
      <c r="C450" s="798">
        <f>SUM(C451:C456)</f>
        <v>5200000</v>
      </c>
      <c r="D450" s="798">
        <f>SUM(D451:D456)</f>
        <v>10900000</v>
      </c>
      <c r="E450" s="798">
        <v>726571.9</v>
      </c>
      <c r="F450" s="1094">
        <f>SUM(E451:E456)</f>
        <v>726571.9</v>
      </c>
      <c r="G450" s="630">
        <f t="shared" si="57"/>
        <v>13.972536538461538</v>
      </c>
      <c r="H450" s="1052">
        <f t="shared" si="56"/>
        <v>6.665797247706422</v>
      </c>
      <c r="I450" s="631">
        <f t="shared" ref="I450:I512" si="58">E450/J450*100</f>
        <v>1983.1101588514657</v>
      </c>
      <c r="J450" s="29">
        <v>36638</v>
      </c>
    </row>
    <row r="451" spans="1:10" x14ac:dyDescent="0.2">
      <c r="A451" s="796" t="s">
        <v>1517</v>
      </c>
      <c r="B451" s="832" t="s">
        <v>1518</v>
      </c>
      <c r="C451" s="695">
        <v>2550000</v>
      </c>
      <c r="D451" s="695">
        <v>2550000</v>
      </c>
      <c r="E451" s="695">
        <v>0</v>
      </c>
      <c r="F451" s="695"/>
      <c r="G451" s="1051">
        <f t="shared" si="57"/>
        <v>0</v>
      </c>
      <c r="H451" s="1055">
        <f t="shared" si="56"/>
        <v>0</v>
      </c>
      <c r="I451" s="1056">
        <v>0</v>
      </c>
      <c r="J451" s="29">
        <v>0</v>
      </c>
    </row>
    <row r="452" spans="1:10" x14ac:dyDescent="0.2">
      <c r="A452" s="796" t="s">
        <v>1521</v>
      </c>
      <c r="B452" s="832" t="s">
        <v>1522</v>
      </c>
      <c r="C452" s="695">
        <v>1000000</v>
      </c>
      <c r="D452" s="695">
        <v>1000000</v>
      </c>
      <c r="E452" s="695">
        <v>48400</v>
      </c>
      <c r="F452" s="695"/>
      <c r="G452" s="1051">
        <f t="shared" si="57"/>
        <v>4.84</v>
      </c>
      <c r="H452" s="1055">
        <f t="shared" si="56"/>
        <v>4.84</v>
      </c>
      <c r="I452" s="1056">
        <v>0</v>
      </c>
      <c r="J452" s="29">
        <v>0</v>
      </c>
    </row>
    <row r="453" spans="1:10" x14ac:dyDescent="0.2">
      <c r="A453" s="796" t="s">
        <v>1523</v>
      </c>
      <c r="B453" s="832" t="s">
        <v>1971</v>
      </c>
      <c r="C453" s="695">
        <v>1100000</v>
      </c>
      <c r="D453" s="695">
        <v>1100000</v>
      </c>
      <c r="E453" s="695">
        <v>0</v>
      </c>
      <c r="F453" s="695"/>
      <c r="G453" s="1051">
        <f t="shared" si="57"/>
        <v>0</v>
      </c>
      <c r="H453" s="1055">
        <f t="shared" si="56"/>
        <v>0</v>
      </c>
      <c r="I453" s="1056">
        <v>0</v>
      </c>
      <c r="J453" s="29">
        <v>0</v>
      </c>
    </row>
    <row r="454" spans="1:10" x14ac:dyDescent="0.2">
      <c r="A454" s="796" t="s">
        <v>1525</v>
      </c>
      <c r="B454" s="832" t="s">
        <v>1526</v>
      </c>
      <c r="C454" s="695">
        <v>550000</v>
      </c>
      <c r="D454" s="695">
        <v>550000</v>
      </c>
      <c r="E454" s="695">
        <v>0</v>
      </c>
      <c r="F454" s="695"/>
      <c r="G454" s="1051">
        <f t="shared" si="57"/>
        <v>0</v>
      </c>
      <c r="H454" s="1055">
        <f t="shared" si="56"/>
        <v>0</v>
      </c>
      <c r="I454" s="1056">
        <v>0</v>
      </c>
      <c r="J454" s="29">
        <v>0</v>
      </c>
    </row>
    <row r="455" spans="1:10" x14ac:dyDescent="0.2">
      <c r="A455" s="796" t="s">
        <v>1972</v>
      </c>
      <c r="B455" s="832" t="s">
        <v>1973</v>
      </c>
      <c r="C455" s="695">
        <v>0</v>
      </c>
      <c r="D455" s="695">
        <v>1700000</v>
      </c>
      <c r="E455" s="695">
        <v>678171.9</v>
      </c>
      <c r="F455" s="695"/>
      <c r="G455" s="1051">
        <v>0</v>
      </c>
      <c r="H455" s="1055">
        <f t="shared" si="56"/>
        <v>39.892464705882354</v>
      </c>
      <c r="I455" s="1056">
        <v>0</v>
      </c>
      <c r="J455" s="29">
        <v>0</v>
      </c>
    </row>
    <row r="456" spans="1:10" x14ac:dyDescent="0.2">
      <c r="A456" s="796" t="s">
        <v>1974</v>
      </c>
      <c r="B456" s="832" t="s">
        <v>1975</v>
      </c>
      <c r="C456" s="695">
        <v>0</v>
      </c>
      <c r="D456" s="695">
        <v>4000000</v>
      </c>
      <c r="E456" s="695">
        <v>0</v>
      </c>
      <c r="F456" s="695"/>
      <c r="G456" s="1051">
        <v>0</v>
      </c>
      <c r="H456" s="1055">
        <f t="shared" si="56"/>
        <v>0</v>
      </c>
      <c r="I456" s="1056">
        <v>0</v>
      </c>
      <c r="J456" s="29">
        <v>0</v>
      </c>
    </row>
    <row r="457" spans="1:10" x14ac:dyDescent="0.2">
      <c r="A457" s="730">
        <v>3634</v>
      </c>
      <c r="B457" s="730" t="s">
        <v>1531</v>
      </c>
      <c r="C457" s="798">
        <f>SUM(C458:C466)</f>
        <v>38361250</v>
      </c>
      <c r="D457" s="798">
        <f>SUM(D458:D466)</f>
        <v>38361250</v>
      </c>
      <c r="E457" s="798">
        <v>1800580.62</v>
      </c>
      <c r="F457" s="1094">
        <f>SUM(E458:E466)</f>
        <v>1800580.62</v>
      </c>
      <c r="G457" s="630">
        <f t="shared" si="57"/>
        <v>4.6937485613737824</v>
      </c>
      <c r="H457" s="1052">
        <f t="shared" si="56"/>
        <v>4.6937485613737824</v>
      </c>
      <c r="I457" s="631">
        <v>0</v>
      </c>
      <c r="J457" s="29">
        <v>0</v>
      </c>
    </row>
    <row r="458" spans="1:10" x14ac:dyDescent="0.2">
      <c r="A458" s="796" t="s">
        <v>1556</v>
      </c>
      <c r="B458" s="832" t="s">
        <v>1557</v>
      </c>
      <c r="C458" s="695">
        <v>6000000</v>
      </c>
      <c r="D458" s="695">
        <f>6000000-1300000</f>
        <v>4700000</v>
      </c>
      <c r="E458" s="695">
        <v>0</v>
      </c>
      <c r="F458" s="695"/>
      <c r="G458" s="1051">
        <f t="shared" si="57"/>
        <v>0</v>
      </c>
      <c r="H458" s="1055">
        <f t="shared" si="56"/>
        <v>0</v>
      </c>
      <c r="I458" s="1056">
        <v>0</v>
      </c>
      <c r="J458" s="29">
        <v>0</v>
      </c>
    </row>
    <row r="459" spans="1:10" ht="12.75" customHeight="1" x14ac:dyDescent="0.2">
      <c r="A459" s="796" t="s">
        <v>1542</v>
      </c>
      <c r="B459" s="832" t="s">
        <v>1976</v>
      </c>
      <c r="C459" s="695">
        <v>2151250</v>
      </c>
      <c r="D459" s="695">
        <v>2151250</v>
      </c>
      <c r="E459" s="695">
        <v>151250</v>
      </c>
      <c r="F459" s="695"/>
      <c r="G459" s="1051">
        <f t="shared" si="57"/>
        <v>7.0307960488088321</v>
      </c>
      <c r="H459" s="1055">
        <f t="shared" si="56"/>
        <v>7.0307960488088321</v>
      </c>
      <c r="I459" s="1056">
        <v>0</v>
      </c>
      <c r="J459" s="29">
        <v>0</v>
      </c>
    </row>
    <row r="460" spans="1:10" x14ac:dyDescent="0.2">
      <c r="A460" s="796" t="s">
        <v>1544</v>
      </c>
      <c r="B460" s="832" t="s">
        <v>1977</v>
      </c>
      <c r="C460" s="695">
        <v>2500000</v>
      </c>
      <c r="D460" s="695">
        <f>2500000-1300000+1300000</f>
        <v>2500000</v>
      </c>
      <c r="E460" s="695">
        <v>0</v>
      </c>
      <c r="F460" s="695"/>
      <c r="G460" s="1051">
        <f t="shared" si="57"/>
        <v>0</v>
      </c>
      <c r="H460" s="1055">
        <f t="shared" si="56"/>
        <v>0</v>
      </c>
      <c r="I460" s="1056">
        <v>0</v>
      </c>
      <c r="J460" s="29">
        <v>0</v>
      </c>
    </row>
    <row r="461" spans="1:10" x14ac:dyDescent="0.2">
      <c r="A461" s="796" t="s">
        <v>1546</v>
      </c>
      <c r="B461" s="832" t="s">
        <v>1547</v>
      </c>
      <c r="C461" s="695">
        <v>210000</v>
      </c>
      <c r="D461" s="695">
        <f>210000</f>
        <v>210000</v>
      </c>
      <c r="E461" s="695">
        <v>176660</v>
      </c>
      <c r="F461" s="695"/>
      <c r="G461" s="1051">
        <f t="shared" si="57"/>
        <v>84.123809523809527</v>
      </c>
      <c r="H461" s="1055">
        <f t="shared" si="56"/>
        <v>84.123809523809527</v>
      </c>
      <c r="I461" s="1056">
        <v>0</v>
      </c>
      <c r="J461" s="29">
        <v>0</v>
      </c>
    </row>
    <row r="462" spans="1:10" x14ac:dyDescent="0.2">
      <c r="A462" s="796" t="s">
        <v>1548</v>
      </c>
      <c r="B462" s="832" t="s">
        <v>1549</v>
      </c>
      <c r="C462" s="695">
        <v>4500000</v>
      </c>
      <c r="D462" s="695">
        <v>4500000</v>
      </c>
      <c r="E462" s="695">
        <v>1233090.6200000001</v>
      </c>
      <c r="F462" s="695"/>
      <c r="G462" s="1051">
        <f t="shared" si="57"/>
        <v>27.402013777777778</v>
      </c>
      <c r="H462" s="1055">
        <f t="shared" si="56"/>
        <v>27.402013777777778</v>
      </c>
      <c r="I462" s="1056">
        <v>0</v>
      </c>
      <c r="J462" s="29">
        <v>0</v>
      </c>
    </row>
    <row r="463" spans="1:10" x14ac:dyDescent="0.2">
      <c r="A463" s="796" t="s">
        <v>1550</v>
      </c>
      <c r="B463" s="832" t="s">
        <v>1551</v>
      </c>
      <c r="C463" s="695">
        <v>4800000</v>
      </c>
      <c r="D463" s="695">
        <v>4800000</v>
      </c>
      <c r="E463" s="695">
        <v>0</v>
      </c>
      <c r="F463" s="695"/>
      <c r="G463" s="1051">
        <f t="shared" si="57"/>
        <v>0</v>
      </c>
      <c r="H463" s="1055">
        <f t="shared" si="56"/>
        <v>0</v>
      </c>
      <c r="I463" s="1056">
        <v>0</v>
      </c>
      <c r="J463" s="29">
        <v>0</v>
      </c>
    </row>
    <row r="464" spans="1:10" x14ac:dyDescent="0.2">
      <c r="A464" s="796" t="s">
        <v>1552</v>
      </c>
      <c r="B464" s="832" t="s">
        <v>1553</v>
      </c>
      <c r="C464" s="695">
        <v>5000000</v>
      </c>
      <c r="D464" s="695">
        <f>5000000-40000</f>
        <v>4960000</v>
      </c>
      <c r="E464" s="695">
        <v>0</v>
      </c>
      <c r="F464" s="695"/>
      <c r="G464" s="1051">
        <f t="shared" si="57"/>
        <v>0</v>
      </c>
      <c r="H464" s="1055">
        <f t="shared" si="56"/>
        <v>0</v>
      </c>
      <c r="I464" s="1056">
        <v>0</v>
      </c>
      <c r="J464" s="29">
        <v>0</v>
      </c>
    </row>
    <row r="465" spans="1:10" ht="12.75" customHeight="1" x14ac:dyDescent="0.2">
      <c r="A465" s="796" t="s">
        <v>1554</v>
      </c>
      <c r="B465" s="832" t="s">
        <v>1555</v>
      </c>
      <c r="C465" s="695">
        <v>13000000</v>
      </c>
      <c r="D465" s="695">
        <f>13000000+1300000</f>
        <v>14300000</v>
      </c>
      <c r="E465" s="695">
        <v>0</v>
      </c>
      <c r="F465" s="695"/>
      <c r="G465" s="1051">
        <f t="shared" si="57"/>
        <v>0</v>
      </c>
      <c r="H465" s="1055">
        <f t="shared" si="56"/>
        <v>0</v>
      </c>
      <c r="I465" s="1056">
        <v>0</v>
      </c>
      <c r="J465" s="29">
        <v>0</v>
      </c>
    </row>
    <row r="466" spans="1:10" x14ac:dyDescent="0.2">
      <c r="A466" s="799" t="s">
        <v>1558</v>
      </c>
      <c r="B466" s="1101" t="s">
        <v>1559</v>
      </c>
      <c r="C466" s="728">
        <v>200000</v>
      </c>
      <c r="D466" s="728">
        <f>200000+40000</f>
        <v>240000</v>
      </c>
      <c r="E466" s="728">
        <v>239580</v>
      </c>
      <c r="F466" s="728"/>
      <c r="G466" s="1051">
        <f t="shared" si="57"/>
        <v>119.78999999999999</v>
      </c>
      <c r="H466" s="1055">
        <f t="shared" si="56"/>
        <v>99.825000000000003</v>
      </c>
      <c r="I466" s="1056">
        <v>0</v>
      </c>
      <c r="J466" s="29">
        <v>0</v>
      </c>
    </row>
    <row r="467" spans="1:10" x14ac:dyDescent="0.2">
      <c r="A467" s="730">
        <v>4351</v>
      </c>
      <c r="B467" s="730" t="s">
        <v>1978</v>
      </c>
      <c r="C467" s="798">
        <f>SUM(C468)</f>
        <v>2500000</v>
      </c>
      <c r="D467" s="798">
        <f>SUM(D468)</f>
        <v>2500000</v>
      </c>
      <c r="E467" s="798">
        <v>0</v>
      </c>
      <c r="F467" s="1094"/>
      <c r="G467" s="630">
        <f t="shared" si="57"/>
        <v>0</v>
      </c>
      <c r="H467" s="1052">
        <f t="shared" si="56"/>
        <v>0</v>
      </c>
      <c r="I467" s="631">
        <v>0</v>
      </c>
      <c r="J467" s="29">
        <v>0</v>
      </c>
    </row>
    <row r="468" spans="1:10" x14ac:dyDescent="0.2">
      <c r="A468" s="796" t="s">
        <v>1519</v>
      </c>
      <c r="B468" s="1101" t="s">
        <v>1520</v>
      </c>
      <c r="C468" s="728">
        <v>2500000</v>
      </c>
      <c r="D468" s="728">
        <v>2500000</v>
      </c>
      <c r="E468" s="728">
        <v>0</v>
      </c>
      <c r="F468" s="728"/>
      <c r="G468" s="1051">
        <f t="shared" si="57"/>
        <v>0</v>
      </c>
      <c r="H468" s="1055">
        <f t="shared" si="56"/>
        <v>0</v>
      </c>
      <c r="I468" s="1056">
        <v>0</v>
      </c>
      <c r="J468" s="29">
        <v>0</v>
      </c>
    </row>
    <row r="469" spans="1:10" x14ac:dyDescent="0.2">
      <c r="A469" s="730">
        <v>4374</v>
      </c>
      <c r="B469" s="730" t="s">
        <v>753</v>
      </c>
      <c r="C469" s="798">
        <f>SUM(C470)</f>
        <v>500000</v>
      </c>
      <c r="D469" s="798">
        <f>SUM(D470)</f>
        <v>500000</v>
      </c>
      <c r="E469" s="798">
        <v>18000</v>
      </c>
      <c r="F469" s="1094"/>
      <c r="G469" s="630">
        <f t="shared" si="57"/>
        <v>3.5999999999999996</v>
      </c>
      <c r="H469" s="1052">
        <f t="shared" si="56"/>
        <v>3.5999999999999996</v>
      </c>
      <c r="I469" s="631">
        <v>0</v>
      </c>
      <c r="J469" s="29">
        <v>0</v>
      </c>
    </row>
    <row r="470" spans="1:10" x14ac:dyDescent="0.2">
      <c r="A470" s="796" t="s">
        <v>1527</v>
      </c>
      <c r="B470" s="833" t="s">
        <v>1528</v>
      </c>
      <c r="C470" s="828">
        <v>500000</v>
      </c>
      <c r="D470" s="828">
        <v>500000</v>
      </c>
      <c r="E470" s="828">
        <v>18000</v>
      </c>
      <c r="F470" s="828"/>
      <c r="G470" s="1051">
        <f t="shared" si="57"/>
        <v>3.5999999999999996</v>
      </c>
      <c r="H470" s="1055">
        <f t="shared" si="56"/>
        <v>3.5999999999999996</v>
      </c>
      <c r="I470" s="1056">
        <v>0</v>
      </c>
      <c r="J470" s="29">
        <v>0</v>
      </c>
    </row>
    <row r="471" spans="1:10" ht="15.75" x14ac:dyDescent="0.25">
      <c r="A471" s="819"/>
      <c r="B471" s="802" t="s">
        <v>546</v>
      </c>
      <c r="C471" s="702">
        <f>SUM(C472,C479,C481,C486,C489)</f>
        <v>18780000</v>
      </c>
      <c r="D471" s="702">
        <f>SUM(D472,D479,D481,D486,D489)</f>
        <v>18920307</v>
      </c>
      <c r="E471" s="702">
        <v>825925.5</v>
      </c>
      <c r="F471" s="1068">
        <f>SUM(E472,E479,E481,E486,E489)</f>
        <v>825925.5</v>
      </c>
      <c r="G471" s="623">
        <f t="shared" si="57"/>
        <v>4.3978993610223647</v>
      </c>
      <c r="H471" s="623">
        <f t="shared" si="56"/>
        <v>4.365285933256791</v>
      </c>
      <c r="I471" s="741">
        <f t="shared" si="58"/>
        <v>8.8035824296071628</v>
      </c>
      <c r="J471" s="29">
        <v>9381697.8100000005</v>
      </c>
    </row>
    <row r="472" spans="1:10" x14ac:dyDescent="0.2">
      <c r="A472" s="814">
        <v>3412</v>
      </c>
      <c r="B472" s="806" t="s">
        <v>1560</v>
      </c>
      <c r="C472" s="795">
        <f>SUM(C473:C478)</f>
        <v>13470000</v>
      </c>
      <c r="D472" s="795">
        <f>SUM(D473:D478)</f>
        <v>13610307</v>
      </c>
      <c r="E472" s="795">
        <v>304195.5</v>
      </c>
      <c r="F472" s="1093">
        <f>SUM(E473:E478)</f>
        <v>304195.5</v>
      </c>
      <c r="G472" s="630">
        <f t="shared" si="57"/>
        <v>2.2583184855233851</v>
      </c>
      <c r="H472" s="1052">
        <f t="shared" si="56"/>
        <v>2.2350377548427085</v>
      </c>
      <c r="I472" s="631">
        <v>0</v>
      </c>
      <c r="J472" s="29">
        <v>0</v>
      </c>
    </row>
    <row r="473" spans="1:10" x14ac:dyDescent="0.2">
      <c r="A473" s="796" t="s">
        <v>1979</v>
      </c>
      <c r="B473" s="809" t="s">
        <v>1980</v>
      </c>
      <c r="C473" s="695">
        <v>0</v>
      </c>
      <c r="D473" s="695">
        <f>153307+3000</f>
        <v>156307</v>
      </c>
      <c r="E473" s="695">
        <v>155937</v>
      </c>
      <c r="F473" s="695"/>
      <c r="G473" s="1051">
        <v>0</v>
      </c>
      <c r="H473" s="1055">
        <f t="shared" si="56"/>
        <v>99.763286353138383</v>
      </c>
      <c r="I473" s="1056">
        <v>0</v>
      </c>
      <c r="J473" s="29">
        <v>0</v>
      </c>
    </row>
    <row r="474" spans="1:10" x14ac:dyDescent="0.2">
      <c r="A474" s="796" t="s">
        <v>1561</v>
      </c>
      <c r="B474" s="731" t="s">
        <v>1562</v>
      </c>
      <c r="C474" s="695">
        <v>11500000</v>
      </c>
      <c r="D474" s="695">
        <f>11500000-20000-3000-10000</f>
        <v>11467000</v>
      </c>
      <c r="E474" s="695">
        <v>0</v>
      </c>
      <c r="F474" s="695"/>
      <c r="G474" s="1051">
        <f t="shared" si="57"/>
        <v>0</v>
      </c>
      <c r="H474" s="1055">
        <f t="shared" si="56"/>
        <v>0</v>
      </c>
      <c r="I474" s="1056">
        <v>0</v>
      </c>
      <c r="J474" s="29">
        <v>0</v>
      </c>
    </row>
    <row r="475" spans="1:10" x14ac:dyDescent="0.2">
      <c r="A475" s="796" t="s">
        <v>1569</v>
      </c>
      <c r="B475" s="731" t="s">
        <v>1570</v>
      </c>
      <c r="C475" s="695">
        <v>440000</v>
      </c>
      <c r="D475" s="695">
        <f>440000+20000+10000+50000</f>
        <v>520000</v>
      </c>
      <c r="E475" s="695">
        <v>148258.5</v>
      </c>
      <c r="F475" s="695"/>
      <c r="G475" s="1051">
        <f t="shared" si="57"/>
        <v>33.695113636363637</v>
      </c>
      <c r="H475" s="1055">
        <f t="shared" si="56"/>
        <v>28.51125</v>
      </c>
      <c r="I475" s="1056">
        <v>0</v>
      </c>
      <c r="J475" s="29">
        <v>0</v>
      </c>
    </row>
    <row r="476" spans="1:10" x14ac:dyDescent="0.2">
      <c r="A476" s="796" t="s">
        <v>1563</v>
      </c>
      <c r="B476" s="731" t="s">
        <v>1564</v>
      </c>
      <c r="C476" s="695">
        <v>1000000</v>
      </c>
      <c r="D476" s="695">
        <v>1000000</v>
      </c>
      <c r="E476" s="695">
        <v>0</v>
      </c>
      <c r="F476" s="695"/>
      <c r="G476" s="1051">
        <f t="shared" si="57"/>
        <v>0</v>
      </c>
      <c r="H476" s="1055">
        <f t="shared" si="56"/>
        <v>0</v>
      </c>
      <c r="I476" s="1056">
        <v>0</v>
      </c>
      <c r="J476" s="29">
        <v>0</v>
      </c>
    </row>
    <row r="477" spans="1:10" x14ac:dyDescent="0.2">
      <c r="A477" s="796" t="s">
        <v>1565</v>
      </c>
      <c r="B477" s="731" t="s">
        <v>1566</v>
      </c>
      <c r="C477" s="695">
        <v>330000</v>
      </c>
      <c r="D477" s="695">
        <v>330000</v>
      </c>
      <c r="E477" s="695">
        <v>0</v>
      </c>
      <c r="F477" s="695"/>
      <c r="G477" s="1051">
        <f t="shared" si="57"/>
        <v>0</v>
      </c>
      <c r="H477" s="1055">
        <f t="shared" si="56"/>
        <v>0</v>
      </c>
      <c r="I477" s="1056">
        <v>0</v>
      </c>
      <c r="J477" s="29">
        <v>0</v>
      </c>
    </row>
    <row r="478" spans="1:10" x14ac:dyDescent="0.2">
      <c r="A478" s="796" t="s">
        <v>1567</v>
      </c>
      <c r="B478" s="809" t="s">
        <v>1568</v>
      </c>
      <c r="C478" s="695">
        <v>200000</v>
      </c>
      <c r="D478" s="695">
        <f>200000-13000-50000</f>
        <v>137000</v>
      </c>
      <c r="E478" s="695">
        <v>0</v>
      </c>
      <c r="F478" s="695"/>
      <c r="G478" s="1051">
        <f t="shared" si="57"/>
        <v>0</v>
      </c>
      <c r="H478" s="1055">
        <f t="shared" si="56"/>
        <v>0</v>
      </c>
      <c r="I478" s="1056">
        <v>0</v>
      </c>
      <c r="J478" s="29">
        <v>0</v>
      </c>
    </row>
    <row r="479" spans="1:10" x14ac:dyDescent="0.2">
      <c r="A479" s="730">
        <v>3613</v>
      </c>
      <c r="B479" s="797" t="s">
        <v>1283</v>
      </c>
      <c r="C479" s="798">
        <f>SUM(C480:C480)</f>
        <v>300000</v>
      </c>
      <c r="D479" s="798">
        <f>SUM(D480:D480)</f>
        <v>300000</v>
      </c>
      <c r="E479" s="798">
        <v>0</v>
      </c>
      <c r="F479" s="1094">
        <f>SUM(E480)</f>
        <v>0</v>
      </c>
      <c r="G479" s="630">
        <f t="shared" si="57"/>
        <v>0</v>
      </c>
      <c r="H479" s="1052">
        <f t="shared" si="56"/>
        <v>0</v>
      </c>
      <c r="I479" s="631">
        <v>0</v>
      </c>
      <c r="J479" s="29">
        <v>0</v>
      </c>
    </row>
    <row r="480" spans="1:10" x14ac:dyDescent="0.2">
      <c r="A480" s="796" t="s">
        <v>553</v>
      </c>
      <c r="B480" s="731" t="s">
        <v>1571</v>
      </c>
      <c r="C480" s="695">
        <v>300000</v>
      </c>
      <c r="D480" s="695">
        <v>300000</v>
      </c>
      <c r="E480" s="695">
        <v>0</v>
      </c>
      <c r="F480" s="695"/>
      <c r="G480" s="1051">
        <f t="shared" si="57"/>
        <v>0</v>
      </c>
      <c r="H480" s="1055">
        <f t="shared" si="56"/>
        <v>0</v>
      </c>
      <c r="I480" s="1056">
        <v>0</v>
      </c>
      <c r="J480" s="29">
        <v>0</v>
      </c>
    </row>
    <row r="481" spans="1:10" x14ac:dyDescent="0.2">
      <c r="A481" s="730">
        <v>3631</v>
      </c>
      <c r="B481" s="797" t="s">
        <v>1294</v>
      </c>
      <c r="C481" s="798">
        <f>SUM(C482:C485)</f>
        <v>4150000</v>
      </c>
      <c r="D481" s="798">
        <f>SUM(D482:D485)</f>
        <v>4150000</v>
      </c>
      <c r="E481" s="798">
        <v>15730</v>
      </c>
      <c r="F481" s="1094">
        <f>SUM(E482:E485)</f>
        <v>15730</v>
      </c>
      <c r="G481" s="630">
        <f t="shared" si="57"/>
        <v>0.37903614457831325</v>
      </c>
      <c r="H481" s="1052">
        <f t="shared" si="56"/>
        <v>0.37903614457831325</v>
      </c>
      <c r="I481" s="631">
        <f t="shared" si="58"/>
        <v>0.31248924079976104</v>
      </c>
      <c r="J481" s="29">
        <v>5033773.3099999996</v>
      </c>
    </row>
    <row r="482" spans="1:10" x14ac:dyDescent="0.2">
      <c r="A482" s="796" t="s">
        <v>567</v>
      </c>
      <c r="B482" s="731" t="s">
        <v>1574</v>
      </c>
      <c r="C482" s="695">
        <v>100000</v>
      </c>
      <c r="D482" s="695">
        <v>100000</v>
      </c>
      <c r="E482" s="695">
        <v>0</v>
      </c>
      <c r="F482" s="695"/>
      <c r="G482" s="1051">
        <f t="shared" si="57"/>
        <v>0</v>
      </c>
      <c r="H482" s="1055">
        <f t="shared" si="56"/>
        <v>0</v>
      </c>
      <c r="I482" s="1056">
        <v>0</v>
      </c>
      <c r="J482" s="29">
        <v>0</v>
      </c>
    </row>
    <row r="483" spans="1:10" x14ac:dyDescent="0.2">
      <c r="A483" s="796" t="s">
        <v>577</v>
      </c>
      <c r="B483" s="731" t="s">
        <v>578</v>
      </c>
      <c r="C483" s="695">
        <v>1750000</v>
      </c>
      <c r="D483" s="695">
        <f>1750000-20160</f>
        <v>1729840</v>
      </c>
      <c r="E483" s="695">
        <v>7865</v>
      </c>
      <c r="F483" s="695"/>
      <c r="G483" s="1051">
        <f t="shared" si="57"/>
        <v>0.44942857142857146</v>
      </c>
      <c r="H483" s="1055">
        <f t="shared" si="56"/>
        <v>0.45466632752162051</v>
      </c>
      <c r="I483" s="1056">
        <v>0</v>
      </c>
      <c r="J483" s="29">
        <v>0</v>
      </c>
    </row>
    <row r="484" spans="1:10" x14ac:dyDescent="0.2">
      <c r="A484" s="796" t="s">
        <v>581</v>
      </c>
      <c r="B484" s="731" t="s">
        <v>1579</v>
      </c>
      <c r="C484" s="695">
        <v>2300000</v>
      </c>
      <c r="D484" s="695">
        <v>2300000</v>
      </c>
      <c r="E484" s="695">
        <v>7865</v>
      </c>
      <c r="F484" s="695"/>
      <c r="G484" s="1051">
        <f t="shared" si="57"/>
        <v>0.34195652173913044</v>
      </c>
      <c r="H484" s="1055">
        <f t="shared" si="56"/>
        <v>0.34195652173913044</v>
      </c>
      <c r="I484" s="1056">
        <v>0</v>
      </c>
      <c r="J484" s="29">
        <v>0</v>
      </c>
    </row>
    <row r="485" spans="1:10" x14ac:dyDescent="0.2">
      <c r="A485" s="796" t="s">
        <v>585</v>
      </c>
      <c r="B485" s="731" t="s">
        <v>1580</v>
      </c>
      <c r="C485" s="695">
        <v>0</v>
      </c>
      <c r="D485" s="695">
        <v>20160</v>
      </c>
      <c r="E485" s="695">
        <v>0</v>
      </c>
      <c r="F485" s="695"/>
      <c r="G485" s="1051">
        <v>0</v>
      </c>
      <c r="H485" s="1055">
        <f t="shared" si="56"/>
        <v>0</v>
      </c>
      <c r="I485" s="1056">
        <v>0</v>
      </c>
      <c r="J485" s="29">
        <v>0</v>
      </c>
    </row>
    <row r="486" spans="1:10" x14ac:dyDescent="0.2">
      <c r="A486" s="730">
        <v>3632</v>
      </c>
      <c r="B486" s="797" t="s">
        <v>1309</v>
      </c>
      <c r="C486" s="798">
        <f>SUM(C487:C488)</f>
        <v>850000</v>
      </c>
      <c r="D486" s="798">
        <f>SUM(D487:D488)</f>
        <v>850000</v>
      </c>
      <c r="E486" s="798">
        <v>506000</v>
      </c>
      <c r="F486" s="1094">
        <f>SUM(E487:E488)</f>
        <v>506000</v>
      </c>
      <c r="G486" s="630">
        <f t="shared" si="57"/>
        <v>59.529411764705884</v>
      </c>
      <c r="H486" s="1052">
        <f t="shared" si="56"/>
        <v>59.529411764705884</v>
      </c>
      <c r="I486" s="631">
        <v>0</v>
      </c>
      <c r="J486" s="29">
        <v>0</v>
      </c>
    </row>
    <row r="487" spans="1:10" x14ac:dyDescent="0.2">
      <c r="A487" s="796" t="s">
        <v>1581</v>
      </c>
      <c r="B487" s="731" t="s">
        <v>1981</v>
      </c>
      <c r="C487" s="695">
        <f>620000+230000</f>
        <v>850000</v>
      </c>
      <c r="D487" s="695">
        <f>(620000+230000)-12000</f>
        <v>838000</v>
      </c>
      <c r="E487" s="695">
        <v>498000</v>
      </c>
      <c r="F487" s="695"/>
      <c r="G487" s="1051">
        <f t="shared" si="57"/>
        <v>58.588235294117652</v>
      </c>
      <c r="H487" s="1055">
        <f t="shared" si="56"/>
        <v>59.427207637231504</v>
      </c>
      <c r="I487" s="1056">
        <v>0</v>
      </c>
      <c r="J487" s="29">
        <v>0</v>
      </c>
    </row>
    <row r="488" spans="1:10" x14ac:dyDescent="0.2">
      <c r="A488" s="796" t="s">
        <v>1584</v>
      </c>
      <c r="B488" s="809" t="s">
        <v>1585</v>
      </c>
      <c r="C488" s="695">
        <v>0</v>
      </c>
      <c r="D488" s="695">
        <v>12000</v>
      </c>
      <c r="E488" s="695">
        <v>8000</v>
      </c>
      <c r="F488" s="695"/>
      <c r="G488" s="1051">
        <v>0</v>
      </c>
      <c r="H488" s="1055">
        <f t="shared" si="56"/>
        <v>66.666666666666657</v>
      </c>
      <c r="I488" s="1056">
        <v>0</v>
      </c>
      <c r="J488" s="29">
        <v>0</v>
      </c>
    </row>
    <row r="489" spans="1:10" x14ac:dyDescent="0.2">
      <c r="A489" s="730">
        <v>3633</v>
      </c>
      <c r="B489" s="797" t="s">
        <v>1317</v>
      </c>
      <c r="C489" s="798">
        <f>SUM(C490:C490)</f>
        <v>10000</v>
      </c>
      <c r="D489" s="798">
        <f>SUM(D490:D490)</f>
        <v>10000</v>
      </c>
      <c r="E489" s="798">
        <v>0</v>
      </c>
      <c r="F489" s="1094"/>
      <c r="G489" s="630">
        <f t="shared" si="57"/>
        <v>0</v>
      </c>
      <c r="H489" s="1052">
        <f t="shared" si="56"/>
        <v>0</v>
      </c>
      <c r="I489" s="631">
        <v>0</v>
      </c>
      <c r="J489" s="29">
        <v>0</v>
      </c>
    </row>
    <row r="490" spans="1:10" x14ac:dyDescent="0.2">
      <c r="A490" s="796" t="s">
        <v>592</v>
      </c>
      <c r="B490" s="800" t="s">
        <v>593</v>
      </c>
      <c r="C490" s="695">
        <v>10000</v>
      </c>
      <c r="D490" s="695">
        <v>10000</v>
      </c>
      <c r="E490" s="695">
        <v>0</v>
      </c>
      <c r="F490" s="695"/>
      <c r="G490" s="1051">
        <f t="shared" si="57"/>
        <v>0</v>
      </c>
      <c r="H490" s="1055">
        <f t="shared" si="56"/>
        <v>0</v>
      </c>
      <c r="I490" s="1056">
        <v>0</v>
      </c>
      <c r="J490" s="29">
        <v>0</v>
      </c>
    </row>
    <row r="491" spans="1:10" ht="15.75" x14ac:dyDescent="0.25">
      <c r="A491" s="621"/>
      <c r="B491" s="819" t="s">
        <v>1587</v>
      </c>
      <c r="C491" s="764">
        <f t="shared" ref="C491:D494" si="59">SUM(C492:C492)</f>
        <v>460000</v>
      </c>
      <c r="D491" s="764">
        <f t="shared" si="59"/>
        <v>460000</v>
      </c>
      <c r="E491" s="764">
        <v>22500</v>
      </c>
      <c r="F491" s="1102"/>
      <c r="G491" s="623">
        <f t="shared" si="57"/>
        <v>4.8913043478260869</v>
      </c>
      <c r="H491" s="623">
        <f t="shared" si="56"/>
        <v>4.8913043478260869</v>
      </c>
      <c r="I491" s="741">
        <f t="shared" si="58"/>
        <v>150</v>
      </c>
      <c r="J491" s="29">
        <v>15000</v>
      </c>
    </row>
    <row r="492" spans="1:10" x14ac:dyDescent="0.2">
      <c r="A492" s="847" t="s">
        <v>603</v>
      </c>
      <c r="B492" s="848" t="s">
        <v>1588</v>
      </c>
      <c r="C492" s="849">
        <v>460000</v>
      </c>
      <c r="D492" s="849">
        <v>460000</v>
      </c>
      <c r="E492" s="849">
        <v>22500</v>
      </c>
      <c r="F492" s="849"/>
      <c r="G492" s="1051">
        <f t="shared" si="57"/>
        <v>4.8913043478260869</v>
      </c>
      <c r="H492" s="1055">
        <f t="shared" ref="H492:H554" si="60">E492/D492*100</f>
        <v>4.8913043478260869</v>
      </c>
      <c r="I492" s="1056">
        <f t="shared" si="58"/>
        <v>150</v>
      </c>
      <c r="J492" s="29">
        <v>15000</v>
      </c>
    </row>
    <row r="493" spans="1:10" x14ac:dyDescent="0.2">
      <c r="A493" s="850"/>
      <c r="B493" s="851"/>
      <c r="C493" s="828"/>
      <c r="D493" s="828"/>
      <c r="E493" s="828"/>
      <c r="F493" s="828"/>
      <c r="G493" s="828"/>
      <c r="H493" s="828"/>
      <c r="I493" s="852"/>
    </row>
    <row r="494" spans="1:10" s="85" customFormat="1" ht="20.25" x14ac:dyDescent="0.3">
      <c r="A494" s="853"/>
      <c r="B494" s="854" t="s">
        <v>31</v>
      </c>
      <c r="C494" s="855">
        <f t="shared" si="59"/>
        <v>15000</v>
      </c>
      <c r="D494" s="855">
        <f t="shared" si="59"/>
        <v>15000</v>
      </c>
      <c r="E494" s="855">
        <v>7000</v>
      </c>
      <c r="F494" s="1103"/>
      <c r="G494" s="735">
        <f t="shared" si="57"/>
        <v>46.666666666666664</v>
      </c>
      <c r="H494" s="735">
        <f t="shared" si="60"/>
        <v>46.666666666666664</v>
      </c>
      <c r="I494" s="1083">
        <f t="shared" si="58"/>
        <v>140</v>
      </c>
      <c r="J494" s="1037">
        <v>5000</v>
      </c>
    </row>
    <row r="495" spans="1:10" x14ac:dyDescent="0.2">
      <c r="A495" s="856" t="s">
        <v>1589</v>
      </c>
      <c r="B495" s="688" t="s">
        <v>1590</v>
      </c>
      <c r="C495" s="637">
        <v>15000</v>
      </c>
      <c r="D495" s="637">
        <v>15000</v>
      </c>
      <c r="E495" s="637">
        <v>7000</v>
      </c>
      <c r="F495" s="644"/>
      <c r="G495" s="630">
        <f t="shared" si="57"/>
        <v>46.666666666666664</v>
      </c>
      <c r="H495" s="1052">
        <f t="shared" si="60"/>
        <v>46.666666666666664</v>
      </c>
      <c r="I495" s="631">
        <f t="shared" si="58"/>
        <v>140</v>
      </c>
      <c r="J495" s="29">
        <v>5000</v>
      </c>
    </row>
    <row r="496" spans="1:10" s="244" customFormat="1" ht="12.75" customHeight="1" x14ac:dyDescent="0.25">
      <c r="A496" s="857"/>
      <c r="B496" s="738"/>
      <c r="C496" s="785"/>
      <c r="D496" s="785"/>
      <c r="E496" s="785"/>
      <c r="F496" s="785"/>
      <c r="G496" s="785"/>
      <c r="H496" s="785"/>
      <c r="I496" s="858"/>
      <c r="J496" s="1104"/>
    </row>
    <row r="497" spans="1:10" s="558" customFormat="1" ht="20.25" x14ac:dyDescent="0.3">
      <c r="A497" s="734"/>
      <c r="B497" s="757" t="s">
        <v>608</v>
      </c>
      <c r="C497" s="859">
        <f t="shared" ref="C497:D497" si="61">SUM(C498:C501)</f>
        <v>13200772</v>
      </c>
      <c r="D497" s="859">
        <f t="shared" si="61"/>
        <v>13802650.27</v>
      </c>
      <c r="E497" s="859">
        <v>5038089.7300000004</v>
      </c>
      <c r="F497" s="1084">
        <f>SUM(E498:E501)</f>
        <v>5038092.7300000004</v>
      </c>
      <c r="G497" s="735">
        <f t="shared" ref="G497:G559" si="62">E497/C497*100</f>
        <v>38.165114358463285</v>
      </c>
      <c r="H497" s="735">
        <f t="shared" si="60"/>
        <v>36.500886651821254</v>
      </c>
      <c r="I497" s="1083">
        <f t="shared" si="58"/>
        <v>109.5566375123409</v>
      </c>
      <c r="J497" s="1037">
        <v>4598616.6100000003</v>
      </c>
    </row>
    <row r="498" spans="1:10" s="98" customFormat="1" ht="24.75" x14ac:dyDescent="0.2">
      <c r="A498" s="660">
        <v>2141</v>
      </c>
      <c r="B498" s="688" t="s">
        <v>1591</v>
      </c>
      <c r="C498" s="637">
        <v>825800</v>
      </c>
      <c r="D498" s="637">
        <v>825800</v>
      </c>
      <c r="E498" s="637">
        <v>384328.27</v>
      </c>
      <c r="F498" s="644"/>
      <c r="G498" s="630">
        <f t="shared" si="62"/>
        <v>46.54011503996125</v>
      </c>
      <c r="H498" s="1052">
        <f t="shared" si="60"/>
        <v>46.54011503996125</v>
      </c>
      <c r="I498" s="639">
        <f t="shared" si="58"/>
        <v>130.77218921381311</v>
      </c>
      <c r="J498" s="1037">
        <v>293891.44</v>
      </c>
    </row>
    <row r="499" spans="1:10" s="98" customFormat="1" ht="60.75" x14ac:dyDescent="0.2">
      <c r="A499" s="663">
        <v>2143</v>
      </c>
      <c r="B499" s="634" t="s">
        <v>1592</v>
      </c>
      <c r="C499" s="637">
        <v>11485972</v>
      </c>
      <c r="D499" s="637">
        <f>11485972+(70804.8+217373.47)+33700+(50000+150000)+80000</f>
        <v>12087850.27</v>
      </c>
      <c r="E499" s="637">
        <v>4459215.63</v>
      </c>
      <c r="F499" s="644"/>
      <c r="G499" s="630">
        <f t="shared" si="62"/>
        <v>38.823145572703815</v>
      </c>
      <c r="H499" s="1052">
        <f t="shared" si="60"/>
        <v>36.890063414063121</v>
      </c>
      <c r="I499" s="639">
        <f t="shared" si="58"/>
        <v>106.42614221667995</v>
      </c>
      <c r="J499" s="1037">
        <v>4189962.67</v>
      </c>
    </row>
    <row r="500" spans="1:10" s="98" customFormat="1" ht="24.75" x14ac:dyDescent="0.2">
      <c r="A500" s="663">
        <v>3399</v>
      </c>
      <c r="B500" s="634" t="s">
        <v>1593</v>
      </c>
      <c r="C500" s="637">
        <v>174000</v>
      </c>
      <c r="D500" s="637">
        <v>174000</v>
      </c>
      <c r="E500" s="637">
        <v>8170.04</v>
      </c>
      <c r="F500" s="644"/>
      <c r="G500" s="630">
        <f t="shared" si="62"/>
        <v>4.695425287356322</v>
      </c>
      <c r="H500" s="1052">
        <f t="shared" si="60"/>
        <v>4.695425287356322</v>
      </c>
      <c r="I500" s="639">
        <f t="shared" si="58"/>
        <v>59.790084408256696</v>
      </c>
      <c r="J500" s="1037">
        <v>13664.54</v>
      </c>
    </row>
    <row r="501" spans="1:10" s="98" customFormat="1" ht="24.75" x14ac:dyDescent="0.2">
      <c r="A501" s="663">
        <v>6223</v>
      </c>
      <c r="B501" s="634" t="s">
        <v>1594</v>
      </c>
      <c r="C501" s="637">
        <v>715000</v>
      </c>
      <c r="D501" s="637">
        <v>715000</v>
      </c>
      <c r="E501" s="637">
        <v>186378.79</v>
      </c>
      <c r="F501" s="644"/>
      <c r="G501" s="630">
        <f t="shared" si="62"/>
        <v>26.066963636363639</v>
      </c>
      <c r="H501" s="1052">
        <f t="shared" si="60"/>
        <v>26.066963636363639</v>
      </c>
      <c r="I501" s="639">
        <f t="shared" si="58"/>
        <v>184.35464968828254</v>
      </c>
      <c r="J501" s="1037">
        <v>101097.96</v>
      </c>
    </row>
    <row r="502" spans="1:10" s="98" customFormat="1" x14ac:dyDescent="0.2">
      <c r="A502" s="861"/>
      <c r="B502" s="862"/>
      <c r="C502" s="785"/>
      <c r="D502" s="785"/>
      <c r="E502" s="785"/>
      <c r="F502" s="785"/>
      <c r="G502" s="785"/>
      <c r="H502" s="785"/>
      <c r="I502" s="863"/>
      <c r="J502" s="29"/>
    </row>
    <row r="503" spans="1:10" s="558" customFormat="1" ht="20.25" x14ac:dyDescent="0.3">
      <c r="A503" s="864"/>
      <c r="B503" s="865" t="s">
        <v>33</v>
      </c>
      <c r="C503" s="866">
        <f>SUM(C504,C505)</f>
        <v>10220291</v>
      </c>
      <c r="D503" s="866">
        <f>SUM(D504,D505)</f>
        <v>10451291</v>
      </c>
      <c r="E503" s="866">
        <v>5224497.01</v>
      </c>
      <c r="F503" s="1105">
        <f>SUM(E504:E505)</f>
        <v>5224497.01</v>
      </c>
      <c r="G503" s="735">
        <f t="shared" si="62"/>
        <v>51.118867456905093</v>
      </c>
      <c r="H503" s="735">
        <f t="shared" si="60"/>
        <v>49.989011022657394</v>
      </c>
      <c r="I503" s="1083">
        <f t="shared" si="58"/>
        <v>97.330749293764356</v>
      </c>
      <c r="J503" s="29">
        <v>5367776.42</v>
      </c>
    </row>
    <row r="504" spans="1:10" s="98" customFormat="1" ht="24.75" x14ac:dyDescent="0.2">
      <c r="A504" s="663">
        <v>2223</v>
      </c>
      <c r="B504" s="634" t="s">
        <v>1595</v>
      </c>
      <c r="C504" s="687">
        <v>80000</v>
      </c>
      <c r="D504" s="687">
        <v>80000</v>
      </c>
      <c r="E504" s="687">
        <v>79841.509999999995</v>
      </c>
      <c r="F504" s="1089"/>
      <c r="G504" s="630">
        <f t="shared" si="62"/>
        <v>99.801887499999992</v>
      </c>
      <c r="H504" s="1052">
        <f t="shared" si="60"/>
        <v>99.801887499999992</v>
      </c>
      <c r="I504" s="639">
        <f t="shared" si="58"/>
        <v>115.05672676431988</v>
      </c>
      <c r="J504" s="1037">
        <v>69393.17</v>
      </c>
    </row>
    <row r="505" spans="1:10" s="98" customFormat="1" x14ac:dyDescent="0.2">
      <c r="A505" s="663">
        <v>2292</v>
      </c>
      <c r="B505" s="629" t="s">
        <v>1596</v>
      </c>
      <c r="C505" s="637">
        <f>SUM(C506:C510)</f>
        <v>10140291</v>
      </c>
      <c r="D505" s="637">
        <f>SUM(D506:D510)</f>
        <v>10371291</v>
      </c>
      <c r="E505" s="637">
        <v>5144655.5</v>
      </c>
      <c r="F505" s="644">
        <f>SUM(E506:E510)</f>
        <v>5144655.5</v>
      </c>
      <c r="G505" s="630">
        <f t="shared" si="62"/>
        <v>50.734791536061444</v>
      </c>
      <c r="H505" s="1052">
        <f t="shared" si="60"/>
        <v>49.604774371869425</v>
      </c>
      <c r="I505" s="631">
        <f t="shared" si="58"/>
        <v>97.09859134859677</v>
      </c>
      <c r="J505" s="29">
        <v>5298383.25</v>
      </c>
    </row>
    <row r="506" spans="1:10" s="98" customFormat="1" x14ac:dyDescent="0.2">
      <c r="A506" s="663"/>
      <c r="B506" s="643" t="s">
        <v>617</v>
      </c>
      <c r="C506" s="644">
        <v>2078191</v>
      </c>
      <c r="D506" s="644">
        <v>2078191</v>
      </c>
      <c r="E506" s="644">
        <v>1039095.5</v>
      </c>
      <c r="F506" s="644"/>
      <c r="G506" s="1051">
        <f t="shared" si="62"/>
        <v>50</v>
      </c>
      <c r="H506" s="1055">
        <f t="shared" si="60"/>
        <v>50</v>
      </c>
      <c r="I506" s="1056">
        <f t="shared" si="58"/>
        <v>64.408066632358114</v>
      </c>
      <c r="J506" s="29">
        <v>1613300.25</v>
      </c>
    </row>
    <row r="507" spans="1:10" s="98" customFormat="1" x14ac:dyDescent="0.2">
      <c r="A507" s="663"/>
      <c r="B507" s="643" t="s">
        <v>1597</v>
      </c>
      <c r="C507" s="644">
        <v>7500000</v>
      </c>
      <c r="D507" s="644">
        <f>7500000+231000</f>
        <v>7731000</v>
      </c>
      <c r="E507" s="644">
        <v>3703500</v>
      </c>
      <c r="F507" s="644"/>
      <c r="G507" s="1051">
        <f t="shared" si="62"/>
        <v>49.38</v>
      </c>
      <c r="H507" s="1055">
        <f t="shared" si="60"/>
        <v>47.904540162980211</v>
      </c>
      <c r="I507" s="1056">
        <f t="shared" si="58"/>
        <v>119.89309168462825</v>
      </c>
      <c r="J507" s="29">
        <v>3089002</v>
      </c>
    </row>
    <row r="508" spans="1:10" s="98" customFormat="1" x14ac:dyDescent="0.2">
      <c r="A508" s="663"/>
      <c r="B508" s="650" t="s">
        <v>1598</v>
      </c>
      <c r="C508" s="644">
        <v>150000</v>
      </c>
      <c r="D508" s="644">
        <v>150000</v>
      </c>
      <c r="E508" s="644">
        <v>86658</v>
      </c>
      <c r="F508" s="644"/>
      <c r="G508" s="1051">
        <f t="shared" si="62"/>
        <v>57.771999999999998</v>
      </c>
      <c r="H508" s="1055">
        <f t="shared" si="60"/>
        <v>57.771999999999998</v>
      </c>
      <c r="I508" s="1056">
        <f t="shared" si="58"/>
        <v>259.39295977011494</v>
      </c>
      <c r="J508" s="88">
        <v>33408</v>
      </c>
    </row>
    <row r="509" spans="1:10" s="98" customFormat="1" x14ac:dyDescent="0.2">
      <c r="A509" s="710"/>
      <c r="B509" s="867" t="s">
        <v>1599</v>
      </c>
      <c r="C509" s="652">
        <v>400000</v>
      </c>
      <c r="D509" s="652">
        <v>400000</v>
      </c>
      <c r="E509" s="652">
        <v>315402</v>
      </c>
      <c r="F509" s="652"/>
      <c r="G509" s="1051">
        <f t="shared" si="62"/>
        <v>78.850499999999997</v>
      </c>
      <c r="H509" s="1055">
        <f t="shared" si="60"/>
        <v>78.850499999999997</v>
      </c>
      <c r="I509" s="1056">
        <f t="shared" si="58"/>
        <v>96.452916046128294</v>
      </c>
      <c r="J509" s="29">
        <v>327001</v>
      </c>
    </row>
    <row r="510" spans="1:10" s="98" customFormat="1" x14ac:dyDescent="0.2">
      <c r="A510" s="729"/>
      <c r="B510" s="868" t="s">
        <v>1600</v>
      </c>
      <c r="C510" s="678">
        <v>12100</v>
      </c>
      <c r="D510" s="678">
        <v>12100</v>
      </c>
      <c r="E510" s="678">
        <v>0</v>
      </c>
      <c r="F510" s="678"/>
      <c r="G510" s="1051">
        <f t="shared" si="62"/>
        <v>0</v>
      </c>
      <c r="H510" s="1055">
        <f t="shared" si="60"/>
        <v>0</v>
      </c>
      <c r="I510" s="1056">
        <v>0</v>
      </c>
      <c r="J510" s="29">
        <v>0</v>
      </c>
    </row>
    <row r="511" spans="1:10" s="98" customFormat="1" x14ac:dyDescent="0.2">
      <c r="A511" s="863"/>
      <c r="B511" s="868"/>
      <c r="C511" s="682"/>
      <c r="D511" s="682"/>
      <c r="E511" s="682"/>
      <c r="F511" s="682"/>
      <c r="G511" s="682"/>
      <c r="H511" s="682"/>
      <c r="I511" s="870"/>
      <c r="J511" s="29"/>
    </row>
    <row r="512" spans="1:10" s="558" customFormat="1" ht="20.25" x14ac:dyDescent="0.3">
      <c r="A512" s="734"/>
      <c r="B512" s="757" t="s">
        <v>34</v>
      </c>
      <c r="C512" s="871">
        <f>SUM(C513:C514)</f>
        <v>162000</v>
      </c>
      <c r="D512" s="871">
        <f>SUM(D513:D514)</f>
        <v>162000</v>
      </c>
      <c r="E512" s="871">
        <v>49316</v>
      </c>
      <c r="F512" s="1068">
        <f>SUM(E513:E514)</f>
        <v>49316</v>
      </c>
      <c r="G512" s="735">
        <f t="shared" si="62"/>
        <v>30.441975308641979</v>
      </c>
      <c r="H512" s="735">
        <f t="shared" si="60"/>
        <v>30.441975308641979</v>
      </c>
      <c r="I512" s="1083">
        <f t="shared" si="58"/>
        <v>97.574140201590438</v>
      </c>
      <c r="J512" s="29">
        <v>50542.080000000002</v>
      </c>
    </row>
    <row r="513" spans="1:10" s="98" customFormat="1" ht="12.75" customHeight="1" x14ac:dyDescent="0.2">
      <c r="A513" s="663">
        <v>2223</v>
      </c>
      <c r="B513" s="629" t="s">
        <v>1601</v>
      </c>
      <c r="C513" s="637">
        <v>150000</v>
      </c>
      <c r="D513" s="637">
        <v>150000</v>
      </c>
      <c r="E513" s="637">
        <v>47232</v>
      </c>
      <c r="F513" s="644"/>
      <c r="G513" s="630">
        <f t="shared" si="62"/>
        <v>31.488</v>
      </c>
      <c r="H513" s="1052">
        <f t="shared" si="60"/>
        <v>31.488</v>
      </c>
      <c r="I513" s="631">
        <f t="shared" ref="I513:I576" si="63">E513/J513*100</f>
        <v>95.861507399472472</v>
      </c>
      <c r="J513" s="29">
        <v>49271.08</v>
      </c>
    </row>
    <row r="514" spans="1:10" s="98" customFormat="1" x14ac:dyDescent="0.2">
      <c r="A514" s="663">
        <v>6171</v>
      </c>
      <c r="B514" s="629" t="s">
        <v>1602</v>
      </c>
      <c r="C514" s="637">
        <v>12000</v>
      </c>
      <c r="D514" s="637">
        <v>12000</v>
      </c>
      <c r="E514" s="637">
        <v>2084</v>
      </c>
      <c r="F514" s="644"/>
      <c r="G514" s="630">
        <f t="shared" si="62"/>
        <v>17.366666666666667</v>
      </c>
      <c r="H514" s="1052">
        <f t="shared" si="60"/>
        <v>17.366666666666667</v>
      </c>
      <c r="I514" s="631">
        <f t="shared" si="63"/>
        <v>163.96538158929977</v>
      </c>
      <c r="J514" s="29">
        <v>1271</v>
      </c>
    </row>
    <row r="515" spans="1:10" s="98" customFormat="1" x14ac:dyDescent="0.2">
      <c r="A515" s="1106"/>
      <c r="B515" s="1107"/>
      <c r="C515" s="1108"/>
      <c r="D515" s="1108"/>
      <c r="E515" s="1108"/>
      <c r="F515" s="1108"/>
      <c r="G515" s="1108"/>
      <c r="H515" s="1108"/>
      <c r="I515" s="583"/>
      <c r="J515" s="29"/>
    </row>
    <row r="516" spans="1:10" s="558" customFormat="1" ht="20.25" x14ac:dyDescent="0.3">
      <c r="A516" s="853"/>
      <c r="B516" s="1109" t="s">
        <v>624</v>
      </c>
      <c r="C516" s="871">
        <f>SUM(C517:C517)</f>
        <v>250000</v>
      </c>
      <c r="D516" s="871">
        <f>SUM(D517:D517)</f>
        <v>1114200</v>
      </c>
      <c r="E516" s="871">
        <v>988812.64</v>
      </c>
      <c r="F516" s="1110"/>
      <c r="G516" s="735">
        <f t="shared" si="62"/>
        <v>395.52505600000001</v>
      </c>
      <c r="H516" s="735">
        <f t="shared" si="60"/>
        <v>88.746422545323995</v>
      </c>
      <c r="I516" s="1111">
        <v>0</v>
      </c>
      <c r="J516" s="29">
        <v>0</v>
      </c>
    </row>
    <row r="517" spans="1:10" s="98" customFormat="1" x14ac:dyDescent="0.2">
      <c r="A517" s="660">
        <v>6118</v>
      </c>
      <c r="B517" s="626" t="s">
        <v>1604</v>
      </c>
      <c r="C517" s="637">
        <v>250000</v>
      </c>
      <c r="D517" s="637">
        <f>250000+864200</f>
        <v>1114200</v>
      </c>
      <c r="E517" s="637">
        <v>988812.64</v>
      </c>
      <c r="F517" s="644"/>
      <c r="G517" s="632">
        <f t="shared" si="62"/>
        <v>395.52505600000001</v>
      </c>
      <c r="H517" s="1112">
        <f t="shared" si="60"/>
        <v>88.746422545323995</v>
      </c>
      <c r="I517" s="631">
        <v>0</v>
      </c>
      <c r="J517" s="29">
        <v>0</v>
      </c>
    </row>
    <row r="518" spans="1:10" s="98" customFormat="1" x14ac:dyDescent="0.2">
      <c r="A518" s="732"/>
      <c r="B518" s="629"/>
      <c r="C518" s="873"/>
      <c r="D518" s="873"/>
      <c r="E518" s="873"/>
      <c r="F518" s="739"/>
      <c r="G518" s="873"/>
      <c r="H518" s="873"/>
      <c r="I518" s="874"/>
      <c r="J518" s="29"/>
    </row>
    <row r="519" spans="1:10" s="875" customFormat="1" ht="20.25" x14ac:dyDescent="0.3">
      <c r="A519" s="853"/>
      <c r="B519" s="876" t="s">
        <v>36</v>
      </c>
      <c r="C519" s="871">
        <f>C520+C573+C598</f>
        <v>117668120</v>
      </c>
      <c r="D519" s="871">
        <f>D520+D573+D598</f>
        <v>132562479.09999999</v>
      </c>
      <c r="E519" s="871">
        <v>69494439.739999995</v>
      </c>
      <c r="F519" s="1110">
        <f>SUM(E520,E573,E598)</f>
        <v>69494439.74000001</v>
      </c>
      <c r="G519" s="735">
        <f t="shared" si="62"/>
        <v>59.059700911342851</v>
      </c>
      <c r="H519" s="735">
        <f t="shared" si="60"/>
        <v>52.423913773954155</v>
      </c>
      <c r="I519" s="1083">
        <f t="shared" si="63"/>
        <v>97.082468903684088</v>
      </c>
      <c r="J519" s="1113">
        <v>71582892.900000006</v>
      </c>
    </row>
    <row r="520" spans="1:10" s="877" customFormat="1" ht="16.5" customHeight="1" x14ac:dyDescent="0.25">
      <c r="A520" s="802"/>
      <c r="B520" s="878" t="s">
        <v>627</v>
      </c>
      <c r="C520" s="702">
        <f>SUM(C521,C541,C572,C567)</f>
        <v>48246000</v>
      </c>
      <c r="D520" s="702">
        <f>SUM(D521,D541,D572,D567)</f>
        <v>58361535.369999997</v>
      </c>
      <c r="E520" s="702">
        <v>29720102.050000001</v>
      </c>
      <c r="F520" s="1114">
        <f>SUM(E521,E541,E567,E572)</f>
        <v>29720102.050000001</v>
      </c>
      <c r="G520" s="623">
        <f t="shared" si="62"/>
        <v>61.601173257886664</v>
      </c>
      <c r="H520" s="623">
        <f t="shared" si="60"/>
        <v>50.924126415764661</v>
      </c>
      <c r="I520" s="741">
        <f t="shared" si="63"/>
        <v>121.80322124471508</v>
      </c>
      <c r="J520" s="1113">
        <v>24400095.289999999</v>
      </c>
    </row>
    <row r="521" spans="1:10" s="877" customFormat="1" x14ac:dyDescent="0.2">
      <c r="A521" s="793">
        <v>3111</v>
      </c>
      <c r="B521" s="880" t="s">
        <v>628</v>
      </c>
      <c r="C521" s="807">
        <f>SUM(C522:C524)</f>
        <v>11238000</v>
      </c>
      <c r="D521" s="807">
        <f>SUM(D522:D524)</f>
        <v>11238000</v>
      </c>
      <c r="E521" s="807">
        <v>4999204.28</v>
      </c>
      <c r="F521" s="808">
        <f>SUM(E522:E524)</f>
        <v>4999204.28</v>
      </c>
      <c r="G521" s="630">
        <f t="shared" si="62"/>
        <v>44.484821854422499</v>
      </c>
      <c r="H521" s="1052">
        <f t="shared" si="60"/>
        <v>44.484821854422499</v>
      </c>
      <c r="I521" s="631">
        <f t="shared" si="63"/>
        <v>141.49165222042814</v>
      </c>
      <c r="J521" s="1113">
        <v>3533215</v>
      </c>
    </row>
    <row r="522" spans="1:10" s="877" customFormat="1" ht="12.75" customHeight="1" x14ac:dyDescent="0.2">
      <c r="A522" s="832"/>
      <c r="B522" s="881" t="s">
        <v>629</v>
      </c>
      <c r="C522" s="695">
        <f t="shared" ref="C522:D524" si="64">+C527+C532+C537</f>
        <v>8640000</v>
      </c>
      <c r="D522" s="695">
        <f t="shared" si="64"/>
        <v>8640000</v>
      </c>
      <c r="E522" s="695">
        <f t="shared" ref="E522:E524" si="65">SUM(E527,E532,E537)</f>
        <v>4295000</v>
      </c>
      <c r="F522" s="695"/>
      <c r="G522" s="1051">
        <f t="shared" si="62"/>
        <v>49.710648148148145</v>
      </c>
      <c r="H522" s="1055">
        <f t="shared" si="60"/>
        <v>49.710648148148145</v>
      </c>
      <c r="I522" s="1056">
        <f t="shared" si="63"/>
        <v>135.44623147272154</v>
      </c>
      <c r="J522" s="1113">
        <v>3171000</v>
      </c>
    </row>
    <row r="523" spans="1:10" s="877" customFormat="1" ht="12.75" customHeight="1" x14ac:dyDescent="0.2">
      <c r="A523" s="832"/>
      <c r="B523" s="881" t="s">
        <v>1605</v>
      </c>
      <c r="C523" s="695">
        <f t="shared" si="64"/>
        <v>2001000</v>
      </c>
      <c r="D523" s="695">
        <f t="shared" si="64"/>
        <v>2001000</v>
      </c>
      <c r="E523" s="695">
        <f t="shared" si="65"/>
        <v>704204.28</v>
      </c>
      <c r="F523" s="695"/>
      <c r="G523" s="1051">
        <f t="shared" si="62"/>
        <v>35.192617691154425</v>
      </c>
      <c r="H523" s="1055">
        <f t="shared" si="60"/>
        <v>35.192617691154425</v>
      </c>
      <c r="I523" s="1056">
        <f t="shared" si="63"/>
        <v>194.41610093452783</v>
      </c>
      <c r="J523" s="1113">
        <v>362215</v>
      </c>
    </row>
    <row r="524" spans="1:10" s="882" customFormat="1" ht="12.75" customHeight="1" x14ac:dyDescent="0.25">
      <c r="A524" s="832"/>
      <c r="B524" s="881" t="s">
        <v>1606</v>
      </c>
      <c r="C524" s="695">
        <f t="shared" si="64"/>
        <v>597000</v>
      </c>
      <c r="D524" s="695">
        <f t="shared" si="64"/>
        <v>597000</v>
      </c>
      <c r="E524" s="695">
        <f t="shared" si="65"/>
        <v>0</v>
      </c>
      <c r="F524" s="695"/>
      <c r="G524" s="1051">
        <f t="shared" si="62"/>
        <v>0</v>
      </c>
      <c r="H524" s="1055">
        <f t="shared" si="60"/>
        <v>0</v>
      </c>
      <c r="I524" s="1056">
        <v>0</v>
      </c>
      <c r="J524" s="1113">
        <v>0</v>
      </c>
    </row>
    <row r="525" spans="1:10" s="877" customFormat="1" ht="12.75" customHeight="1" x14ac:dyDescent="0.2">
      <c r="A525" s="832"/>
      <c r="B525" s="881"/>
      <c r="C525" s="695"/>
      <c r="D525" s="695"/>
      <c r="E525" s="695"/>
      <c r="F525" s="695"/>
      <c r="G525" s="695"/>
      <c r="H525" s="695"/>
      <c r="I525" s="1056"/>
      <c r="J525" s="1113"/>
    </row>
    <row r="526" spans="1:10" s="882" customFormat="1" ht="12.75" customHeight="1" x14ac:dyDescent="0.25">
      <c r="A526" s="832"/>
      <c r="B526" s="884" t="s">
        <v>1607</v>
      </c>
      <c r="C526" s="798">
        <f>C527+C528+C529</f>
        <v>4061000</v>
      </c>
      <c r="D526" s="798">
        <f>D527+D528+D529</f>
        <v>4061000</v>
      </c>
      <c r="E526" s="798">
        <v>2089204.28</v>
      </c>
      <c r="F526" s="695">
        <f>SUM(E527:E529)</f>
        <v>2089204.28</v>
      </c>
      <c r="G526" s="630">
        <f t="shared" si="62"/>
        <v>51.44556217680374</v>
      </c>
      <c r="H526" s="1052">
        <f t="shared" si="60"/>
        <v>51.44556217680374</v>
      </c>
      <c r="I526" s="631">
        <f t="shared" si="63"/>
        <v>219.22395383001049</v>
      </c>
      <c r="J526" s="1113">
        <v>953000</v>
      </c>
    </row>
    <row r="527" spans="1:10" s="877" customFormat="1" ht="12.75" customHeight="1" x14ac:dyDescent="0.2">
      <c r="A527" s="832"/>
      <c r="B527" s="884" t="s">
        <v>1608</v>
      </c>
      <c r="C527" s="816">
        <v>2815000</v>
      </c>
      <c r="D527" s="816">
        <v>2815000</v>
      </c>
      <c r="E527" s="816">
        <v>1385000</v>
      </c>
      <c r="F527" s="816"/>
      <c r="G527" s="1051">
        <f t="shared" si="62"/>
        <v>49.200710479573715</v>
      </c>
      <c r="H527" s="1055">
        <f t="shared" si="60"/>
        <v>49.200710479573715</v>
      </c>
      <c r="I527" s="1056">
        <f t="shared" si="63"/>
        <v>145.3305351521511</v>
      </c>
      <c r="J527" s="1113">
        <v>953000</v>
      </c>
    </row>
    <row r="528" spans="1:10" s="885" customFormat="1" ht="36.75" x14ac:dyDescent="0.2">
      <c r="A528" s="832" t="s">
        <v>634</v>
      </c>
      <c r="B528" s="884" t="s">
        <v>1609</v>
      </c>
      <c r="C528" s="816">
        <v>1246000</v>
      </c>
      <c r="D528" s="816">
        <v>1246000</v>
      </c>
      <c r="E528" s="816">
        <v>704204.28</v>
      </c>
      <c r="F528" s="816"/>
      <c r="G528" s="1051">
        <f t="shared" si="62"/>
        <v>56.51719743178171</v>
      </c>
      <c r="H528" s="1055">
        <f t="shared" si="60"/>
        <v>56.51719743178171</v>
      </c>
      <c r="I528" s="670">
        <v>0</v>
      </c>
      <c r="J528" s="1115">
        <v>0</v>
      </c>
    </row>
    <row r="529" spans="1:10" s="885" customFormat="1" ht="15.75" customHeight="1" x14ac:dyDescent="0.2">
      <c r="A529" s="832"/>
      <c r="B529" s="884" t="s">
        <v>1610</v>
      </c>
      <c r="C529" s="816">
        <v>0</v>
      </c>
      <c r="D529" s="816">
        <v>0</v>
      </c>
      <c r="E529" s="816">
        <v>0</v>
      </c>
      <c r="F529" s="816"/>
      <c r="G529" s="1051">
        <v>0</v>
      </c>
      <c r="H529" s="1055">
        <v>0</v>
      </c>
      <c r="I529" s="1056">
        <v>0</v>
      </c>
      <c r="J529" s="1113">
        <v>0</v>
      </c>
    </row>
    <row r="530" spans="1:10" s="885" customFormat="1" x14ac:dyDescent="0.2">
      <c r="A530" s="832"/>
      <c r="B530" s="884"/>
      <c r="C530" s="695"/>
      <c r="D530" s="695"/>
      <c r="E530" s="695"/>
      <c r="F530" s="695"/>
      <c r="G530" s="695"/>
      <c r="H530" s="695"/>
      <c r="I530" s="1056"/>
      <c r="J530" s="1113"/>
    </row>
    <row r="531" spans="1:10" s="885" customFormat="1" x14ac:dyDescent="0.2">
      <c r="A531" s="832"/>
      <c r="B531" s="886" t="s">
        <v>1611</v>
      </c>
      <c r="C531" s="798">
        <f>SUM(C532:C534)</f>
        <v>3456000</v>
      </c>
      <c r="D531" s="798">
        <f>SUM(D532:D534)</f>
        <v>3456000</v>
      </c>
      <c r="E531" s="798">
        <v>1590000</v>
      </c>
      <c r="F531" s="695">
        <f>SUM(E532:E534)</f>
        <v>1590000</v>
      </c>
      <c r="G531" s="630">
        <f t="shared" si="62"/>
        <v>46.006944444444443</v>
      </c>
      <c r="H531" s="1052">
        <f t="shared" si="60"/>
        <v>46.006944444444443</v>
      </c>
      <c r="I531" s="631">
        <f t="shared" si="63"/>
        <v>97.413637296557127</v>
      </c>
      <c r="J531" s="1113">
        <v>1632215</v>
      </c>
    </row>
    <row r="532" spans="1:10" s="885" customFormat="1" ht="12.75" customHeight="1" x14ac:dyDescent="0.2">
      <c r="A532" s="832"/>
      <c r="B532" s="884" t="s">
        <v>1612</v>
      </c>
      <c r="C532" s="816">
        <v>3179000</v>
      </c>
      <c r="D532" s="816">
        <v>3179000</v>
      </c>
      <c r="E532" s="816">
        <v>1590000</v>
      </c>
      <c r="F532" s="816"/>
      <c r="G532" s="1051">
        <f t="shared" si="62"/>
        <v>50.015728216420264</v>
      </c>
      <c r="H532" s="1055">
        <f t="shared" si="60"/>
        <v>50.015728216420264</v>
      </c>
      <c r="I532" s="1056">
        <f t="shared" si="63"/>
        <v>125.19685039370079</v>
      </c>
      <c r="J532" s="1113">
        <v>1270000</v>
      </c>
    </row>
    <row r="533" spans="1:10" s="885" customFormat="1" ht="24.75" x14ac:dyDescent="0.2">
      <c r="A533" s="832"/>
      <c r="B533" s="884" t="s">
        <v>1613</v>
      </c>
      <c r="C533" s="816">
        <v>0</v>
      </c>
      <c r="D533" s="816">
        <v>0</v>
      </c>
      <c r="E533" s="816">
        <v>0</v>
      </c>
      <c r="F533" s="816"/>
      <c r="G533" s="1051">
        <v>0</v>
      </c>
      <c r="H533" s="1055">
        <v>0</v>
      </c>
      <c r="I533" s="670">
        <f t="shared" si="63"/>
        <v>0</v>
      </c>
      <c r="J533" s="1113">
        <v>362215</v>
      </c>
    </row>
    <row r="534" spans="1:10" s="885" customFormat="1" ht="13.5" customHeight="1" x14ac:dyDescent="0.2">
      <c r="A534" s="832"/>
      <c r="B534" s="884" t="s">
        <v>1614</v>
      </c>
      <c r="C534" s="816">
        <v>277000</v>
      </c>
      <c r="D534" s="816">
        <v>277000</v>
      </c>
      <c r="E534" s="816">
        <v>0</v>
      </c>
      <c r="F534" s="816"/>
      <c r="G534" s="1051">
        <f t="shared" si="62"/>
        <v>0</v>
      </c>
      <c r="H534" s="1055">
        <f t="shared" si="60"/>
        <v>0</v>
      </c>
      <c r="I534" s="1056">
        <v>0</v>
      </c>
      <c r="J534" s="1113">
        <v>0</v>
      </c>
    </row>
    <row r="535" spans="1:10" s="885" customFormat="1" ht="12.75" customHeight="1" x14ac:dyDescent="0.2">
      <c r="A535" s="832"/>
      <c r="B535" s="884"/>
      <c r="C535" s="816"/>
      <c r="D535" s="816"/>
      <c r="E535" s="816"/>
      <c r="F535" s="816"/>
      <c r="G535" s="816"/>
      <c r="H535" s="816"/>
      <c r="I535" s="1056"/>
      <c r="J535" s="1113"/>
    </row>
    <row r="536" spans="1:10" s="885" customFormat="1" ht="12.75" customHeight="1" x14ac:dyDescent="0.2">
      <c r="A536" s="832"/>
      <c r="B536" s="884" t="s">
        <v>1615</v>
      </c>
      <c r="C536" s="798">
        <f>SUM(C537:C539)</f>
        <v>3721000</v>
      </c>
      <c r="D536" s="798">
        <f>SUM(D537:D539)</f>
        <v>3721000</v>
      </c>
      <c r="E536" s="798">
        <v>1320000</v>
      </c>
      <c r="F536" s="695">
        <f>SUM(E537:E539)</f>
        <v>1320000</v>
      </c>
      <c r="G536" s="630">
        <f t="shared" si="62"/>
        <v>35.474334856221446</v>
      </c>
      <c r="H536" s="1052">
        <f t="shared" si="60"/>
        <v>35.474334856221446</v>
      </c>
      <c r="I536" s="631">
        <f t="shared" si="63"/>
        <v>139.24050632911394</v>
      </c>
      <c r="J536" s="1113">
        <v>948000</v>
      </c>
    </row>
    <row r="537" spans="1:10" s="885" customFormat="1" ht="12.75" customHeight="1" x14ac:dyDescent="0.2">
      <c r="A537" s="832"/>
      <c r="B537" s="884" t="s">
        <v>1616</v>
      </c>
      <c r="C537" s="816">
        <v>2646000</v>
      </c>
      <c r="D537" s="816">
        <v>2646000</v>
      </c>
      <c r="E537" s="816">
        <v>1320000</v>
      </c>
      <c r="F537" s="816"/>
      <c r="G537" s="1051">
        <f t="shared" si="62"/>
        <v>49.886621315192741</v>
      </c>
      <c r="H537" s="1055">
        <f t="shared" si="60"/>
        <v>49.886621315192741</v>
      </c>
      <c r="I537" s="1056">
        <f t="shared" si="63"/>
        <v>139.24050632911394</v>
      </c>
      <c r="J537" s="1113">
        <v>948000</v>
      </c>
    </row>
    <row r="538" spans="1:10" s="885" customFormat="1" ht="44.25" customHeight="1" x14ac:dyDescent="0.2">
      <c r="A538" s="832"/>
      <c r="B538" s="884" t="s">
        <v>1617</v>
      </c>
      <c r="C538" s="816">
        <v>755000</v>
      </c>
      <c r="D538" s="816">
        <v>755000</v>
      </c>
      <c r="E538" s="816">
        <v>0</v>
      </c>
      <c r="F538" s="816"/>
      <c r="G538" s="1051">
        <f t="shared" si="62"/>
        <v>0</v>
      </c>
      <c r="H538" s="1055">
        <f t="shared" si="60"/>
        <v>0</v>
      </c>
      <c r="I538" s="670">
        <v>0</v>
      </c>
      <c r="J538" s="1115">
        <v>0</v>
      </c>
    </row>
    <row r="539" spans="1:10" s="885" customFormat="1" ht="38.25" customHeight="1" x14ac:dyDescent="0.2">
      <c r="A539" s="832"/>
      <c r="B539" s="884" t="s">
        <v>1618</v>
      </c>
      <c r="C539" s="816">
        <v>320000</v>
      </c>
      <c r="D539" s="816">
        <v>320000</v>
      </c>
      <c r="E539" s="816">
        <v>0</v>
      </c>
      <c r="F539" s="816"/>
      <c r="G539" s="1051">
        <f t="shared" si="62"/>
        <v>0</v>
      </c>
      <c r="H539" s="1055">
        <f t="shared" si="60"/>
        <v>0</v>
      </c>
      <c r="I539" s="670">
        <v>0</v>
      </c>
      <c r="J539" s="1115">
        <v>0</v>
      </c>
    </row>
    <row r="540" spans="1:10" s="885" customFormat="1" ht="12.75" customHeight="1" x14ac:dyDescent="0.2">
      <c r="A540" s="832"/>
      <c r="B540" s="884"/>
      <c r="C540" s="816"/>
      <c r="D540" s="816"/>
      <c r="E540" s="816"/>
      <c r="F540" s="816"/>
      <c r="G540" s="816"/>
      <c r="H540" s="816"/>
      <c r="I540" s="1056"/>
      <c r="J540" s="1113"/>
    </row>
    <row r="541" spans="1:10" s="885" customFormat="1" x14ac:dyDescent="0.2">
      <c r="A541" s="730">
        <v>3113</v>
      </c>
      <c r="B541" s="888" t="s">
        <v>644</v>
      </c>
      <c r="C541" s="798">
        <f>SUM(C542:C545)</f>
        <v>34258000</v>
      </c>
      <c r="D541" s="798">
        <f>SUM(D542:D545)</f>
        <v>41791172.369999997</v>
      </c>
      <c r="E541" s="798">
        <v>20738087.77</v>
      </c>
      <c r="F541" s="695">
        <f>SUM(E542:E545)</f>
        <v>20738087.769999996</v>
      </c>
      <c r="G541" s="630">
        <f t="shared" si="62"/>
        <v>60.535021805125808</v>
      </c>
      <c r="H541" s="1052">
        <f t="shared" si="60"/>
        <v>49.623129943315348</v>
      </c>
      <c r="I541" s="631">
        <f t="shared" si="63"/>
        <v>119.16369894402274</v>
      </c>
      <c r="J541" s="1113">
        <v>17403024.539999999</v>
      </c>
    </row>
    <row r="542" spans="1:10" s="885" customFormat="1" ht="12.75" customHeight="1" x14ac:dyDescent="0.2">
      <c r="A542" s="730"/>
      <c r="B542" s="884" t="s">
        <v>645</v>
      </c>
      <c r="C542" s="816">
        <v>400000</v>
      </c>
      <c r="D542" s="816">
        <f>400000+6348</f>
        <v>406348</v>
      </c>
      <c r="E542" s="816">
        <v>31083</v>
      </c>
      <c r="F542" s="816"/>
      <c r="G542" s="1051">
        <f t="shared" si="62"/>
        <v>7.7707499999999996</v>
      </c>
      <c r="H542" s="1055">
        <f t="shared" si="60"/>
        <v>7.6493547402718853</v>
      </c>
      <c r="I542" s="1056">
        <f t="shared" si="63"/>
        <v>38.673435108805194</v>
      </c>
      <c r="J542" s="1113">
        <v>80373</v>
      </c>
    </row>
    <row r="543" spans="1:10" s="885" customFormat="1" ht="12.75" customHeight="1" x14ac:dyDescent="0.2">
      <c r="A543" s="832"/>
      <c r="B543" s="884" t="s">
        <v>646</v>
      </c>
      <c r="C543" s="695">
        <f t="shared" ref="C543:D545" si="66">+C548+C553+C558+C563</f>
        <v>26483000</v>
      </c>
      <c r="D543" s="695">
        <f t="shared" si="66"/>
        <v>33131355.369999997</v>
      </c>
      <c r="E543" s="695">
        <f t="shared" ref="E543:E545" si="67">SUM(E548,E553,E558,E563)</f>
        <v>19797552.369999997</v>
      </c>
      <c r="F543" s="695"/>
      <c r="G543" s="1051">
        <f t="shared" si="62"/>
        <v>74.755701280066447</v>
      </c>
      <c r="H543" s="1055">
        <f t="shared" si="60"/>
        <v>59.754731277689956</v>
      </c>
      <c r="I543" s="1056">
        <f t="shared" si="63"/>
        <v>156.36911953375815</v>
      </c>
      <c r="J543" s="1113">
        <v>12660781.380000001</v>
      </c>
    </row>
    <row r="544" spans="1:10" s="885" customFormat="1" ht="12.75" customHeight="1" x14ac:dyDescent="0.2">
      <c r="A544" s="832"/>
      <c r="B544" s="884" t="s">
        <v>647</v>
      </c>
      <c r="C544" s="695">
        <f t="shared" si="66"/>
        <v>2985000</v>
      </c>
      <c r="D544" s="695">
        <f t="shared" si="66"/>
        <v>3468075</v>
      </c>
      <c r="E544" s="695">
        <f t="shared" si="67"/>
        <v>517487.4</v>
      </c>
      <c r="F544" s="695"/>
      <c r="G544" s="1051">
        <f t="shared" si="62"/>
        <v>17.336261306532663</v>
      </c>
      <c r="H544" s="1055">
        <f t="shared" si="60"/>
        <v>14.921459311001058</v>
      </c>
      <c r="I544" s="1056">
        <f t="shared" si="63"/>
        <v>1425.5851239669421</v>
      </c>
      <c r="J544" s="1113">
        <v>36300</v>
      </c>
    </row>
    <row r="545" spans="1:10" s="885" customFormat="1" ht="12.75" customHeight="1" x14ac:dyDescent="0.2">
      <c r="A545" s="832"/>
      <c r="B545" s="884" t="s">
        <v>648</v>
      </c>
      <c r="C545" s="889">
        <f t="shared" si="66"/>
        <v>4390000</v>
      </c>
      <c r="D545" s="889">
        <f t="shared" si="66"/>
        <v>4785394</v>
      </c>
      <c r="E545" s="889">
        <f t="shared" si="67"/>
        <v>391965</v>
      </c>
      <c r="F545" s="889"/>
      <c r="G545" s="1051">
        <f t="shared" si="62"/>
        <v>8.928587699316628</v>
      </c>
      <c r="H545" s="1055">
        <f t="shared" si="60"/>
        <v>8.1908616093053155</v>
      </c>
      <c r="I545" s="1056">
        <f t="shared" si="63"/>
        <v>8.4738742780198155</v>
      </c>
      <c r="J545" s="1113">
        <v>4625570.16</v>
      </c>
    </row>
    <row r="546" spans="1:10" s="877" customFormat="1" ht="12.75" customHeight="1" x14ac:dyDescent="0.2">
      <c r="A546" s="832"/>
      <c r="B546" s="884"/>
      <c r="C546" s="889"/>
      <c r="D546" s="889"/>
      <c r="E546" s="889"/>
      <c r="F546" s="889"/>
      <c r="G546" s="889"/>
      <c r="H546" s="889"/>
      <c r="I546" s="1056"/>
      <c r="J546" s="1113"/>
    </row>
    <row r="547" spans="1:10" s="885" customFormat="1" x14ac:dyDescent="0.2">
      <c r="A547" s="832"/>
      <c r="B547" s="884" t="s">
        <v>1619</v>
      </c>
      <c r="C547" s="798">
        <f>SUM(C548:C550)</f>
        <v>10197000</v>
      </c>
      <c r="D547" s="798">
        <f>SUM(D548:D550)</f>
        <v>11431954.85</v>
      </c>
      <c r="E547" s="798">
        <v>4858998.8499999996</v>
      </c>
      <c r="F547" s="1094">
        <f>SUM(E548:E550)</f>
        <v>4858998.8499999996</v>
      </c>
      <c r="G547" s="630">
        <f t="shared" si="62"/>
        <v>47.651258703540257</v>
      </c>
      <c r="H547" s="1052">
        <f t="shared" si="60"/>
        <v>42.50365675648203</v>
      </c>
      <c r="I547" s="631">
        <f t="shared" si="63"/>
        <v>84.850672481553246</v>
      </c>
      <c r="J547" s="1113">
        <v>5726529.5700000003</v>
      </c>
    </row>
    <row r="548" spans="1:10" s="885" customFormat="1" ht="12.75" customHeight="1" x14ac:dyDescent="0.2">
      <c r="A548" s="832"/>
      <c r="B548" s="884" t="s">
        <v>1620</v>
      </c>
      <c r="C548" s="816">
        <f>9447000</f>
        <v>9447000</v>
      </c>
      <c r="D548" s="816">
        <f>9447000+(4752.88+26932.97)</f>
        <v>9478685.8499999996</v>
      </c>
      <c r="E548" s="816">
        <f>4722000+31685.85</f>
        <v>4753685.8499999996</v>
      </c>
      <c r="F548" s="816"/>
      <c r="G548" s="1051">
        <f t="shared" si="62"/>
        <v>50.319528421721181</v>
      </c>
      <c r="H548" s="1055">
        <f t="shared" si="60"/>
        <v>50.151317653385462</v>
      </c>
      <c r="I548" s="1056">
        <f t="shared" si="63"/>
        <v>148.41580262813113</v>
      </c>
      <c r="J548" s="1113">
        <v>3202951.28</v>
      </c>
    </row>
    <row r="549" spans="1:10" s="885" customFormat="1" ht="24.75" x14ac:dyDescent="0.2">
      <c r="A549" s="832"/>
      <c r="B549" s="884" t="s">
        <v>1621</v>
      </c>
      <c r="C549" s="816">
        <v>150000</v>
      </c>
      <c r="D549" s="816">
        <f>150000+(89825+296450)</f>
        <v>536275</v>
      </c>
      <c r="E549" s="816">
        <v>105313</v>
      </c>
      <c r="F549" s="816"/>
      <c r="G549" s="1051">
        <f t="shared" si="62"/>
        <v>70.208666666666659</v>
      </c>
      <c r="H549" s="1055">
        <f t="shared" si="60"/>
        <v>19.637872360262925</v>
      </c>
      <c r="I549" s="670">
        <v>0</v>
      </c>
      <c r="J549" s="1115">
        <v>0</v>
      </c>
    </row>
    <row r="550" spans="1:10" s="885" customFormat="1" ht="27.75" customHeight="1" x14ac:dyDescent="0.2">
      <c r="A550" s="832"/>
      <c r="B550" s="884" t="s">
        <v>1982</v>
      </c>
      <c r="C550" s="816">
        <f>500000+600000-500000</f>
        <v>600000</v>
      </c>
      <c r="D550" s="816">
        <f>500000+600000-500000+603790+213204</f>
        <v>1416994</v>
      </c>
      <c r="E550" s="816">
        <v>0</v>
      </c>
      <c r="F550" s="816"/>
      <c r="G550" s="1051">
        <f t="shared" si="62"/>
        <v>0</v>
      </c>
      <c r="H550" s="1055">
        <f t="shared" si="60"/>
        <v>0</v>
      </c>
      <c r="I550" s="670">
        <f t="shared" si="63"/>
        <v>0</v>
      </c>
      <c r="J550" s="1115">
        <v>2523578.29</v>
      </c>
    </row>
    <row r="551" spans="1:10" s="885" customFormat="1" ht="12.75" customHeight="1" x14ac:dyDescent="0.2">
      <c r="A551" s="832"/>
      <c r="B551" s="884"/>
      <c r="C551" s="695"/>
      <c r="D551" s="695"/>
      <c r="E551" s="695"/>
      <c r="F551" s="695"/>
      <c r="G551" s="695"/>
      <c r="H551" s="695"/>
      <c r="I551" s="1056"/>
      <c r="J551" s="1113"/>
    </row>
    <row r="552" spans="1:10" s="885" customFormat="1" x14ac:dyDescent="0.2">
      <c r="A552" s="832"/>
      <c r="B552" s="884" t="s">
        <v>1623</v>
      </c>
      <c r="C552" s="798">
        <f>SUM(C553:C555)</f>
        <v>6765000</v>
      </c>
      <c r="D552" s="798">
        <f>SUM(D553:D555)</f>
        <v>10000589.35</v>
      </c>
      <c r="E552" s="798">
        <v>7075194.3499999996</v>
      </c>
      <c r="F552" s="1094">
        <f>SUM(E553:E555)</f>
        <v>7075194.3499999996</v>
      </c>
      <c r="G552" s="630">
        <f t="shared" si="62"/>
        <v>104.58528233555062</v>
      </c>
      <c r="H552" s="1052">
        <f t="shared" si="60"/>
        <v>70.74777397994049</v>
      </c>
      <c r="I552" s="631">
        <f t="shared" si="63"/>
        <v>378.92270494428863</v>
      </c>
      <c r="J552" s="1113">
        <v>1867186.7</v>
      </c>
    </row>
    <row r="553" spans="1:10" s="885" customFormat="1" ht="12.75" customHeight="1" x14ac:dyDescent="0.2">
      <c r="A553" s="832"/>
      <c r="B553" s="884" t="s">
        <v>1624</v>
      </c>
      <c r="C553" s="816">
        <v>5565000</v>
      </c>
      <c r="D553" s="816">
        <f>5565000+(1005316.48+3315837.52)+(1806.05+10234.3)+5595</f>
        <v>9903789.3499999996</v>
      </c>
      <c r="E553" s="816">
        <v>7075194.3499999996</v>
      </c>
      <c r="F553" s="816"/>
      <c r="G553" s="1051">
        <f t="shared" si="62"/>
        <v>127.1373647798742</v>
      </c>
      <c r="H553" s="1055">
        <f t="shared" si="60"/>
        <v>71.439265315149285</v>
      </c>
      <c r="I553" s="1056">
        <f t="shared" si="63"/>
        <v>378.92282670698967</v>
      </c>
      <c r="J553" s="1113">
        <v>1867186.1</v>
      </c>
    </row>
    <row r="554" spans="1:10" s="885" customFormat="1" ht="36.75" customHeight="1" x14ac:dyDescent="0.2">
      <c r="A554" s="832"/>
      <c r="B554" s="884" t="s">
        <v>1625</v>
      </c>
      <c r="C554" s="816">
        <v>0</v>
      </c>
      <c r="D554" s="816">
        <v>96800</v>
      </c>
      <c r="E554" s="816">
        <v>0</v>
      </c>
      <c r="F554" s="816"/>
      <c r="G554" s="1051">
        <v>0</v>
      </c>
      <c r="H554" s="1055">
        <f t="shared" si="60"/>
        <v>0</v>
      </c>
      <c r="I554" s="670">
        <v>0</v>
      </c>
      <c r="J554" s="1115">
        <v>0</v>
      </c>
    </row>
    <row r="555" spans="1:10" s="885" customFormat="1" x14ac:dyDescent="0.2">
      <c r="A555" s="832"/>
      <c r="B555" s="884" t="s">
        <v>1626</v>
      </c>
      <c r="C555" s="816">
        <f>1200000</f>
        <v>1200000</v>
      </c>
      <c r="D555" s="816">
        <f>1200000-1200000</f>
        <v>0</v>
      </c>
      <c r="E555" s="816">
        <v>0</v>
      </c>
      <c r="F555" s="816"/>
      <c r="G555" s="1051">
        <f t="shared" si="62"/>
        <v>0</v>
      </c>
      <c r="H555" s="1055">
        <v>0</v>
      </c>
      <c r="I555" s="1056">
        <v>0</v>
      </c>
      <c r="J555" s="1113">
        <v>0</v>
      </c>
    </row>
    <row r="556" spans="1:10" s="885" customFormat="1" ht="12.75" customHeight="1" x14ac:dyDescent="0.2">
      <c r="A556" s="832"/>
      <c r="B556" s="884"/>
      <c r="C556" s="695"/>
      <c r="D556" s="695"/>
      <c r="E556" s="695"/>
      <c r="F556" s="695"/>
      <c r="G556" s="695"/>
      <c r="H556" s="695"/>
      <c r="I556" s="1056"/>
      <c r="J556" s="1113"/>
    </row>
    <row r="557" spans="1:10" s="885" customFormat="1" ht="12.75" customHeight="1" x14ac:dyDescent="0.2">
      <c r="A557" s="832"/>
      <c r="B557" s="884" t="s">
        <v>1627</v>
      </c>
      <c r="C557" s="798">
        <f>SUM(C558:C560)</f>
        <v>7346000</v>
      </c>
      <c r="D557" s="798">
        <f>SUM(D558:D560)</f>
        <v>7384087.1699999999</v>
      </c>
      <c r="E557" s="798">
        <v>3001470.57</v>
      </c>
      <c r="F557" s="695">
        <f>SUM(E558:E560)</f>
        <v>3001470.57</v>
      </c>
      <c r="G557" s="630">
        <f t="shared" si="62"/>
        <v>40.858570242308737</v>
      </c>
      <c r="H557" s="1052">
        <f t="shared" ref="H557:H619" si="68">E557/D557*100</f>
        <v>40.647821469312369</v>
      </c>
      <c r="I557" s="631">
        <f t="shared" si="63"/>
        <v>42.234763090634871</v>
      </c>
      <c r="J557" s="1113">
        <v>7106635.2699999996</v>
      </c>
    </row>
    <row r="558" spans="1:10" s="885" customFormat="1" ht="12.75" customHeight="1" x14ac:dyDescent="0.2">
      <c r="A558" s="832"/>
      <c r="B558" s="884" t="s">
        <v>1628</v>
      </c>
      <c r="C558" s="816">
        <v>4661000</v>
      </c>
      <c r="D558" s="816">
        <f>4661000+(5713.08+32374.09)</f>
        <v>4699087.17</v>
      </c>
      <c r="E558" s="816">
        <v>2326087.17</v>
      </c>
      <c r="F558" s="816"/>
      <c r="G558" s="1051">
        <f t="shared" si="62"/>
        <v>49.905324393906888</v>
      </c>
      <c r="H558" s="1055">
        <f t="shared" si="68"/>
        <v>49.500830392129117</v>
      </c>
      <c r="I558" s="1056">
        <f t="shared" si="63"/>
        <v>46.478579672629614</v>
      </c>
      <c r="J558" s="1113">
        <v>5004643.4000000004</v>
      </c>
    </row>
    <row r="559" spans="1:10" s="885" customFormat="1" ht="29.25" customHeight="1" x14ac:dyDescent="0.2">
      <c r="A559" s="832"/>
      <c r="B559" s="884" t="s">
        <v>1629</v>
      </c>
      <c r="C559" s="816">
        <v>1285000</v>
      </c>
      <c r="D559" s="816">
        <f>1285000</f>
        <v>1285000</v>
      </c>
      <c r="E559" s="816">
        <v>349254.40000000002</v>
      </c>
      <c r="F559" s="816"/>
      <c r="G559" s="1051">
        <f t="shared" si="62"/>
        <v>27.179330739299612</v>
      </c>
      <c r="H559" s="1055">
        <f t="shared" si="68"/>
        <v>27.179330739299612</v>
      </c>
      <c r="I559" s="670">
        <v>0</v>
      </c>
      <c r="J559" s="1115">
        <v>0</v>
      </c>
    </row>
    <row r="560" spans="1:10" s="885" customFormat="1" ht="24.75" customHeight="1" x14ac:dyDescent="0.2">
      <c r="A560" s="832"/>
      <c r="B560" s="884" t="s">
        <v>1630</v>
      </c>
      <c r="C560" s="816">
        <f>1400000</f>
        <v>1400000</v>
      </c>
      <c r="D560" s="816">
        <f>1400000</f>
        <v>1400000</v>
      </c>
      <c r="E560" s="816">
        <v>326129</v>
      </c>
      <c r="F560" s="816"/>
      <c r="G560" s="1051">
        <f t="shared" ref="G560:G623" si="69">E560/C560*100</f>
        <v>23.294928571428571</v>
      </c>
      <c r="H560" s="1055">
        <f t="shared" si="68"/>
        <v>23.294928571428571</v>
      </c>
      <c r="I560" s="1056">
        <f t="shared" si="63"/>
        <v>15.515236031812055</v>
      </c>
      <c r="J560" s="1115">
        <v>2101991.87</v>
      </c>
    </row>
    <row r="561" spans="1:10" s="885" customFormat="1" ht="12.75" customHeight="1" x14ac:dyDescent="0.2">
      <c r="A561" s="832"/>
      <c r="B561" s="884"/>
      <c r="C561" s="795"/>
      <c r="D561" s="795"/>
      <c r="E561" s="795"/>
      <c r="F561" s="816"/>
      <c r="G561" s="795"/>
      <c r="H561" s="795"/>
      <c r="I561" s="1056"/>
      <c r="J561" s="1113"/>
    </row>
    <row r="562" spans="1:10" s="885" customFormat="1" x14ac:dyDescent="0.2">
      <c r="A562" s="832"/>
      <c r="B562" s="884" t="s">
        <v>1631</v>
      </c>
      <c r="C562" s="798">
        <f>SUM(C563:C565)</f>
        <v>9550000</v>
      </c>
      <c r="D562" s="798">
        <f>SUM(D563:D565)</f>
        <v>12568193</v>
      </c>
      <c r="E562" s="798">
        <v>5771341</v>
      </c>
      <c r="F562" s="695">
        <f>SUM(E563:E565)</f>
        <v>5771341</v>
      </c>
      <c r="G562" s="630">
        <f t="shared" si="69"/>
        <v>60.432890052356022</v>
      </c>
      <c r="H562" s="1052">
        <f t="shared" si="68"/>
        <v>45.920213033011187</v>
      </c>
      <c r="I562" s="631">
        <f t="shared" si="63"/>
        <v>220.08698470808068</v>
      </c>
      <c r="J562" s="1113">
        <v>2622300</v>
      </c>
    </row>
    <row r="563" spans="1:10" s="885" customFormat="1" ht="12.75" customHeight="1" x14ac:dyDescent="0.2">
      <c r="A563" s="832"/>
      <c r="B563" s="884" t="s">
        <v>1632</v>
      </c>
      <c r="C563" s="816">
        <v>6810000</v>
      </c>
      <c r="D563" s="816">
        <f>6810000+5208+(519876.2+1714708.8)</f>
        <v>9049793</v>
      </c>
      <c r="E563" s="816">
        <f>5642585</f>
        <v>5642585</v>
      </c>
      <c r="F563" s="816"/>
      <c r="G563" s="1051">
        <f t="shared" si="69"/>
        <v>82.857342143906024</v>
      </c>
      <c r="H563" s="1055">
        <f t="shared" si="68"/>
        <v>62.350431661807072</v>
      </c>
      <c r="I563" s="1056">
        <f t="shared" si="63"/>
        <v>218.19740912606341</v>
      </c>
      <c r="J563" s="1113">
        <v>2586000</v>
      </c>
    </row>
    <row r="564" spans="1:10" s="885" customFormat="1" ht="24.75" x14ac:dyDescent="0.2">
      <c r="A564" s="832"/>
      <c r="B564" s="884" t="s">
        <v>1633</v>
      </c>
      <c r="C564" s="816">
        <f>3250000-1700000</f>
        <v>1550000</v>
      </c>
      <c r="D564" s="816">
        <f>3250000-1700000</f>
        <v>1550000</v>
      </c>
      <c r="E564" s="816">
        <v>62920</v>
      </c>
      <c r="F564" s="816"/>
      <c r="G564" s="1051">
        <f t="shared" si="69"/>
        <v>4.0593548387096767</v>
      </c>
      <c r="H564" s="1055">
        <f t="shared" si="68"/>
        <v>4.0593548387096767</v>
      </c>
      <c r="I564" s="670">
        <f t="shared" si="63"/>
        <v>173.33333333333334</v>
      </c>
      <c r="J564" s="1115">
        <v>36300</v>
      </c>
    </row>
    <row r="565" spans="1:10" s="885" customFormat="1" ht="25.5" x14ac:dyDescent="0.2">
      <c r="A565" s="832"/>
      <c r="B565" s="884" t="s">
        <v>1634</v>
      </c>
      <c r="C565" s="816">
        <f>1190000</f>
        <v>1190000</v>
      </c>
      <c r="D565" s="816">
        <f>1190000+1700000+(-1100000-30000+48400+160000)</f>
        <v>1968400</v>
      </c>
      <c r="E565" s="816">
        <v>65836</v>
      </c>
      <c r="F565" s="816"/>
      <c r="G565" s="1051">
        <f t="shared" si="69"/>
        <v>5.532436974789916</v>
      </c>
      <c r="H565" s="1055">
        <f t="shared" si="68"/>
        <v>3.3446453972769761</v>
      </c>
      <c r="I565" s="670">
        <v>0</v>
      </c>
      <c r="J565" s="1115">
        <v>0</v>
      </c>
    </row>
    <row r="566" spans="1:10" s="885" customFormat="1" ht="12.75" customHeight="1" x14ac:dyDescent="0.2">
      <c r="A566" s="832"/>
      <c r="B566" s="884"/>
      <c r="C566" s="816"/>
      <c r="D566" s="816"/>
      <c r="E566" s="816"/>
      <c r="F566" s="816"/>
      <c r="G566" s="816"/>
      <c r="H566" s="816"/>
      <c r="I566" s="1056"/>
      <c r="J566" s="1113"/>
    </row>
    <row r="567" spans="1:10" s="885" customFormat="1" x14ac:dyDescent="0.2">
      <c r="A567" s="730">
        <v>3233</v>
      </c>
      <c r="B567" s="888" t="s">
        <v>665</v>
      </c>
      <c r="C567" s="798">
        <f>C568</f>
        <v>2670000</v>
      </c>
      <c r="D567" s="798">
        <f>D568</f>
        <v>5252363</v>
      </c>
      <c r="E567" s="798">
        <v>3922703</v>
      </c>
      <c r="F567" s="695"/>
      <c r="G567" s="630">
        <f t="shared" si="69"/>
        <v>146.91771535580526</v>
      </c>
      <c r="H567" s="1052">
        <f t="shared" si="68"/>
        <v>74.684537226387434</v>
      </c>
      <c r="I567" s="631">
        <f t="shared" si="63"/>
        <v>114.73427607902735</v>
      </c>
      <c r="J567" s="1113">
        <v>3418946.05</v>
      </c>
    </row>
    <row r="568" spans="1:10" s="885" customFormat="1" ht="12.75" customHeight="1" x14ac:dyDescent="0.2">
      <c r="A568" s="730"/>
      <c r="B568" s="884" t="s">
        <v>1635</v>
      </c>
      <c r="C568" s="889">
        <f>SUM(C569:C571)</f>
        <v>2670000</v>
      </c>
      <c r="D568" s="889">
        <f>SUM(D569:D571)</f>
        <v>5252363</v>
      </c>
      <c r="E568" s="889">
        <v>3922703</v>
      </c>
      <c r="F568" s="889">
        <f>SUM(E569:E571)</f>
        <v>3922703</v>
      </c>
      <c r="G568" s="1051">
        <f t="shared" si="69"/>
        <v>146.91771535580526</v>
      </c>
      <c r="H568" s="1055">
        <f t="shared" si="68"/>
        <v>74.684537226387434</v>
      </c>
      <c r="I568" s="1056">
        <f t="shared" si="63"/>
        <v>114.73427607902735</v>
      </c>
      <c r="J568" s="1113">
        <v>3418946.05</v>
      </c>
    </row>
    <row r="569" spans="1:10" s="885" customFormat="1" ht="12.75" customHeight="1" x14ac:dyDescent="0.2">
      <c r="A569" s="730"/>
      <c r="B569" s="884" t="s">
        <v>1636</v>
      </c>
      <c r="C569" s="816">
        <v>2267000</v>
      </c>
      <c r="D569" s="816">
        <f>2267000+210200+(551883.72+1820279.28)</f>
        <v>4849363</v>
      </c>
      <c r="E569" s="816">
        <v>3716363</v>
      </c>
      <c r="F569" s="816"/>
      <c r="G569" s="1051">
        <f t="shared" si="69"/>
        <v>163.93308337009262</v>
      </c>
      <c r="H569" s="1055">
        <f t="shared" si="68"/>
        <v>76.636106639160644</v>
      </c>
      <c r="I569" s="1056">
        <f t="shared" si="63"/>
        <v>38.874089958158997</v>
      </c>
      <c r="J569" s="1113">
        <v>9560000</v>
      </c>
    </row>
    <row r="570" spans="1:10" s="885" customFormat="1" ht="32.25" customHeight="1" x14ac:dyDescent="0.2">
      <c r="A570" s="730"/>
      <c r="B570" s="884" t="s">
        <v>1637</v>
      </c>
      <c r="C570" s="816">
        <v>275000</v>
      </c>
      <c r="D570" s="816">
        <v>275000</v>
      </c>
      <c r="E570" s="816">
        <v>78340</v>
      </c>
      <c r="F570" s="816"/>
      <c r="G570" s="1051">
        <f t="shared" si="69"/>
        <v>28.487272727272728</v>
      </c>
      <c r="H570" s="1055">
        <f t="shared" si="68"/>
        <v>28.487272727272728</v>
      </c>
      <c r="I570" s="670">
        <f t="shared" si="63"/>
        <v>309.40298336514644</v>
      </c>
      <c r="J570" s="1115">
        <v>25319.73</v>
      </c>
    </row>
    <row r="571" spans="1:10" s="885" customFormat="1" ht="24.75" x14ac:dyDescent="0.2">
      <c r="A571" s="730"/>
      <c r="B571" s="884" t="s">
        <v>1638</v>
      </c>
      <c r="C571" s="816">
        <f>+(4175+41+87-175-4000)*1000</f>
        <v>128000</v>
      </c>
      <c r="D571" s="816">
        <f>+(4175+41+87-175-4000)*1000</f>
        <v>128000</v>
      </c>
      <c r="E571" s="816">
        <v>128000</v>
      </c>
      <c r="F571" s="816"/>
      <c r="G571" s="1051">
        <f t="shared" si="69"/>
        <v>100</v>
      </c>
      <c r="H571" s="1055">
        <f t="shared" si="68"/>
        <v>100</v>
      </c>
      <c r="I571" s="670">
        <f t="shared" si="63"/>
        <v>5.2510099250979536</v>
      </c>
      <c r="J571" s="1115">
        <v>2437626.3199999998</v>
      </c>
    </row>
    <row r="572" spans="1:10" s="877" customFormat="1" x14ac:dyDescent="0.2">
      <c r="A572" s="730">
        <v>3419</v>
      </c>
      <c r="B572" s="888" t="s">
        <v>1639</v>
      </c>
      <c r="C572" s="795">
        <v>80000</v>
      </c>
      <c r="D572" s="795">
        <v>80000</v>
      </c>
      <c r="E572" s="795">
        <v>60107</v>
      </c>
      <c r="F572" s="816"/>
      <c r="G572" s="630">
        <f t="shared" si="69"/>
        <v>75.133749999999992</v>
      </c>
      <c r="H572" s="1052">
        <f t="shared" si="68"/>
        <v>75.133749999999992</v>
      </c>
      <c r="I572" s="631">
        <f t="shared" si="63"/>
        <v>133.83968274114503</v>
      </c>
      <c r="J572" s="1113">
        <v>44909.7</v>
      </c>
    </row>
    <row r="573" spans="1:10" s="877" customFormat="1" ht="15.75" x14ac:dyDescent="0.25">
      <c r="A573" s="802"/>
      <c r="B573" s="878" t="s">
        <v>671</v>
      </c>
      <c r="C573" s="702">
        <f>SUM(C574,C577,C580,C585,C589,C596)</f>
        <v>47038000</v>
      </c>
      <c r="D573" s="702">
        <f>SUM(D574,D577,D580,D585,D589,D596)</f>
        <v>51669687.730000004</v>
      </c>
      <c r="E573" s="702">
        <v>20803061.690000001</v>
      </c>
      <c r="F573" s="1116"/>
      <c r="G573" s="623">
        <f t="shared" si="69"/>
        <v>44.226076129937503</v>
      </c>
      <c r="H573" s="623">
        <f t="shared" si="68"/>
        <v>40.261636181558551</v>
      </c>
      <c r="I573" s="741">
        <f t="shared" si="63"/>
        <v>71.607392822794239</v>
      </c>
      <c r="J573" s="1113">
        <v>29051555.809999999</v>
      </c>
    </row>
    <row r="574" spans="1:10" s="877" customFormat="1" x14ac:dyDescent="0.2">
      <c r="A574" s="891">
        <v>3311</v>
      </c>
      <c r="B574" s="892" t="s">
        <v>1640</v>
      </c>
      <c r="C574" s="795">
        <f>SUM(C575:C576)</f>
        <v>14547000</v>
      </c>
      <c r="D574" s="795">
        <f>SUM(D575:D576)</f>
        <v>14501545</v>
      </c>
      <c r="E574" s="795">
        <v>7100000</v>
      </c>
      <c r="F574" s="816">
        <f>SUM(E575:E576)</f>
        <v>7100000</v>
      </c>
      <c r="G574" s="630">
        <f t="shared" si="69"/>
        <v>48.807314222863823</v>
      </c>
      <c r="H574" s="1052">
        <f t="shared" si="68"/>
        <v>48.960300436953439</v>
      </c>
      <c r="I574" s="631">
        <f t="shared" si="63"/>
        <v>45.14895604625255</v>
      </c>
      <c r="J574" s="1113">
        <v>15725723.52</v>
      </c>
    </row>
    <row r="575" spans="1:10" s="877" customFormat="1" ht="12.75" customHeight="1" x14ac:dyDescent="0.2">
      <c r="A575" s="893"/>
      <c r="B575" s="894" t="s">
        <v>1641</v>
      </c>
      <c r="C575" s="816">
        <v>14547000</v>
      </c>
      <c r="D575" s="816">
        <f>14547000-45455</f>
        <v>14501545</v>
      </c>
      <c r="E575" s="816">
        <v>7100000</v>
      </c>
      <c r="F575" s="816"/>
      <c r="G575" s="1051">
        <f t="shared" si="69"/>
        <v>48.807314222863823</v>
      </c>
      <c r="H575" s="1055">
        <f t="shared" si="68"/>
        <v>48.960300436953439</v>
      </c>
      <c r="I575" s="1056">
        <f t="shared" si="63"/>
        <v>112.6984126984127</v>
      </c>
      <c r="J575" s="1113">
        <v>6300000</v>
      </c>
    </row>
    <row r="576" spans="1:10" s="877" customFormat="1" x14ac:dyDescent="0.2">
      <c r="A576" s="893"/>
      <c r="B576" s="894" t="s">
        <v>1642</v>
      </c>
      <c r="C576" s="816">
        <v>0</v>
      </c>
      <c r="D576" s="816">
        <v>0</v>
      </c>
      <c r="E576" s="816">
        <v>0</v>
      </c>
      <c r="F576" s="816"/>
      <c r="G576" s="1051">
        <v>0</v>
      </c>
      <c r="H576" s="1055">
        <v>0</v>
      </c>
      <c r="I576" s="1056">
        <f t="shared" si="63"/>
        <v>0</v>
      </c>
      <c r="J576" s="1113">
        <v>9425723.5199999996</v>
      </c>
    </row>
    <row r="577" spans="1:10" s="885" customFormat="1" x14ac:dyDescent="0.2">
      <c r="A577" s="895">
        <v>3319</v>
      </c>
      <c r="B577" s="896" t="s">
        <v>676</v>
      </c>
      <c r="C577" s="798">
        <f>SUM(C578:C579)</f>
        <v>1160000</v>
      </c>
      <c r="D577" s="798">
        <f>SUM(D578:D579)</f>
        <v>1165000</v>
      </c>
      <c r="E577" s="798">
        <v>474580.07</v>
      </c>
      <c r="F577" s="695">
        <f>SUM(E578:E579)</f>
        <v>474580.07</v>
      </c>
      <c r="G577" s="630">
        <f t="shared" si="69"/>
        <v>40.912075000000002</v>
      </c>
      <c r="H577" s="1052">
        <f t="shared" si="68"/>
        <v>40.73648669527897</v>
      </c>
      <c r="I577" s="631">
        <f t="shared" ref="I577:I640" si="70">E577/J577*100</f>
        <v>231.43925074126093</v>
      </c>
      <c r="J577" s="1113">
        <v>205056</v>
      </c>
    </row>
    <row r="578" spans="1:10" s="885" customFormat="1" ht="12.75" customHeight="1" x14ac:dyDescent="0.2">
      <c r="A578" s="895"/>
      <c r="B578" s="894" t="s">
        <v>1643</v>
      </c>
      <c r="C578" s="816">
        <v>530000</v>
      </c>
      <c r="D578" s="816">
        <v>530000</v>
      </c>
      <c r="E578" s="816">
        <v>234553.18</v>
      </c>
      <c r="F578" s="816"/>
      <c r="G578" s="1051">
        <f t="shared" si="69"/>
        <v>44.255316981132076</v>
      </c>
      <c r="H578" s="1055">
        <f t="shared" si="68"/>
        <v>44.255316981132076</v>
      </c>
      <c r="I578" s="1056">
        <f t="shared" si="70"/>
        <v>347.22384568696242</v>
      </c>
      <c r="J578" s="1113">
        <v>67551</v>
      </c>
    </row>
    <row r="579" spans="1:10" s="885" customFormat="1" x14ac:dyDescent="0.2">
      <c r="A579" s="895"/>
      <c r="B579" s="897" t="s">
        <v>678</v>
      </c>
      <c r="C579" s="816">
        <v>630000</v>
      </c>
      <c r="D579" s="816">
        <f>630000+5000</f>
        <v>635000</v>
      </c>
      <c r="E579" s="816">
        <v>240026.89</v>
      </c>
      <c r="F579" s="816"/>
      <c r="G579" s="1051">
        <f t="shared" si="69"/>
        <v>38.099506349206351</v>
      </c>
      <c r="H579" s="1055">
        <f t="shared" si="68"/>
        <v>37.79951023622047</v>
      </c>
      <c r="I579" s="1056">
        <f t="shared" si="70"/>
        <v>174.5586633213338</v>
      </c>
      <c r="J579" s="1113">
        <v>137505</v>
      </c>
    </row>
    <row r="580" spans="1:10" s="885" customFormat="1" x14ac:dyDescent="0.2">
      <c r="A580" s="895" t="s">
        <v>1644</v>
      </c>
      <c r="B580" s="896" t="s">
        <v>679</v>
      </c>
      <c r="C580" s="798">
        <f>C581+C582+C583+C584</f>
        <v>811000</v>
      </c>
      <c r="D580" s="798">
        <f>D581+D582+D583+D584</f>
        <v>930570</v>
      </c>
      <c r="E580" s="798">
        <v>147187.4</v>
      </c>
      <c r="F580" s="695">
        <f>SUM(E581:E584)</f>
        <v>147187.4</v>
      </c>
      <c r="G580" s="630">
        <f t="shared" si="69"/>
        <v>18.148877928483355</v>
      </c>
      <c r="H580" s="1052">
        <f t="shared" si="68"/>
        <v>15.816907916653234</v>
      </c>
      <c r="I580" s="631">
        <v>0</v>
      </c>
      <c r="J580" s="1113">
        <v>0</v>
      </c>
    </row>
    <row r="581" spans="1:10" s="885" customFormat="1" ht="12.75" customHeight="1" x14ac:dyDescent="0.2">
      <c r="A581" s="893"/>
      <c r="B581" s="894" t="s">
        <v>1645</v>
      </c>
      <c r="C581" s="816">
        <v>20000</v>
      </c>
      <c r="D581" s="816">
        <v>20000</v>
      </c>
      <c r="E581" s="816">
        <v>0</v>
      </c>
      <c r="F581" s="816"/>
      <c r="G581" s="1051">
        <f t="shared" si="69"/>
        <v>0</v>
      </c>
      <c r="H581" s="1055">
        <f t="shared" si="68"/>
        <v>0</v>
      </c>
      <c r="I581" s="1056">
        <v>0</v>
      </c>
      <c r="J581" s="1113">
        <v>0</v>
      </c>
    </row>
    <row r="582" spans="1:10" s="885" customFormat="1" x14ac:dyDescent="0.2">
      <c r="A582" s="893"/>
      <c r="B582" s="894" t="s">
        <v>1646</v>
      </c>
      <c r="C582" s="816">
        <v>100000</v>
      </c>
      <c r="D582" s="816">
        <v>100000</v>
      </c>
      <c r="E582" s="816">
        <v>20328</v>
      </c>
      <c r="F582" s="816"/>
      <c r="G582" s="1051">
        <f t="shared" si="69"/>
        <v>20.327999999999999</v>
      </c>
      <c r="H582" s="1055">
        <f t="shared" si="68"/>
        <v>20.327999999999999</v>
      </c>
      <c r="I582" s="1056">
        <v>0</v>
      </c>
      <c r="J582" s="1113">
        <v>0</v>
      </c>
    </row>
    <row r="583" spans="1:10" s="885" customFormat="1" ht="27" customHeight="1" x14ac:dyDescent="0.2">
      <c r="A583" s="893"/>
      <c r="B583" s="894" t="s">
        <v>1647</v>
      </c>
      <c r="C583" s="816">
        <v>91000</v>
      </c>
      <c r="D583" s="816">
        <v>91000</v>
      </c>
      <c r="E583" s="816">
        <v>0</v>
      </c>
      <c r="F583" s="816"/>
      <c r="G583" s="1051">
        <f t="shared" si="69"/>
        <v>0</v>
      </c>
      <c r="H583" s="1055">
        <f t="shared" si="68"/>
        <v>0</v>
      </c>
      <c r="I583" s="670">
        <v>0</v>
      </c>
      <c r="J583" s="1115">
        <v>0</v>
      </c>
    </row>
    <row r="584" spans="1:10" s="877" customFormat="1" ht="25.5" x14ac:dyDescent="0.2">
      <c r="A584" s="893"/>
      <c r="B584" s="894" t="s">
        <v>1648</v>
      </c>
      <c r="C584" s="816">
        <v>600000</v>
      </c>
      <c r="D584" s="816">
        <f>600000+19570+100000</f>
        <v>719570</v>
      </c>
      <c r="E584" s="816">
        <f>87534.4+39325</f>
        <v>126859.4</v>
      </c>
      <c r="F584" s="816"/>
      <c r="G584" s="1051">
        <f t="shared" si="69"/>
        <v>21.143233333333335</v>
      </c>
      <c r="H584" s="1055">
        <f t="shared" si="68"/>
        <v>17.629890073238183</v>
      </c>
      <c r="I584" s="670">
        <v>0</v>
      </c>
      <c r="J584" s="1115">
        <v>0</v>
      </c>
    </row>
    <row r="585" spans="1:10" s="877" customFormat="1" x14ac:dyDescent="0.2">
      <c r="A585" s="895" t="s">
        <v>1649</v>
      </c>
      <c r="B585" s="896" t="s">
        <v>684</v>
      </c>
      <c r="C585" s="798">
        <f>C586+C587+C588</f>
        <v>1715000</v>
      </c>
      <c r="D585" s="798">
        <f>D586+D587+D588</f>
        <v>1715000</v>
      </c>
      <c r="E585" s="798">
        <v>1862.52</v>
      </c>
      <c r="F585" s="695">
        <f>SUM(E586:E588)</f>
        <v>1862.52</v>
      </c>
      <c r="G585" s="630">
        <f t="shared" si="69"/>
        <v>0.10860174927113703</v>
      </c>
      <c r="H585" s="1052">
        <f t="shared" si="68"/>
        <v>0.10860174927113703</v>
      </c>
      <c r="I585" s="631">
        <f t="shared" si="70"/>
        <v>133.19983694369552</v>
      </c>
      <c r="J585" s="1113">
        <v>1398.29</v>
      </c>
    </row>
    <row r="586" spans="1:10" s="877" customFormat="1" ht="27" customHeight="1" x14ac:dyDescent="0.2">
      <c r="A586" s="893"/>
      <c r="B586" s="894" t="s">
        <v>1650</v>
      </c>
      <c r="C586" s="816">
        <v>1700000</v>
      </c>
      <c r="D586" s="816">
        <v>1700000</v>
      </c>
      <c r="E586" s="816">
        <v>0</v>
      </c>
      <c r="F586" s="816"/>
      <c r="G586" s="1051">
        <f t="shared" si="69"/>
        <v>0</v>
      </c>
      <c r="H586" s="1055">
        <f t="shared" si="68"/>
        <v>0</v>
      </c>
      <c r="I586" s="670">
        <v>0</v>
      </c>
      <c r="J586" s="1113">
        <v>0</v>
      </c>
    </row>
    <row r="587" spans="1:10" s="877" customFormat="1" ht="12.75" customHeight="1" x14ac:dyDescent="0.2">
      <c r="A587" s="893"/>
      <c r="B587" s="894"/>
      <c r="C587" s="816">
        <v>0</v>
      </c>
      <c r="D587" s="816">
        <v>0</v>
      </c>
      <c r="E587" s="816">
        <v>0</v>
      </c>
      <c r="F587" s="816"/>
      <c r="G587" s="1051">
        <v>0</v>
      </c>
      <c r="H587" s="1055">
        <v>0</v>
      </c>
      <c r="I587" s="1056">
        <v>0</v>
      </c>
      <c r="J587" s="1113">
        <v>0</v>
      </c>
    </row>
    <row r="588" spans="1:10" s="877" customFormat="1" x14ac:dyDescent="0.2">
      <c r="A588" s="893"/>
      <c r="B588" s="894" t="s">
        <v>1651</v>
      </c>
      <c r="C588" s="816">
        <v>15000</v>
      </c>
      <c r="D588" s="816">
        <v>15000</v>
      </c>
      <c r="E588" s="816">
        <v>1862.52</v>
      </c>
      <c r="F588" s="816"/>
      <c r="G588" s="1051">
        <f t="shared" si="69"/>
        <v>12.4168</v>
      </c>
      <c r="H588" s="1055">
        <f t="shared" si="68"/>
        <v>12.4168</v>
      </c>
      <c r="I588" s="1056">
        <f t="shared" si="70"/>
        <v>133.19983694369552</v>
      </c>
      <c r="J588" s="1113">
        <v>1398.29</v>
      </c>
    </row>
    <row r="589" spans="1:10" s="885" customFormat="1" ht="12.75" customHeight="1" x14ac:dyDescent="0.2">
      <c r="A589" s="895">
        <v>3392</v>
      </c>
      <c r="B589" s="896" t="s">
        <v>687</v>
      </c>
      <c r="C589" s="798">
        <f>C591+C590</f>
        <v>28535000</v>
      </c>
      <c r="D589" s="798">
        <f>D591+D590</f>
        <v>33087572.73</v>
      </c>
      <c r="E589" s="798">
        <v>12975500</v>
      </c>
      <c r="F589" s="695"/>
      <c r="G589" s="630">
        <f t="shared" si="69"/>
        <v>45.47222708953916</v>
      </c>
      <c r="H589" s="1052">
        <f t="shared" si="68"/>
        <v>39.215629704488144</v>
      </c>
      <c r="I589" s="631">
        <f t="shared" si="70"/>
        <v>99.468357325939763</v>
      </c>
      <c r="J589" s="1113">
        <v>13044852</v>
      </c>
    </row>
    <row r="590" spans="1:10" s="885" customFormat="1" x14ac:dyDescent="0.2">
      <c r="A590" s="895"/>
      <c r="B590" s="894" t="s">
        <v>688</v>
      </c>
      <c r="C590" s="816">
        <v>26000</v>
      </c>
      <c r="D590" s="816">
        <v>26000</v>
      </c>
      <c r="E590" s="816">
        <v>0</v>
      </c>
      <c r="F590" s="816"/>
      <c r="G590" s="1051">
        <f t="shared" si="69"/>
        <v>0</v>
      </c>
      <c r="H590" s="1055">
        <f t="shared" si="68"/>
        <v>0</v>
      </c>
      <c r="I590" s="1056">
        <f t="shared" si="70"/>
        <v>0</v>
      </c>
      <c r="J590" s="1113">
        <v>955</v>
      </c>
    </row>
    <row r="591" spans="1:10" s="885" customFormat="1" ht="12.75" customHeight="1" x14ac:dyDescent="0.2">
      <c r="A591" s="893"/>
      <c r="B591" s="894" t="s">
        <v>1652</v>
      </c>
      <c r="C591" s="798">
        <f>SUM(C592+C594+C595)</f>
        <v>28509000</v>
      </c>
      <c r="D591" s="798">
        <f>SUM(D592+D594+D595)</f>
        <v>33061572.73</v>
      </c>
      <c r="E591" s="798">
        <v>12975500</v>
      </c>
      <c r="F591" s="695">
        <f>SUM(E592:E595)</f>
        <v>12975500</v>
      </c>
      <c r="G591" s="630">
        <f t="shared" si="69"/>
        <v>45.513697428882104</v>
      </c>
      <c r="H591" s="1052">
        <f t="shared" si="68"/>
        <v>39.246469325477854</v>
      </c>
      <c r="I591" s="631">
        <f t="shared" si="70"/>
        <v>99.475639833709209</v>
      </c>
      <c r="J591" s="1113">
        <v>13043897</v>
      </c>
    </row>
    <row r="592" spans="1:10" s="885" customFormat="1" ht="12.75" customHeight="1" x14ac:dyDescent="0.2">
      <c r="A592" s="893"/>
      <c r="B592" s="894" t="s">
        <v>1653</v>
      </c>
      <c r="C592" s="816">
        <v>27025000</v>
      </c>
      <c r="D592" s="816">
        <f>27025000+4551000+4562-2989.27</f>
        <v>31577572.73</v>
      </c>
      <c r="E592" s="816">
        <v>12975500</v>
      </c>
      <c r="F592" s="816"/>
      <c r="G592" s="1051">
        <f t="shared" si="69"/>
        <v>48.012950971322852</v>
      </c>
      <c r="H592" s="1055">
        <f t="shared" si="68"/>
        <v>41.090872027895728</v>
      </c>
      <c r="I592" s="1056">
        <f t="shared" si="70"/>
        <v>100.39071566731141</v>
      </c>
      <c r="J592" s="1113">
        <v>12925000</v>
      </c>
    </row>
    <row r="593" spans="1:10" s="885" customFormat="1" ht="12.75" customHeight="1" x14ac:dyDescent="0.2">
      <c r="A593" s="893"/>
      <c r="B593" s="894" t="s">
        <v>1654</v>
      </c>
      <c r="C593" s="816"/>
      <c r="D593" s="816"/>
      <c r="E593" s="816"/>
      <c r="F593" s="816"/>
      <c r="G593" s="1051">
        <v>0</v>
      </c>
      <c r="H593" s="1055">
        <v>0</v>
      </c>
      <c r="I593" s="1056">
        <v>0</v>
      </c>
      <c r="J593" s="1113"/>
    </row>
    <row r="594" spans="1:10" s="877" customFormat="1" ht="23.25" customHeight="1" x14ac:dyDescent="0.2">
      <c r="A594" s="893"/>
      <c r="B594" s="894" t="s">
        <v>1656</v>
      </c>
      <c r="C594" s="816">
        <f>484000+1000000</f>
        <v>1484000</v>
      </c>
      <c r="D594" s="816">
        <f>484000+1000000</f>
        <v>1484000</v>
      </c>
      <c r="E594" s="816">
        <v>0</v>
      </c>
      <c r="F594" s="816"/>
      <c r="G594" s="1051">
        <f t="shared" si="69"/>
        <v>0</v>
      </c>
      <c r="H594" s="1055">
        <f t="shared" si="68"/>
        <v>0</v>
      </c>
      <c r="I594" s="670">
        <v>0</v>
      </c>
      <c r="J594" s="1115">
        <v>0</v>
      </c>
    </row>
    <row r="595" spans="1:10" s="877" customFormat="1" ht="25.5" x14ac:dyDescent="0.2">
      <c r="A595" s="893"/>
      <c r="B595" s="894" t="s">
        <v>1655</v>
      </c>
      <c r="C595" s="816">
        <v>0</v>
      </c>
      <c r="D595" s="816">
        <v>0</v>
      </c>
      <c r="E595" s="816">
        <v>0</v>
      </c>
      <c r="F595" s="816"/>
      <c r="G595" s="1051">
        <v>0</v>
      </c>
      <c r="H595" s="1055">
        <v>0</v>
      </c>
      <c r="I595" s="670">
        <f t="shared" si="70"/>
        <v>0</v>
      </c>
      <c r="J595" s="1115">
        <v>118897</v>
      </c>
    </row>
    <row r="596" spans="1:10" s="885" customFormat="1" ht="12.75" customHeight="1" x14ac:dyDescent="0.2">
      <c r="A596" s="895">
        <v>3399</v>
      </c>
      <c r="B596" s="896" t="s">
        <v>694</v>
      </c>
      <c r="C596" s="798">
        <f>C597</f>
        <v>270000</v>
      </c>
      <c r="D596" s="798">
        <f>D597</f>
        <v>270000</v>
      </c>
      <c r="E596" s="798">
        <v>102032</v>
      </c>
      <c r="F596" s="695"/>
      <c r="G596" s="630">
        <f t="shared" si="69"/>
        <v>37.78962962962963</v>
      </c>
      <c r="H596" s="1052">
        <f t="shared" si="68"/>
        <v>37.78962962962963</v>
      </c>
      <c r="I596" s="631">
        <f t="shared" si="70"/>
        <v>136.90792475109356</v>
      </c>
      <c r="J596" s="1113">
        <v>74526</v>
      </c>
    </row>
    <row r="597" spans="1:10" s="885" customFormat="1" x14ac:dyDescent="0.2">
      <c r="A597" s="893"/>
      <c r="B597" s="894" t="s">
        <v>695</v>
      </c>
      <c r="C597" s="816">
        <v>270000</v>
      </c>
      <c r="D597" s="816">
        <v>270000</v>
      </c>
      <c r="E597" s="816">
        <v>102032</v>
      </c>
      <c r="F597" s="816"/>
      <c r="G597" s="1051">
        <f t="shared" si="69"/>
        <v>37.78962962962963</v>
      </c>
      <c r="H597" s="1055">
        <f t="shared" si="68"/>
        <v>37.78962962962963</v>
      </c>
      <c r="I597" s="1056">
        <f t="shared" si="70"/>
        <v>136.90792475109356</v>
      </c>
      <c r="J597" s="1113">
        <v>74526</v>
      </c>
    </row>
    <row r="598" spans="1:10" s="885" customFormat="1" ht="15.75" x14ac:dyDescent="0.25">
      <c r="A598" s="802"/>
      <c r="B598" s="803" t="s">
        <v>696</v>
      </c>
      <c r="C598" s="898">
        <f t="shared" ref="C598:D598" si="71">C599</f>
        <v>22384120</v>
      </c>
      <c r="D598" s="898">
        <f t="shared" si="71"/>
        <v>22531256</v>
      </c>
      <c r="E598" s="898">
        <v>18971276</v>
      </c>
      <c r="F598" s="1117"/>
      <c r="G598" s="623">
        <f t="shared" si="69"/>
        <v>84.75328045060516</v>
      </c>
      <c r="H598" s="623">
        <f t="shared" si="68"/>
        <v>84.199815580631636</v>
      </c>
      <c r="I598" s="741">
        <f t="shared" si="70"/>
        <v>104.63307593195299</v>
      </c>
      <c r="J598" s="1113">
        <v>18131241.800000001</v>
      </c>
    </row>
    <row r="599" spans="1:10" s="885" customFormat="1" ht="12.75" customHeight="1" x14ac:dyDescent="0.2">
      <c r="A599" s="730"/>
      <c r="B599" s="880" t="s">
        <v>697</v>
      </c>
      <c r="C599" s="632">
        <f>SUM(C600:C609)</f>
        <v>22384120</v>
      </c>
      <c r="D599" s="632">
        <f>SUM(D600:D609)</f>
        <v>22531256</v>
      </c>
      <c r="E599" s="632">
        <v>18971276</v>
      </c>
      <c r="F599" s="1053">
        <f>SUM(E600:E609)</f>
        <v>18971276</v>
      </c>
      <c r="G599" s="630">
        <f t="shared" si="69"/>
        <v>84.75328045060516</v>
      </c>
      <c r="H599" s="1052">
        <f t="shared" si="68"/>
        <v>84.199815580631636</v>
      </c>
      <c r="I599" s="631">
        <f t="shared" si="70"/>
        <v>104.63307593195299</v>
      </c>
      <c r="J599" s="1113">
        <v>18131241.800000001</v>
      </c>
    </row>
    <row r="600" spans="1:10" s="877" customFormat="1" ht="12.75" customHeight="1" x14ac:dyDescent="0.2">
      <c r="A600" s="832"/>
      <c r="B600" s="884" t="s">
        <v>698</v>
      </c>
      <c r="C600" s="816">
        <v>1125000</v>
      </c>
      <c r="D600" s="816">
        <v>1125000</v>
      </c>
      <c r="E600" s="816">
        <v>970000</v>
      </c>
      <c r="F600" s="816"/>
      <c r="G600" s="1051">
        <f t="shared" si="69"/>
        <v>86.222222222222229</v>
      </c>
      <c r="H600" s="1055">
        <f t="shared" si="68"/>
        <v>86.222222222222229</v>
      </c>
      <c r="I600" s="1056">
        <f t="shared" si="70"/>
        <v>109.60451977401129</v>
      </c>
      <c r="J600" s="1113">
        <v>885000</v>
      </c>
    </row>
    <row r="601" spans="1:10" s="877" customFormat="1" ht="12.75" customHeight="1" x14ac:dyDescent="0.2">
      <c r="A601" s="832"/>
      <c r="B601" s="884" t="s">
        <v>699</v>
      </c>
      <c r="C601" s="816">
        <v>375000</v>
      </c>
      <c r="D601" s="816">
        <f>375000-30000</f>
        <v>345000</v>
      </c>
      <c r="E601" s="816">
        <v>130500</v>
      </c>
      <c r="F601" s="816"/>
      <c r="G601" s="1051">
        <f t="shared" si="69"/>
        <v>34.799999999999997</v>
      </c>
      <c r="H601" s="1055">
        <f t="shared" si="68"/>
        <v>37.826086956521735</v>
      </c>
      <c r="I601" s="1056">
        <f t="shared" si="70"/>
        <v>80.159705159705169</v>
      </c>
      <c r="J601" s="1113">
        <v>162800</v>
      </c>
    </row>
    <row r="602" spans="1:10" s="877" customFormat="1" ht="12.75" customHeight="1" x14ac:dyDescent="0.2">
      <c r="A602" s="832"/>
      <c r="B602" s="884" t="s">
        <v>700</v>
      </c>
      <c r="C602" s="816">
        <v>3700000</v>
      </c>
      <c r="D602" s="816">
        <v>3700000</v>
      </c>
      <c r="E602" s="816">
        <v>3700000</v>
      </c>
      <c r="F602" s="816"/>
      <c r="G602" s="1051">
        <f t="shared" si="69"/>
        <v>100</v>
      </c>
      <c r="H602" s="1055">
        <f t="shared" si="68"/>
        <v>100</v>
      </c>
      <c r="I602" s="1056">
        <f t="shared" si="70"/>
        <v>108.28211881767633</v>
      </c>
      <c r="J602" s="1113">
        <v>3417000</v>
      </c>
    </row>
    <row r="603" spans="1:10" s="885" customFormat="1" ht="12.75" customHeight="1" x14ac:dyDescent="0.2">
      <c r="A603" s="832"/>
      <c r="B603" s="884" t="s">
        <v>701</v>
      </c>
      <c r="C603" s="816">
        <v>6150000</v>
      </c>
      <c r="D603" s="816">
        <f>6150000-200000</f>
        <v>5950000</v>
      </c>
      <c r="E603" s="816">
        <v>5929000</v>
      </c>
      <c r="F603" s="816"/>
      <c r="G603" s="1051">
        <f t="shared" si="69"/>
        <v>96.40650406504065</v>
      </c>
      <c r="H603" s="1055">
        <f t="shared" si="68"/>
        <v>99.647058823529406</v>
      </c>
      <c r="I603" s="1056">
        <f t="shared" si="70"/>
        <v>100.6826518136123</v>
      </c>
      <c r="J603" s="1113">
        <v>5888800</v>
      </c>
    </row>
    <row r="604" spans="1:10" s="885" customFormat="1" ht="12.75" customHeight="1" x14ac:dyDescent="0.2">
      <c r="A604" s="832"/>
      <c r="B604" s="884" t="s">
        <v>702</v>
      </c>
      <c r="C604" s="816">
        <v>50000</v>
      </c>
      <c r="D604" s="816">
        <v>50000</v>
      </c>
      <c r="E604" s="816">
        <v>41000</v>
      </c>
      <c r="F604" s="816"/>
      <c r="G604" s="1051">
        <f t="shared" si="69"/>
        <v>82</v>
      </c>
      <c r="H604" s="1055">
        <f t="shared" si="68"/>
        <v>82</v>
      </c>
      <c r="I604" s="1056">
        <f t="shared" si="70"/>
        <v>132.25806451612902</v>
      </c>
      <c r="J604" s="1113">
        <v>31000</v>
      </c>
    </row>
    <row r="605" spans="1:10" s="885" customFormat="1" ht="12.75" customHeight="1" x14ac:dyDescent="0.2">
      <c r="A605" s="832"/>
      <c r="B605" s="884" t="s">
        <v>703</v>
      </c>
      <c r="C605" s="816">
        <v>8100000</v>
      </c>
      <c r="D605" s="816">
        <v>8100000</v>
      </c>
      <c r="E605" s="816">
        <v>6100000</v>
      </c>
      <c r="F605" s="816"/>
      <c r="G605" s="1051">
        <f t="shared" si="69"/>
        <v>75.308641975308646</v>
      </c>
      <c r="H605" s="1055">
        <f t="shared" si="68"/>
        <v>75.308641975308646</v>
      </c>
      <c r="I605" s="1056">
        <f t="shared" si="70"/>
        <v>127.08333333333333</v>
      </c>
      <c r="J605" s="1113">
        <v>4800000</v>
      </c>
    </row>
    <row r="606" spans="1:10" s="885" customFormat="1" ht="12.75" customHeight="1" x14ac:dyDescent="0.2">
      <c r="A606" s="832"/>
      <c r="B606" s="884" t="s">
        <v>706</v>
      </c>
      <c r="C606" s="816">
        <v>1065000</v>
      </c>
      <c r="D606" s="816">
        <f>1065000-25000-10000</f>
        <v>1030000</v>
      </c>
      <c r="E606" s="816">
        <v>856500</v>
      </c>
      <c r="F606" s="816"/>
      <c r="G606" s="1051">
        <f t="shared" si="69"/>
        <v>80.422535211267615</v>
      </c>
      <c r="H606" s="1055">
        <f t="shared" si="68"/>
        <v>83.15533980582525</v>
      </c>
      <c r="I606" s="1056">
        <f t="shared" si="70"/>
        <v>133.20373250388801</v>
      </c>
      <c r="J606" s="1113">
        <v>643000</v>
      </c>
    </row>
    <row r="607" spans="1:10" s="885" customFormat="1" ht="12.75" customHeight="1" x14ac:dyDescent="0.2">
      <c r="A607" s="832"/>
      <c r="B607" s="884" t="s">
        <v>707</v>
      </c>
      <c r="C607" s="816">
        <v>135000</v>
      </c>
      <c r="D607" s="816">
        <v>135000</v>
      </c>
      <c r="E607" s="816">
        <v>51000</v>
      </c>
      <c r="F607" s="816"/>
      <c r="G607" s="1051">
        <f t="shared" si="69"/>
        <v>37.777777777777779</v>
      </c>
      <c r="H607" s="1055">
        <f t="shared" si="68"/>
        <v>37.777777777777779</v>
      </c>
      <c r="I607" s="1056">
        <f t="shared" si="70"/>
        <v>60.714285714285708</v>
      </c>
      <c r="J607" s="1113">
        <v>84000</v>
      </c>
    </row>
    <row r="608" spans="1:10" s="885" customFormat="1" ht="12.75" customHeight="1" x14ac:dyDescent="0.2">
      <c r="A608" s="832"/>
      <c r="B608" s="884" t="s">
        <v>708</v>
      </c>
      <c r="C608" s="816">
        <v>500000</v>
      </c>
      <c r="D608" s="816">
        <v>500000</v>
      </c>
      <c r="E608" s="816">
        <v>195400</v>
      </c>
      <c r="F608" s="816"/>
      <c r="G608" s="1051">
        <f t="shared" si="69"/>
        <v>39.08</v>
      </c>
      <c r="H608" s="1055">
        <f t="shared" si="68"/>
        <v>39.08</v>
      </c>
      <c r="I608" s="1056">
        <f t="shared" si="70"/>
        <v>39.08</v>
      </c>
      <c r="J608" s="1113">
        <v>500000</v>
      </c>
    </row>
    <row r="609" spans="1:10" s="885" customFormat="1" ht="37.5" customHeight="1" x14ac:dyDescent="0.2">
      <c r="A609" s="730"/>
      <c r="B609" s="884" t="s">
        <v>1657</v>
      </c>
      <c r="C609" s="816">
        <f>+(273+555.3+50.82+90+15+200)*1000</f>
        <v>1184120</v>
      </c>
      <c r="D609" s="816">
        <f>(+(273+555.3+50.82+90+15+200)*1000)+30000+25000+200000+10000+147136</f>
        <v>1596256</v>
      </c>
      <c r="E609" s="816">
        <v>997876</v>
      </c>
      <c r="F609" s="816"/>
      <c r="G609" s="1051">
        <f t="shared" si="69"/>
        <v>84.271526534472869</v>
      </c>
      <c r="H609" s="1055">
        <f t="shared" si="68"/>
        <v>62.513531664093982</v>
      </c>
      <c r="I609" s="670">
        <f t="shared" si="70"/>
        <v>58.028131207324684</v>
      </c>
      <c r="J609" s="1115">
        <v>1719641.8</v>
      </c>
    </row>
    <row r="610" spans="1:10" x14ac:dyDescent="0.2">
      <c r="A610" s="663"/>
      <c r="B610" s="899"/>
      <c r="C610" s="694"/>
      <c r="D610" s="694"/>
      <c r="E610" s="694"/>
      <c r="F610" s="694"/>
      <c r="G610" s="694"/>
      <c r="H610" s="694"/>
      <c r="I610" s="900"/>
    </row>
    <row r="611" spans="1:10" s="85" customFormat="1" ht="21" customHeight="1" x14ac:dyDescent="0.3">
      <c r="A611" s="734"/>
      <c r="B611" s="757" t="s">
        <v>710</v>
      </c>
      <c r="C611" s="901">
        <f>C612</f>
        <v>28556700</v>
      </c>
      <c r="D611" s="901">
        <f>D612</f>
        <v>28556700</v>
      </c>
      <c r="E611" s="901">
        <v>13289249.300000001</v>
      </c>
      <c r="F611" s="1118"/>
      <c r="G611" s="735">
        <f t="shared" si="69"/>
        <v>46.536362044634011</v>
      </c>
      <c r="H611" s="735">
        <f t="shared" si="68"/>
        <v>46.536362044634011</v>
      </c>
      <c r="I611" s="1083">
        <f t="shared" si="70"/>
        <v>117.40042838629456</v>
      </c>
      <c r="J611" s="29">
        <v>11319591.83</v>
      </c>
    </row>
    <row r="612" spans="1:10" ht="12" customHeight="1" x14ac:dyDescent="0.2">
      <c r="A612" s="663">
        <v>5311</v>
      </c>
      <c r="B612" s="629" t="s">
        <v>711</v>
      </c>
      <c r="C612" s="637">
        <f>SUM(18300+4538.4+1647+ 0+2+350+2+132.5+143+20+264+1+245+30+3+109+3+635+275+200+15+50+10+100+6+123.8+170+750+432 )*1000</f>
        <v>28556700</v>
      </c>
      <c r="D612" s="637">
        <f>SUM(18300+4538.4+1647+ 0+2+350+2+132.5+143+20+264+1+245+30+3+109+3+635+275+200+15+50+10+100+6+123.8+170+750+432 )*1000</f>
        <v>28556700</v>
      </c>
      <c r="E612" s="637">
        <v>13289249.300000001</v>
      </c>
      <c r="F612" s="644"/>
      <c r="G612" s="630">
        <f t="shared" si="69"/>
        <v>46.536362044634011</v>
      </c>
      <c r="H612" s="1052">
        <f t="shared" si="68"/>
        <v>46.536362044634011</v>
      </c>
      <c r="I612" s="631">
        <f t="shared" si="70"/>
        <v>117.40042838629456</v>
      </c>
      <c r="J612" s="29">
        <v>11319591.83</v>
      </c>
    </row>
    <row r="613" spans="1:10" ht="76.5" x14ac:dyDescent="0.2">
      <c r="A613" s="663"/>
      <c r="B613" s="650" t="s">
        <v>1658</v>
      </c>
      <c r="C613" s="902" t="s">
        <v>1659</v>
      </c>
      <c r="D613" s="902" t="s">
        <v>1659</v>
      </c>
      <c r="E613" s="902" t="s">
        <v>1983</v>
      </c>
      <c r="F613" s="902"/>
      <c r="G613" s="1051">
        <f t="shared" si="69"/>
        <v>46.536362044634011</v>
      </c>
      <c r="H613" s="1055">
        <f t="shared" si="68"/>
        <v>46.536362044634011</v>
      </c>
      <c r="I613" s="670">
        <f t="shared" si="70"/>
        <v>117.40042838629456</v>
      </c>
      <c r="J613" s="1037">
        <v>11319591.83</v>
      </c>
    </row>
    <row r="614" spans="1:10" ht="12.75" customHeight="1" x14ac:dyDescent="0.2">
      <c r="A614" s="732"/>
      <c r="B614" s="904"/>
      <c r="C614" s="682"/>
      <c r="D614" s="682"/>
      <c r="E614" s="682"/>
      <c r="F614" s="682"/>
      <c r="G614" s="682"/>
      <c r="H614" s="682"/>
      <c r="I614" s="900"/>
    </row>
    <row r="615" spans="1:10" s="85" customFormat="1" ht="20.25" x14ac:dyDescent="0.3">
      <c r="A615" s="734"/>
      <c r="B615" s="757" t="s">
        <v>41</v>
      </c>
      <c r="C615" s="871">
        <f>SUM(C616:C622)+C631+C632</f>
        <v>31499210</v>
      </c>
      <c r="D615" s="871">
        <f>SUM(D616:D622)+D631+D632</f>
        <v>33098319.009999998</v>
      </c>
      <c r="E615" s="871">
        <v>16680568.640000001</v>
      </c>
      <c r="F615" s="1068">
        <f>SUM(E616:E622,E631:E632)</f>
        <v>16680568.639999999</v>
      </c>
      <c r="G615" s="735">
        <f t="shared" si="69"/>
        <v>52.955514249404992</v>
      </c>
      <c r="H615" s="735">
        <f t="shared" si="68"/>
        <v>50.397026613225584</v>
      </c>
      <c r="I615" s="1083">
        <f t="shared" si="70"/>
        <v>117.766368284444</v>
      </c>
      <c r="J615" s="29">
        <v>14164119.08</v>
      </c>
    </row>
    <row r="616" spans="1:10" ht="36.75" x14ac:dyDescent="0.2">
      <c r="A616" s="906">
        <v>3429</v>
      </c>
      <c r="B616" s="650" t="s">
        <v>1660</v>
      </c>
      <c r="C616" s="687">
        <v>690000</v>
      </c>
      <c r="D616" s="687">
        <f>690000+(70000+80000+50000)</f>
        <v>890000</v>
      </c>
      <c r="E616" s="687">
        <v>581549.14</v>
      </c>
      <c r="F616" s="1089"/>
      <c r="G616" s="630">
        <f t="shared" si="69"/>
        <v>84.282484057971018</v>
      </c>
      <c r="H616" s="1052">
        <f t="shared" si="68"/>
        <v>65.342600000000004</v>
      </c>
      <c r="I616" s="639">
        <f t="shared" si="70"/>
        <v>520.94266979594033</v>
      </c>
      <c r="J616" s="1037">
        <v>111634</v>
      </c>
    </row>
    <row r="617" spans="1:10" s="98" customFormat="1" ht="36.75" x14ac:dyDescent="0.2">
      <c r="A617" s="660">
        <v>5212</v>
      </c>
      <c r="B617" s="688" t="s">
        <v>1661</v>
      </c>
      <c r="C617" s="637">
        <v>110000</v>
      </c>
      <c r="D617" s="637">
        <v>110000</v>
      </c>
      <c r="E617" s="637">
        <v>30407.3</v>
      </c>
      <c r="F617" s="644"/>
      <c r="G617" s="630">
        <f t="shared" si="69"/>
        <v>27.643000000000001</v>
      </c>
      <c r="H617" s="1052">
        <f t="shared" si="68"/>
        <v>27.643000000000001</v>
      </c>
      <c r="I617" s="639">
        <f t="shared" si="70"/>
        <v>90.450753059714103</v>
      </c>
      <c r="J617" s="1037">
        <v>33617.519999999997</v>
      </c>
    </row>
    <row r="618" spans="1:10" s="244" customFormat="1" ht="36.75" x14ac:dyDescent="0.25">
      <c r="A618" s="663">
        <v>5213</v>
      </c>
      <c r="B618" s="634" t="s">
        <v>1662</v>
      </c>
      <c r="C618" s="637">
        <v>200000</v>
      </c>
      <c r="D618" s="637">
        <v>200000</v>
      </c>
      <c r="E618" s="637">
        <v>5760</v>
      </c>
      <c r="F618" s="644"/>
      <c r="G618" s="630">
        <f t="shared" si="69"/>
        <v>2.88</v>
      </c>
      <c r="H618" s="1052">
        <f t="shared" si="68"/>
        <v>2.88</v>
      </c>
      <c r="I618" s="639">
        <f t="shared" si="70"/>
        <v>10.14977973568282</v>
      </c>
      <c r="J618" s="1037">
        <v>56750</v>
      </c>
    </row>
    <row r="619" spans="1:10" s="98" customFormat="1" ht="24.75" x14ac:dyDescent="0.2">
      <c r="A619" s="663">
        <v>5273</v>
      </c>
      <c r="B619" s="634" t="s">
        <v>1663</v>
      </c>
      <c r="C619" s="637">
        <v>5000</v>
      </c>
      <c r="D619" s="637">
        <v>5000</v>
      </c>
      <c r="E619" s="637">
        <v>0</v>
      </c>
      <c r="F619" s="644"/>
      <c r="G619" s="630">
        <f t="shared" si="69"/>
        <v>0</v>
      </c>
      <c r="H619" s="1052">
        <f t="shared" si="68"/>
        <v>0</v>
      </c>
      <c r="I619" s="639">
        <v>0</v>
      </c>
      <c r="J619" s="29">
        <v>0</v>
      </c>
    </row>
    <row r="620" spans="1:10" s="244" customFormat="1" ht="15.75" x14ac:dyDescent="0.25">
      <c r="A620" s="663">
        <v>5511</v>
      </c>
      <c r="B620" s="634" t="s">
        <v>1664</v>
      </c>
      <c r="C620" s="637">
        <v>2100000</v>
      </c>
      <c r="D620" s="637">
        <v>2100000</v>
      </c>
      <c r="E620" s="637">
        <v>2029436</v>
      </c>
      <c r="F620" s="644"/>
      <c r="G620" s="630">
        <f t="shared" si="69"/>
        <v>96.639809523809532</v>
      </c>
      <c r="H620" s="1052">
        <f t="shared" ref="H620:H683" si="72">E620/D620*100</f>
        <v>96.639809523809532</v>
      </c>
      <c r="I620" s="631">
        <f t="shared" si="70"/>
        <v>115.09998332571459</v>
      </c>
      <c r="J620" s="29">
        <v>1763194</v>
      </c>
    </row>
    <row r="621" spans="1:10" s="244" customFormat="1" ht="36.75" x14ac:dyDescent="0.25">
      <c r="A621" s="663">
        <v>5512</v>
      </c>
      <c r="B621" s="634" t="s">
        <v>1665</v>
      </c>
      <c r="C621" s="637">
        <v>125000</v>
      </c>
      <c r="D621" s="637">
        <v>125000</v>
      </c>
      <c r="E621" s="637">
        <v>25565</v>
      </c>
      <c r="F621" s="644"/>
      <c r="G621" s="630">
        <f t="shared" si="69"/>
        <v>20.452000000000002</v>
      </c>
      <c r="H621" s="1052">
        <f t="shared" si="72"/>
        <v>20.452000000000002</v>
      </c>
      <c r="I621" s="639">
        <f t="shared" si="70"/>
        <v>1420.2777777777778</v>
      </c>
      <c r="J621" s="1037">
        <v>1800</v>
      </c>
    </row>
    <row r="622" spans="1:10" s="244" customFormat="1" ht="12.75" customHeight="1" x14ac:dyDescent="0.25">
      <c r="A622" s="663">
        <v>6171</v>
      </c>
      <c r="B622" s="629" t="s">
        <v>719</v>
      </c>
      <c r="C622" s="635">
        <f>SUM(C623:C630)</f>
        <v>26719210</v>
      </c>
      <c r="D622" s="635">
        <f>SUM(D623:D630)</f>
        <v>26741919.009999998</v>
      </c>
      <c r="E622" s="635">
        <v>11954217.199999999</v>
      </c>
      <c r="F622" s="652">
        <f>SUM(E623:E630)</f>
        <v>11954217.200000001</v>
      </c>
      <c r="G622" s="630">
        <f t="shared" si="69"/>
        <v>44.740159608012355</v>
      </c>
      <c r="H622" s="1052">
        <f t="shared" si="72"/>
        <v>44.702166645294916</v>
      </c>
      <c r="I622" s="631">
        <f t="shared" si="70"/>
        <v>127.00458605078792</v>
      </c>
      <c r="J622" s="29">
        <v>9412429.5600000005</v>
      </c>
    </row>
    <row r="623" spans="1:10" s="244" customFormat="1" ht="132" x14ac:dyDescent="0.25">
      <c r="A623" s="663"/>
      <c r="B623" s="908" t="s">
        <v>1667</v>
      </c>
      <c r="C623" s="644">
        <v>19068500</v>
      </c>
      <c r="D623" s="644">
        <f>19068500-70000+16216</f>
        <v>19014716</v>
      </c>
      <c r="E623" s="644">
        <f>8625762.49+54400</f>
        <v>8680162.4900000002</v>
      </c>
      <c r="F623" s="644"/>
      <c r="G623" s="1051">
        <f t="shared" si="69"/>
        <v>45.520950730261951</v>
      </c>
      <c r="H623" s="1055">
        <f t="shared" si="72"/>
        <v>45.649708836040467</v>
      </c>
      <c r="I623" s="670">
        <f t="shared" si="70"/>
        <v>123.31653916162266</v>
      </c>
      <c r="J623" s="1037">
        <v>7038928.0700000003</v>
      </c>
    </row>
    <row r="624" spans="1:10" s="244" customFormat="1" ht="15.75" x14ac:dyDescent="0.25">
      <c r="A624" s="663"/>
      <c r="B624" s="908" t="s">
        <v>1668</v>
      </c>
      <c r="C624" s="644">
        <v>200000</v>
      </c>
      <c r="D624" s="644">
        <v>200000</v>
      </c>
      <c r="E624" s="644">
        <v>0</v>
      </c>
      <c r="F624" s="644"/>
      <c r="G624" s="1051">
        <f t="shared" ref="G624:G687" si="73">E624/C624*100</f>
        <v>0</v>
      </c>
      <c r="H624" s="1055">
        <f t="shared" si="72"/>
        <v>0</v>
      </c>
      <c r="I624" s="1056">
        <f t="shared" si="70"/>
        <v>0</v>
      </c>
      <c r="J624" s="88">
        <v>752532.76</v>
      </c>
    </row>
    <row r="625" spans="1:11" x14ac:dyDescent="0.2">
      <c r="A625" s="646"/>
      <c r="B625" s="1119" t="s">
        <v>1984</v>
      </c>
      <c r="C625" s="644">
        <v>0</v>
      </c>
      <c r="D625" s="644">
        <f>(8051.9+68441.11)+(9438+4719+80223)+(27733.2+13866.6+235732.2)+(-8051.9-68441.11)</f>
        <v>371712</v>
      </c>
      <c r="E625" s="816">
        <v>371712</v>
      </c>
      <c r="F625" s="816"/>
      <c r="G625" s="1051">
        <v>0</v>
      </c>
      <c r="H625" s="1055">
        <f t="shared" si="72"/>
        <v>100</v>
      </c>
      <c r="I625" s="1056">
        <v>0</v>
      </c>
      <c r="J625" s="1072">
        <v>0</v>
      </c>
      <c r="K625" s="1037"/>
    </row>
    <row r="626" spans="1:11" s="98" customFormat="1" ht="36" x14ac:dyDescent="0.2">
      <c r="A626" s="664"/>
      <c r="B626" s="909" t="s">
        <v>1669</v>
      </c>
      <c r="C626" s="644">
        <v>5480300</v>
      </c>
      <c r="D626" s="644">
        <f>5480300-94380-277332+76493.01</f>
        <v>5185081.01</v>
      </c>
      <c r="E626" s="644">
        <v>1561241.72</v>
      </c>
      <c r="F626" s="644"/>
      <c r="G626" s="1051">
        <f t="shared" si="73"/>
        <v>28.48825283287411</v>
      </c>
      <c r="H626" s="1055">
        <f t="shared" si="72"/>
        <v>30.1102666860744</v>
      </c>
      <c r="I626" s="670">
        <f t="shared" si="70"/>
        <v>115.84681020711048</v>
      </c>
      <c r="J626" s="1037">
        <v>1347677.78</v>
      </c>
    </row>
    <row r="627" spans="1:11" ht="24" x14ac:dyDescent="0.2">
      <c r="A627" s="664"/>
      <c r="B627" s="909" t="s">
        <v>1670</v>
      </c>
      <c r="C627" s="644">
        <v>1512810</v>
      </c>
      <c r="D627" s="644">
        <v>1512810</v>
      </c>
      <c r="E627" s="644">
        <v>1162810</v>
      </c>
      <c r="F627" s="644"/>
      <c r="G627" s="1051">
        <f t="shared" si="73"/>
        <v>76.864246005777332</v>
      </c>
      <c r="H627" s="1055">
        <f t="shared" si="72"/>
        <v>76.864246005777332</v>
      </c>
      <c r="I627" s="670">
        <f t="shared" si="70"/>
        <v>1132.3167109734841</v>
      </c>
      <c r="J627" s="1037">
        <v>102693</v>
      </c>
    </row>
    <row r="628" spans="1:11" x14ac:dyDescent="0.2">
      <c r="A628" s="664"/>
      <c r="B628" s="643" t="s">
        <v>1671</v>
      </c>
      <c r="C628" s="644">
        <v>200000</v>
      </c>
      <c r="D628" s="644">
        <v>200000</v>
      </c>
      <c r="E628" s="644">
        <v>80658.73</v>
      </c>
      <c r="F628" s="644"/>
      <c r="G628" s="1051">
        <f t="shared" si="73"/>
        <v>40.329365000000003</v>
      </c>
      <c r="H628" s="1055">
        <f t="shared" si="72"/>
        <v>40.329365000000003</v>
      </c>
      <c r="I628" s="1056">
        <f t="shared" si="70"/>
        <v>89.328468808856002</v>
      </c>
      <c r="J628" s="29">
        <v>90294.54</v>
      </c>
    </row>
    <row r="629" spans="1:11" x14ac:dyDescent="0.2">
      <c r="A629" s="664"/>
      <c r="B629" s="643" t="s">
        <v>1672</v>
      </c>
      <c r="C629" s="644">
        <v>60000</v>
      </c>
      <c r="D629" s="644">
        <v>60000</v>
      </c>
      <c r="E629" s="644">
        <v>15608.47</v>
      </c>
      <c r="F629" s="644"/>
      <c r="G629" s="1051">
        <f t="shared" si="73"/>
        <v>26.014116666666666</v>
      </c>
      <c r="H629" s="1055">
        <f t="shared" si="72"/>
        <v>26.014116666666666</v>
      </c>
      <c r="I629" s="1056">
        <f t="shared" si="70"/>
        <v>98.7752816099228</v>
      </c>
      <c r="J629" s="29">
        <v>15802</v>
      </c>
    </row>
    <row r="630" spans="1:11" ht="24.75" x14ac:dyDescent="0.2">
      <c r="A630" s="664"/>
      <c r="B630" s="650" t="s">
        <v>1673</v>
      </c>
      <c r="C630" s="644">
        <v>197600</v>
      </c>
      <c r="D630" s="644">
        <v>197600</v>
      </c>
      <c r="E630" s="644">
        <v>82023.789999999994</v>
      </c>
      <c r="F630" s="644"/>
      <c r="G630" s="1051">
        <f t="shared" si="73"/>
        <v>41.51001518218623</v>
      </c>
      <c r="H630" s="1055">
        <f t="shared" si="72"/>
        <v>41.51001518218623</v>
      </c>
      <c r="I630" s="670">
        <f t="shared" si="70"/>
        <v>127.16608391364454</v>
      </c>
      <c r="J630" s="1037">
        <v>64501.31</v>
      </c>
    </row>
    <row r="631" spans="1:11" x14ac:dyDescent="0.2">
      <c r="A631" s="663">
        <v>6221</v>
      </c>
      <c r="B631" s="1120" t="s">
        <v>1985</v>
      </c>
      <c r="C631" s="637">
        <v>0</v>
      </c>
      <c r="D631" s="637">
        <f>227100+232500+210000+231000+234000+241800</f>
        <v>1376400</v>
      </c>
      <c r="E631" s="637">
        <v>1421400</v>
      </c>
      <c r="F631" s="644"/>
      <c r="G631" s="630">
        <v>0</v>
      </c>
      <c r="H631" s="1052">
        <f t="shared" si="72"/>
        <v>103.26939843068877</v>
      </c>
      <c r="I631" s="631">
        <f t="shared" si="70"/>
        <v>65.021385604171911</v>
      </c>
      <c r="J631" s="29">
        <v>2186050</v>
      </c>
    </row>
    <row r="632" spans="1:11" ht="12.75" customHeight="1" x14ac:dyDescent="0.2">
      <c r="A632" s="663">
        <v>6320</v>
      </c>
      <c r="B632" s="629" t="s">
        <v>1675</v>
      </c>
      <c r="C632" s="637">
        <v>1550000</v>
      </c>
      <c r="D632" s="637">
        <v>1550000</v>
      </c>
      <c r="E632" s="637">
        <v>632234</v>
      </c>
      <c r="F632" s="644"/>
      <c r="G632" s="630">
        <f t="shared" si="73"/>
        <v>40.789290322580648</v>
      </c>
      <c r="H632" s="1052">
        <f t="shared" si="72"/>
        <v>40.789290322580648</v>
      </c>
      <c r="I632" s="631">
        <f t="shared" si="70"/>
        <v>105.61101422548293</v>
      </c>
      <c r="J632" s="29">
        <v>598644</v>
      </c>
    </row>
    <row r="633" spans="1:11" ht="12.75" customHeight="1" x14ac:dyDescent="0.2">
      <c r="A633" s="861"/>
      <c r="B633" s="910"/>
      <c r="C633" s="682"/>
      <c r="D633" s="682"/>
      <c r="E633" s="682"/>
      <c r="F633" s="682"/>
      <c r="G633" s="682"/>
      <c r="H633" s="682"/>
      <c r="I633" s="911"/>
    </row>
    <row r="634" spans="1:11" s="85" customFormat="1" ht="20.25" x14ac:dyDescent="0.3">
      <c r="A634" s="734"/>
      <c r="B634" s="757" t="s">
        <v>729</v>
      </c>
      <c r="C634" s="912">
        <f t="shared" ref="C634:D634" si="74">C636+C637+C641+C635</f>
        <v>166253060</v>
      </c>
      <c r="D634" s="912">
        <f t="shared" si="74"/>
        <v>167777260</v>
      </c>
      <c r="E634" s="912">
        <v>75137262.170000002</v>
      </c>
      <c r="F634" s="1121">
        <f>SUM(E635:E637,E641)</f>
        <v>75137262.170000002</v>
      </c>
      <c r="G634" s="735">
        <f t="shared" si="73"/>
        <v>45.194513815264514</v>
      </c>
      <c r="H634" s="735">
        <f t="shared" si="72"/>
        <v>44.783936851752138</v>
      </c>
      <c r="I634" s="1091">
        <f t="shared" si="70"/>
        <v>114.35467878565555</v>
      </c>
      <c r="J634" s="29">
        <v>65705455.140000001</v>
      </c>
    </row>
    <row r="635" spans="1:11" s="98" customFormat="1" x14ac:dyDescent="0.2">
      <c r="A635" s="737">
        <v>3341</v>
      </c>
      <c r="B635" s="914" t="s">
        <v>1676</v>
      </c>
      <c r="C635" s="637">
        <v>2601000</v>
      </c>
      <c r="D635" s="637">
        <f>2601000+508200</f>
        <v>3109200</v>
      </c>
      <c r="E635" s="637">
        <v>1431551</v>
      </c>
      <c r="F635" s="644"/>
      <c r="G635" s="630">
        <f t="shared" si="73"/>
        <v>55.038485198000764</v>
      </c>
      <c r="H635" s="1052">
        <f t="shared" si="72"/>
        <v>46.042422488099831</v>
      </c>
      <c r="I635" s="631">
        <f t="shared" si="70"/>
        <v>112.23792809031401</v>
      </c>
      <c r="J635" s="29">
        <v>1275461</v>
      </c>
    </row>
    <row r="636" spans="1:11" s="98" customFormat="1" ht="36.75" x14ac:dyDescent="0.2">
      <c r="A636" s="663">
        <v>6112</v>
      </c>
      <c r="B636" s="634" t="s">
        <v>1677</v>
      </c>
      <c r="C636" s="637">
        <v>9066800</v>
      </c>
      <c r="D636" s="637">
        <f>9066800+(400000+36000)+67000</f>
        <v>9569800</v>
      </c>
      <c r="E636" s="637">
        <v>4506803.8499999996</v>
      </c>
      <c r="F636" s="644"/>
      <c r="G636" s="630">
        <f t="shared" si="73"/>
        <v>49.706664424052583</v>
      </c>
      <c r="H636" s="1052">
        <f t="shared" si="72"/>
        <v>47.09402338606867</v>
      </c>
      <c r="I636" s="639">
        <f t="shared" si="70"/>
        <v>107.62016785130814</v>
      </c>
      <c r="J636" s="1037">
        <v>4187694.5</v>
      </c>
    </row>
    <row r="637" spans="1:11" x14ac:dyDescent="0.2">
      <c r="A637" s="663">
        <v>6171</v>
      </c>
      <c r="B637" s="629" t="s">
        <v>719</v>
      </c>
      <c r="C637" s="637">
        <f t="shared" ref="C637:D637" si="75">SUM(C638:C640)</f>
        <v>148579260</v>
      </c>
      <c r="D637" s="637">
        <f t="shared" si="75"/>
        <v>149092260</v>
      </c>
      <c r="E637" s="637">
        <v>66195749.869999997</v>
      </c>
      <c r="F637" s="644">
        <f>SUM(E638:E640)</f>
        <v>66195749.870000005</v>
      </c>
      <c r="G637" s="630">
        <f t="shared" si="73"/>
        <v>44.552483213336771</v>
      </c>
      <c r="H637" s="1052">
        <f t="shared" si="72"/>
        <v>44.399186027497336</v>
      </c>
      <c r="I637" s="631">
        <f t="shared" si="70"/>
        <v>115.54074783154007</v>
      </c>
      <c r="J637" s="29">
        <v>57292125.170000002</v>
      </c>
    </row>
    <row r="638" spans="1:11" ht="45.75" customHeight="1" x14ac:dyDescent="0.2">
      <c r="A638" s="660"/>
      <c r="B638" s="917" t="s">
        <v>1678</v>
      </c>
      <c r="C638" s="644">
        <f>130618600+94000</f>
        <v>130712600</v>
      </c>
      <c r="D638" s="644">
        <f>130618600+94000-15000+(-103000-27000)+94000-67000+130000</f>
        <v>130724600</v>
      </c>
      <c r="E638" s="644">
        <v>58060975.950000003</v>
      </c>
      <c r="F638" s="644"/>
      <c r="G638" s="1051">
        <f t="shared" si="73"/>
        <v>44.418805799899935</v>
      </c>
      <c r="H638" s="1055">
        <f t="shared" si="72"/>
        <v>44.414728329633448</v>
      </c>
      <c r="I638" s="670">
        <f t="shared" si="70"/>
        <v>115.25114399080066</v>
      </c>
      <c r="J638" s="1037">
        <v>50377787.100000001</v>
      </c>
    </row>
    <row r="639" spans="1:11" ht="15.75" x14ac:dyDescent="0.25">
      <c r="A639" s="918"/>
      <c r="B639" s="650" t="s">
        <v>1679</v>
      </c>
      <c r="C639" s="644">
        <v>9025940</v>
      </c>
      <c r="D639" s="644">
        <f>9025940+15000-94000+804000</f>
        <v>9750940</v>
      </c>
      <c r="E639" s="644">
        <v>4057688</v>
      </c>
      <c r="F639" s="644"/>
      <c r="G639" s="1051">
        <f t="shared" si="73"/>
        <v>44.95584947384981</v>
      </c>
      <c r="H639" s="1055">
        <f t="shared" si="72"/>
        <v>41.613300871505722</v>
      </c>
      <c r="I639" s="1056">
        <f t="shared" si="70"/>
        <v>130.18274147178127</v>
      </c>
      <c r="J639" s="29">
        <v>3116917</v>
      </c>
    </row>
    <row r="640" spans="1:11" ht="36.75" x14ac:dyDescent="0.25">
      <c r="A640" s="918"/>
      <c r="B640" s="634" t="s">
        <v>1680</v>
      </c>
      <c r="C640" s="644">
        <f>8934720-94000</f>
        <v>8840720</v>
      </c>
      <c r="D640" s="644">
        <f>8934720-94000-224000</f>
        <v>8616720</v>
      </c>
      <c r="E640" s="644">
        <v>4077085.92</v>
      </c>
      <c r="F640" s="644"/>
      <c r="G640" s="1051">
        <f t="shared" si="73"/>
        <v>46.117125302011601</v>
      </c>
      <c r="H640" s="1055">
        <f t="shared" si="72"/>
        <v>47.315984736651536</v>
      </c>
      <c r="I640" s="670">
        <f t="shared" si="70"/>
        <v>107.3645994174673</v>
      </c>
      <c r="J640" s="1037">
        <v>3797421.07</v>
      </c>
    </row>
    <row r="641" spans="1:10" x14ac:dyDescent="0.2">
      <c r="A641" s="663">
        <v>6330</v>
      </c>
      <c r="B641" s="629" t="s">
        <v>734</v>
      </c>
      <c r="C641" s="919">
        <v>6006000</v>
      </c>
      <c r="D641" s="919">
        <f>6006000</f>
        <v>6006000</v>
      </c>
      <c r="E641" s="919">
        <v>3003157.45</v>
      </c>
      <c r="F641" s="694"/>
      <c r="G641" s="630">
        <f t="shared" si="73"/>
        <v>50.002621545121549</v>
      </c>
      <c r="H641" s="1052">
        <f t="shared" si="72"/>
        <v>50.002621545121549</v>
      </c>
      <c r="I641" s="631">
        <f t="shared" ref="I641:I700" si="76">E641/J641*100</f>
        <v>101.79592700495439</v>
      </c>
      <c r="J641" s="29">
        <v>2950174.47</v>
      </c>
    </row>
    <row r="642" spans="1:10" s="85" customFormat="1" ht="20.25" x14ac:dyDescent="0.3">
      <c r="A642" s="734"/>
      <c r="B642" s="757" t="s">
        <v>43</v>
      </c>
      <c r="C642" s="920">
        <f>C643+C659</f>
        <v>15923250</v>
      </c>
      <c r="D642" s="920">
        <f>D643+D659</f>
        <v>15923250</v>
      </c>
      <c r="E642" s="920">
        <v>12617694.77</v>
      </c>
      <c r="F642" s="1048">
        <f>SUM(E643,E659)</f>
        <v>12617694.77</v>
      </c>
      <c r="G642" s="735">
        <f t="shared" si="73"/>
        <v>79.2407000455309</v>
      </c>
      <c r="H642" s="735">
        <f t="shared" si="72"/>
        <v>79.2407000455309</v>
      </c>
      <c r="I642" s="1091">
        <f t="shared" si="76"/>
        <v>105.78797873747017</v>
      </c>
      <c r="J642" s="29">
        <v>11927342.710000001</v>
      </c>
    </row>
    <row r="643" spans="1:10" ht="15.75" x14ac:dyDescent="0.25">
      <c r="A643" s="621"/>
      <c r="B643" s="657" t="s">
        <v>735</v>
      </c>
      <c r="C643" s="623">
        <f>SUM(C644:C646,C649,C651,C657:C658)</f>
        <v>1300000</v>
      </c>
      <c r="D643" s="623">
        <f>SUM(D644:D646,D649,D651,D657:D658)</f>
        <v>1300000</v>
      </c>
      <c r="E643" s="623">
        <v>391676.75</v>
      </c>
      <c r="F643" s="1122">
        <f>SUM(E644:E646,E649,E651,E657:E658)</f>
        <v>391676.75</v>
      </c>
      <c r="G643" s="623">
        <f t="shared" si="73"/>
        <v>30.128980769230768</v>
      </c>
      <c r="H643" s="623">
        <f t="shared" si="72"/>
        <v>30.128980769230768</v>
      </c>
      <c r="I643" s="741">
        <f t="shared" si="76"/>
        <v>121.78900793466572</v>
      </c>
      <c r="J643" s="29">
        <v>321602.71000000002</v>
      </c>
    </row>
    <row r="644" spans="1:10" x14ac:dyDescent="0.2">
      <c r="A644" s="663">
        <v>3613</v>
      </c>
      <c r="B644" s="629" t="s">
        <v>1681</v>
      </c>
      <c r="C644" s="637">
        <v>3000</v>
      </c>
      <c r="D644" s="637">
        <v>3000</v>
      </c>
      <c r="E644" s="637">
        <v>0</v>
      </c>
      <c r="F644" s="644"/>
      <c r="G644" s="630">
        <f t="shared" si="73"/>
        <v>0</v>
      </c>
      <c r="H644" s="1052">
        <f t="shared" si="72"/>
        <v>0</v>
      </c>
      <c r="I644" s="639">
        <v>0</v>
      </c>
      <c r="J644" s="29">
        <v>0</v>
      </c>
    </row>
    <row r="645" spans="1:10" s="244" customFormat="1" ht="15.75" x14ac:dyDescent="0.25">
      <c r="A645" s="663">
        <v>3632</v>
      </c>
      <c r="B645" s="629" t="s">
        <v>1682</v>
      </c>
      <c r="C645" s="637">
        <v>200000</v>
      </c>
      <c r="D645" s="637">
        <v>200000</v>
      </c>
      <c r="E645" s="637">
        <v>96139.75</v>
      </c>
      <c r="F645" s="644"/>
      <c r="G645" s="630">
        <f t="shared" si="73"/>
        <v>48.069875000000003</v>
      </c>
      <c r="H645" s="1052">
        <f t="shared" si="72"/>
        <v>48.069875000000003</v>
      </c>
      <c r="I645" s="639">
        <f t="shared" si="76"/>
        <v>83.817270203728626</v>
      </c>
      <c r="J645" s="29">
        <v>114701.6</v>
      </c>
    </row>
    <row r="646" spans="1:10" s="244" customFormat="1" ht="12.75" customHeight="1" x14ac:dyDescent="0.25">
      <c r="A646" s="663">
        <v>4329</v>
      </c>
      <c r="B646" s="629" t="s">
        <v>739</v>
      </c>
      <c r="C646" s="635">
        <f t="shared" ref="C646:D646" si="77">SUM(C647:C648)</f>
        <v>258000</v>
      </c>
      <c r="D646" s="635">
        <f t="shared" si="77"/>
        <v>258000</v>
      </c>
      <c r="E646" s="635">
        <v>5544.6</v>
      </c>
      <c r="F646" s="652"/>
      <c r="G646" s="630">
        <f t="shared" si="73"/>
        <v>2.1490697674418606</v>
      </c>
      <c r="H646" s="1052">
        <f t="shared" si="72"/>
        <v>2.1490697674418606</v>
      </c>
      <c r="I646" s="639">
        <f t="shared" si="76"/>
        <v>-34.118515783644085</v>
      </c>
      <c r="J646" s="29">
        <v>-16251</v>
      </c>
    </row>
    <row r="647" spans="1:10" s="98" customFormat="1" x14ac:dyDescent="0.2">
      <c r="A647" s="663"/>
      <c r="B647" s="672" t="s">
        <v>1683</v>
      </c>
      <c r="C647" s="644">
        <v>8000</v>
      </c>
      <c r="D647" s="644">
        <v>8000</v>
      </c>
      <c r="E647" s="644">
        <v>5544.6</v>
      </c>
      <c r="F647" s="644"/>
      <c r="G647" s="1051">
        <f t="shared" si="73"/>
        <v>69.307500000000005</v>
      </c>
      <c r="H647" s="1055">
        <f t="shared" si="72"/>
        <v>69.307500000000005</v>
      </c>
      <c r="I647" s="670">
        <f t="shared" si="76"/>
        <v>188.01627670396746</v>
      </c>
      <c r="J647" s="29">
        <v>2949</v>
      </c>
    </row>
    <row r="648" spans="1:10" s="98" customFormat="1" x14ac:dyDescent="0.2">
      <c r="A648" s="663"/>
      <c r="B648" s="672" t="s">
        <v>1684</v>
      </c>
      <c r="C648" s="644">
        <v>250000</v>
      </c>
      <c r="D648" s="644">
        <v>250000</v>
      </c>
      <c r="E648" s="644">
        <v>0</v>
      </c>
      <c r="F648" s="644"/>
      <c r="G648" s="1051">
        <f t="shared" si="73"/>
        <v>0</v>
      </c>
      <c r="H648" s="1055">
        <f t="shared" si="72"/>
        <v>0</v>
      </c>
      <c r="I648" s="670">
        <f t="shared" si="76"/>
        <v>0</v>
      </c>
      <c r="J648" s="29">
        <v>-19200</v>
      </c>
    </row>
    <row r="649" spans="1:10" x14ac:dyDescent="0.2">
      <c r="A649" s="663">
        <v>4349</v>
      </c>
      <c r="B649" s="629" t="s">
        <v>747</v>
      </c>
      <c r="C649" s="635">
        <f t="shared" ref="C649:D649" si="78">SUM(C650:C650)</f>
        <v>300000</v>
      </c>
      <c r="D649" s="635">
        <f t="shared" si="78"/>
        <v>300000</v>
      </c>
      <c r="E649" s="635">
        <v>3514.9</v>
      </c>
      <c r="F649" s="652"/>
      <c r="G649" s="630">
        <f t="shared" si="73"/>
        <v>1.1716333333333333</v>
      </c>
      <c r="H649" s="1052">
        <f t="shared" si="72"/>
        <v>1.1716333333333333</v>
      </c>
      <c r="I649" s="639">
        <f t="shared" si="76"/>
        <v>16.923780634599645</v>
      </c>
      <c r="J649" s="29">
        <v>20769</v>
      </c>
    </row>
    <row r="650" spans="1:10" x14ac:dyDescent="0.2">
      <c r="A650" s="664"/>
      <c r="B650" s="643" t="s">
        <v>1686</v>
      </c>
      <c r="C650" s="644">
        <v>300000</v>
      </c>
      <c r="D650" s="644">
        <v>300000</v>
      </c>
      <c r="E650" s="644">
        <v>3514.9</v>
      </c>
      <c r="F650" s="644"/>
      <c r="G650" s="1051">
        <f t="shared" si="73"/>
        <v>1.1716333333333333</v>
      </c>
      <c r="H650" s="1055">
        <f t="shared" si="72"/>
        <v>1.1716333333333333</v>
      </c>
      <c r="I650" s="670">
        <f t="shared" si="76"/>
        <v>16.923780634599645</v>
      </c>
      <c r="J650" s="29">
        <v>20769</v>
      </c>
    </row>
    <row r="651" spans="1:10" s="98" customFormat="1" x14ac:dyDescent="0.2">
      <c r="A651" s="663">
        <v>4379</v>
      </c>
      <c r="B651" s="629" t="s">
        <v>754</v>
      </c>
      <c r="C651" s="635">
        <f>SUM(C652:C656)</f>
        <v>434000</v>
      </c>
      <c r="D651" s="635">
        <f>SUM(D652:D656)</f>
        <v>484000</v>
      </c>
      <c r="E651" s="635">
        <v>260534.5</v>
      </c>
      <c r="F651" s="652"/>
      <c r="G651" s="630">
        <f t="shared" si="73"/>
        <v>60.030990783410147</v>
      </c>
      <c r="H651" s="1052">
        <f t="shared" si="72"/>
        <v>53.829442148760329</v>
      </c>
      <c r="I651" s="639">
        <f t="shared" si="76"/>
        <v>225.40489860674961</v>
      </c>
      <c r="J651" s="29">
        <v>115585.11</v>
      </c>
    </row>
    <row r="652" spans="1:10" x14ac:dyDescent="0.2">
      <c r="A652" s="664"/>
      <c r="B652" s="643" t="s">
        <v>1688</v>
      </c>
      <c r="C652" s="644">
        <v>209000</v>
      </c>
      <c r="D652" s="644">
        <v>209000</v>
      </c>
      <c r="E652" s="644">
        <v>109883.3</v>
      </c>
      <c r="F652" s="644"/>
      <c r="G652" s="1051">
        <f t="shared" si="73"/>
        <v>52.575741626794262</v>
      </c>
      <c r="H652" s="1055">
        <f t="shared" si="72"/>
        <v>52.575741626794262</v>
      </c>
      <c r="I652" s="670">
        <f t="shared" si="76"/>
        <v>164.46976110391998</v>
      </c>
      <c r="J652" s="29">
        <v>66810.64</v>
      </c>
    </row>
    <row r="653" spans="1:10" s="419" customFormat="1" x14ac:dyDescent="0.2">
      <c r="A653" s="664"/>
      <c r="B653" s="643" t="s">
        <v>1689</v>
      </c>
      <c r="C653" s="644">
        <v>62000</v>
      </c>
      <c r="D653" s="644">
        <v>62000</v>
      </c>
      <c r="E653" s="644">
        <v>31367.45</v>
      </c>
      <c r="F653" s="644"/>
      <c r="G653" s="1051">
        <f t="shared" si="73"/>
        <v>50.592661290322582</v>
      </c>
      <c r="H653" s="1055">
        <f t="shared" si="72"/>
        <v>50.592661290322582</v>
      </c>
      <c r="I653" s="670">
        <f t="shared" si="76"/>
        <v>103.07952523698387</v>
      </c>
      <c r="J653" s="29">
        <v>30430.34</v>
      </c>
    </row>
    <row r="654" spans="1:10" x14ac:dyDescent="0.2">
      <c r="A654" s="664"/>
      <c r="B654" s="643" t="s">
        <v>1690</v>
      </c>
      <c r="C654" s="644">
        <v>53000</v>
      </c>
      <c r="D654" s="644">
        <v>53000</v>
      </c>
      <c r="E654" s="644">
        <v>24605.35</v>
      </c>
      <c r="F654" s="644"/>
      <c r="G654" s="1051">
        <f t="shared" si="73"/>
        <v>46.425188679245281</v>
      </c>
      <c r="H654" s="1055">
        <f t="shared" si="72"/>
        <v>46.425188679245281</v>
      </c>
      <c r="I654" s="670">
        <f t="shared" si="76"/>
        <v>225.38295321206215</v>
      </c>
      <c r="J654" s="29">
        <v>10917.13</v>
      </c>
    </row>
    <row r="655" spans="1:10" s="98" customFormat="1" x14ac:dyDescent="0.2">
      <c r="A655" s="664"/>
      <c r="B655" s="643" t="s">
        <v>1691</v>
      </c>
      <c r="C655" s="644">
        <v>10000</v>
      </c>
      <c r="D655" s="644">
        <v>10000</v>
      </c>
      <c r="E655" s="644">
        <v>0</v>
      </c>
      <c r="F655" s="644"/>
      <c r="G655" s="1051">
        <f t="shared" si="73"/>
        <v>0</v>
      </c>
      <c r="H655" s="1055">
        <f t="shared" si="72"/>
        <v>0</v>
      </c>
      <c r="I655" s="670">
        <f t="shared" si="76"/>
        <v>0</v>
      </c>
      <c r="J655" s="29">
        <v>7427</v>
      </c>
    </row>
    <row r="656" spans="1:10" s="98" customFormat="1" x14ac:dyDescent="0.2">
      <c r="A656" s="664"/>
      <c r="B656" s="643" t="s">
        <v>1692</v>
      </c>
      <c r="C656" s="644">
        <v>100000</v>
      </c>
      <c r="D656" s="644">
        <f>100000+50000</f>
        <v>150000</v>
      </c>
      <c r="E656" s="644">
        <v>94678.399999999994</v>
      </c>
      <c r="F656" s="644"/>
      <c r="G656" s="1051">
        <f t="shared" si="73"/>
        <v>94.678399999999996</v>
      </c>
      <c r="H656" s="1055">
        <f t="shared" si="72"/>
        <v>63.118933333333324</v>
      </c>
      <c r="I656" s="670">
        <v>0</v>
      </c>
      <c r="J656" s="29">
        <v>0</v>
      </c>
    </row>
    <row r="657" spans="1:10" x14ac:dyDescent="0.2">
      <c r="A657" s="663">
        <v>4399</v>
      </c>
      <c r="B657" s="629" t="s">
        <v>1986</v>
      </c>
      <c r="C657" s="637">
        <v>5000</v>
      </c>
      <c r="D657" s="637">
        <v>5000</v>
      </c>
      <c r="E657" s="637">
        <v>25943</v>
      </c>
      <c r="F657" s="644"/>
      <c r="G657" s="630">
        <f t="shared" si="73"/>
        <v>518.86</v>
      </c>
      <c r="H657" s="1052">
        <f t="shared" si="72"/>
        <v>518.86</v>
      </c>
      <c r="I657" s="639">
        <f t="shared" si="76"/>
        <v>98.650087459122375</v>
      </c>
      <c r="J657" s="29">
        <v>26298</v>
      </c>
    </row>
    <row r="658" spans="1:10" x14ac:dyDescent="0.2">
      <c r="A658" s="699">
        <v>6409</v>
      </c>
      <c r="B658" s="924" t="s">
        <v>1696</v>
      </c>
      <c r="C658" s="919">
        <v>100000</v>
      </c>
      <c r="D658" s="919">
        <f>100000-50000</f>
        <v>50000</v>
      </c>
      <c r="E658" s="919">
        <v>0</v>
      </c>
      <c r="F658" s="694"/>
      <c r="G658" s="630">
        <f t="shared" si="73"/>
        <v>0</v>
      </c>
      <c r="H658" s="1052">
        <f t="shared" si="72"/>
        <v>0</v>
      </c>
      <c r="I658" s="639">
        <v>0</v>
      </c>
      <c r="J658" s="29">
        <v>0</v>
      </c>
    </row>
    <row r="659" spans="1:10" ht="15.75" x14ac:dyDescent="0.25">
      <c r="A659" s="621"/>
      <c r="B659" s="657" t="s">
        <v>761</v>
      </c>
      <c r="C659" s="777">
        <f t="shared" ref="C659:D659" si="79">C660</f>
        <v>14623250</v>
      </c>
      <c r="D659" s="777">
        <f t="shared" si="79"/>
        <v>14623250</v>
      </c>
      <c r="E659" s="777">
        <v>12226018.02</v>
      </c>
      <c r="F659" s="1096"/>
      <c r="G659" s="623">
        <f t="shared" si="73"/>
        <v>83.606708631802093</v>
      </c>
      <c r="H659" s="623">
        <f t="shared" si="72"/>
        <v>83.606708631802093</v>
      </c>
      <c r="I659" s="741">
        <f t="shared" si="76"/>
        <v>105.34457966488995</v>
      </c>
      <c r="J659" s="29">
        <v>11605740</v>
      </c>
    </row>
    <row r="660" spans="1:10" x14ac:dyDescent="0.2">
      <c r="A660" s="692"/>
      <c r="B660" s="626" t="s">
        <v>762</v>
      </c>
      <c r="C660" s="635">
        <f>SUM(C661:C673)</f>
        <v>14623250</v>
      </c>
      <c r="D660" s="635">
        <f>SUM(D661:D673)</f>
        <v>14623250</v>
      </c>
      <c r="E660" s="635">
        <v>12226018.02</v>
      </c>
      <c r="F660" s="652">
        <f>SUM(E661:E672)</f>
        <v>11960344.890000001</v>
      </c>
      <c r="G660" s="630">
        <f t="shared" si="73"/>
        <v>83.606708631802093</v>
      </c>
      <c r="H660" s="1052">
        <f t="shared" si="72"/>
        <v>83.606708631802093</v>
      </c>
      <c r="I660" s="639">
        <f t="shared" si="76"/>
        <v>105.34457966488995</v>
      </c>
      <c r="J660" s="29">
        <v>11605740</v>
      </c>
    </row>
    <row r="661" spans="1:10" s="98" customFormat="1" x14ac:dyDescent="0.2">
      <c r="A661" s="692"/>
      <c r="B661" s="643" t="s">
        <v>763</v>
      </c>
      <c r="C661" s="644">
        <v>420000</v>
      </c>
      <c r="D661" s="644">
        <f>420000-157000</f>
        <v>263000</v>
      </c>
      <c r="E661" s="644">
        <v>221700</v>
      </c>
      <c r="F661" s="644"/>
      <c r="G661" s="1051">
        <f t="shared" si="73"/>
        <v>52.785714285714278</v>
      </c>
      <c r="H661" s="1055">
        <f t="shared" si="72"/>
        <v>84.296577946768053</v>
      </c>
      <c r="I661" s="670">
        <f t="shared" si="76"/>
        <v>116.68421052631579</v>
      </c>
      <c r="J661" s="29">
        <v>190000</v>
      </c>
    </row>
    <row r="662" spans="1:10" x14ac:dyDescent="0.2">
      <c r="A662" s="692"/>
      <c r="B662" s="643" t="s">
        <v>764</v>
      </c>
      <c r="C662" s="644">
        <v>170000</v>
      </c>
      <c r="D662" s="644">
        <v>170000</v>
      </c>
      <c r="E662" s="644">
        <v>149500</v>
      </c>
      <c r="F662" s="644"/>
      <c r="G662" s="1051">
        <f t="shared" si="73"/>
        <v>87.941176470588232</v>
      </c>
      <c r="H662" s="1055">
        <f t="shared" si="72"/>
        <v>87.941176470588232</v>
      </c>
      <c r="I662" s="670">
        <f t="shared" si="76"/>
        <v>99.666666666666671</v>
      </c>
      <c r="J662" s="29">
        <v>150000</v>
      </c>
    </row>
    <row r="663" spans="1:10" x14ac:dyDescent="0.2">
      <c r="A663" s="692"/>
      <c r="B663" s="643" t="s">
        <v>765</v>
      </c>
      <c r="C663" s="644">
        <v>8008175</v>
      </c>
      <c r="D663" s="644">
        <v>8008175</v>
      </c>
      <c r="E663" s="644">
        <v>7781900</v>
      </c>
      <c r="F663" s="644"/>
      <c r="G663" s="1051">
        <f t="shared" si="73"/>
        <v>97.174449859050284</v>
      </c>
      <c r="H663" s="1055">
        <f t="shared" si="72"/>
        <v>97.174449859050284</v>
      </c>
      <c r="I663" s="670">
        <f t="shared" si="76"/>
        <v>131.0582814336768</v>
      </c>
      <c r="J663" s="29">
        <v>5937740</v>
      </c>
    </row>
    <row r="664" spans="1:10" x14ac:dyDescent="0.2">
      <c r="A664" s="692"/>
      <c r="B664" s="643" t="s">
        <v>766</v>
      </c>
      <c r="C664" s="644">
        <v>1102075</v>
      </c>
      <c r="D664" s="644">
        <v>1102075</v>
      </c>
      <c r="E664" s="644">
        <v>1096000</v>
      </c>
      <c r="F664" s="644"/>
      <c r="G664" s="1051">
        <f t="shared" si="73"/>
        <v>99.448767098427965</v>
      </c>
      <c r="H664" s="1055">
        <f t="shared" si="72"/>
        <v>99.448767098427965</v>
      </c>
      <c r="I664" s="670">
        <f t="shared" si="76"/>
        <v>84.685520012362844</v>
      </c>
      <c r="J664" s="29">
        <v>1294200</v>
      </c>
    </row>
    <row r="665" spans="1:10" x14ac:dyDescent="0.2">
      <c r="A665" s="692"/>
      <c r="B665" s="643" t="s">
        <v>767</v>
      </c>
      <c r="C665" s="644">
        <v>200000</v>
      </c>
      <c r="D665" s="644">
        <f>200000-5000-15000</f>
        <v>180000</v>
      </c>
      <c r="E665" s="644">
        <v>135000</v>
      </c>
      <c r="F665" s="644"/>
      <c r="G665" s="1051">
        <f t="shared" si="73"/>
        <v>67.5</v>
      </c>
      <c r="H665" s="1055">
        <f t="shared" si="72"/>
        <v>75</v>
      </c>
      <c r="I665" s="670">
        <f t="shared" si="76"/>
        <v>112.5</v>
      </c>
      <c r="J665" s="29">
        <v>120000</v>
      </c>
    </row>
    <row r="666" spans="1:10" x14ac:dyDescent="0.2">
      <c r="A666" s="692"/>
      <c r="B666" s="643" t="s">
        <v>768</v>
      </c>
      <c r="C666" s="644">
        <v>220000</v>
      </c>
      <c r="D666" s="644">
        <v>220000</v>
      </c>
      <c r="E666" s="644">
        <v>210000</v>
      </c>
      <c r="F666" s="644"/>
      <c r="G666" s="1051">
        <f t="shared" si="73"/>
        <v>95.454545454545453</v>
      </c>
      <c r="H666" s="1055">
        <f t="shared" si="72"/>
        <v>95.454545454545453</v>
      </c>
      <c r="I666" s="670">
        <f t="shared" si="76"/>
        <v>110.5263157894737</v>
      </c>
      <c r="J666" s="29">
        <v>190000</v>
      </c>
    </row>
    <row r="667" spans="1:10" x14ac:dyDescent="0.2">
      <c r="A667" s="692"/>
      <c r="B667" s="643" t="s">
        <v>1697</v>
      </c>
      <c r="C667" s="644">
        <v>2000000</v>
      </c>
      <c r="D667" s="644">
        <v>2000000</v>
      </c>
      <c r="E667" s="644">
        <v>0</v>
      </c>
      <c r="F667" s="644"/>
      <c r="G667" s="1051">
        <f t="shared" si="73"/>
        <v>0</v>
      </c>
      <c r="H667" s="1055">
        <f t="shared" si="72"/>
        <v>0</v>
      </c>
      <c r="I667" s="670">
        <f t="shared" si="76"/>
        <v>0</v>
      </c>
      <c r="J667" s="29">
        <v>300000</v>
      </c>
    </row>
    <row r="668" spans="1:10" x14ac:dyDescent="0.2">
      <c r="A668" s="663"/>
      <c r="B668" s="643" t="s">
        <v>769</v>
      </c>
      <c r="C668" s="644">
        <v>150000</v>
      </c>
      <c r="D668" s="644">
        <v>150000</v>
      </c>
      <c r="E668" s="644">
        <v>27444.89</v>
      </c>
      <c r="F668" s="644"/>
      <c r="G668" s="1051">
        <f t="shared" si="73"/>
        <v>18.296593333333334</v>
      </c>
      <c r="H668" s="1055">
        <f t="shared" si="72"/>
        <v>18.296593333333334</v>
      </c>
      <c r="I668" s="670">
        <v>0</v>
      </c>
      <c r="J668" s="29">
        <v>0</v>
      </c>
    </row>
    <row r="669" spans="1:10" ht="24.75" customHeight="1" x14ac:dyDescent="0.2">
      <c r="A669" s="663"/>
      <c r="B669" s="926" t="s">
        <v>1698</v>
      </c>
      <c r="C669" s="644">
        <v>0</v>
      </c>
      <c r="D669" s="644">
        <v>0</v>
      </c>
      <c r="E669" s="644">
        <v>0</v>
      </c>
      <c r="F669" s="644"/>
      <c r="G669" s="1051">
        <v>0</v>
      </c>
      <c r="H669" s="1055">
        <v>0</v>
      </c>
      <c r="I669" s="670">
        <v>0</v>
      </c>
      <c r="J669" s="1037">
        <v>0</v>
      </c>
    </row>
    <row r="670" spans="1:10" ht="24.75" customHeight="1" x14ac:dyDescent="0.2">
      <c r="A670" s="663"/>
      <c r="B670" s="926" t="s">
        <v>1699</v>
      </c>
      <c r="C670" s="644">
        <v>2310000</v>
      </c>
      <c r="D670" s="644">
        <v>2310000</v>
      </c>
      <c r="E670" s="644">
        <v>2274800</v>
      </c>
      <c r="F670" s="644"/>
      <c r="G670" s="1051">
        <f t="shared" si="73"/>
        <v>98.476190476190467</v>
      </c>
      <c r="H670" s="1055">
        <f t="shared" si="72"/>
        <v>98.476190476190467</v>
      </c>
      <c r="I670" s="670">
        <v>0</v>
      </c>
      <c r="J670" s="1037">
        <v>0</v>
      </c>
    </row>
    <row r="671" spans="1:10" x14ac:dyDescent="0.2">
      <c r="A671" s="663"/>
      <c r="B671" s="643" t="s">
        <v>770</v>
      </c>
      <c r="C671" s="644">
        <v>0</v>
      </c>
      <c r="D671" s="644">
        <f>5000+15000+157000</f>
        <v>177000</v>
      </c>
      <c r="E671" s="644">
        <v>21000</v>
      </c>
      <c r="F671" s="644"/>
      <c r="G671" s="1051">
        <v>0</v>
      </c>
      <c r="H671" s="1055">
        <f t="shared" si="72"/>
        <v>11.864406779661017</v>
      </c>
      <c r="I671" s="670">
        <f t="shared" si="76"/>
        <v>12.727272727272727</v>
      </c>
      <c r="J671" s="29">
        <v>165000</v>
      </c>
    </row>
    <row r="672" spans="1:10" x14ac:dyDescent="0.2">
      <c r="A672" s="663"/>
      <c r="B672" s="643" t="s">
        <v>1700</v>
      </c>
      <c r="C672" s="644">
        <v>43000</v>
      </c>
      <c r="D672" s="644">
        <v>43000</v>
      </c>
      <c r="E672" s="644">
        <v>43000</v>
      </c>
      <c r="F672" s="644"/>
      <c r="G672" s="1051">
        <f t="shared" si="73"/>
        <v>100</v>
      </c>
      <c r="H672" s="1055">
        <f t="shared" si="72"/>
        <v>100</v>
      </c>
      <c r="I672" s="670">
        <f t="shared" si="76"/>
        <v>100</v>
      </c>
      <c r="J672" s="29">
        <v>43000</v>
      </c>
    </row>
    <row r="673" spans="1:10" x14ac:dyDescent="0.2">
      <c r="A673" s="628"/>
      <c r="B673" s="1123" t="s">
        <v>1987</v>
      </c>
      <c r="C673" s="644">
        <v>0</v>
      </c>
      <c r="D673" s="644">
        <v>0</v>
      </c>
      <c r="E673" s="695">
        <v>265673.13</v>
      </c>
      <c r="F673" s="695"/>
      <c r="G673" s="816">
        <v>0</v>
      </c>
      <c r="H673" s="816">
        <v>0</v>
      </c>
      <c r="I673" s="670">
        <v>0</v>
      </c>
      <c r="J673" s="29">
        <v>0</v>
      </c>
    </row>
    <row r="674" spans="1:10" x14ac:dyDescent="0.2">
      <c r="A674" s="699"/>
      <c r="B674" s="700"/>
      <c r="C674" s="694"/>
      <c r="D674" s="694"/>
      <c r="E674" s="694"/>
      <c r="F674" s="694"/>
      <c r="G674" s="694"/>
      <c r="H674" s="694"/>
      <c r="I674" s="647"/>
    </row>
    <row r="675" spans="1:10" s="85" customFormat="1" ht="20.25" x14ac:dyDescent="0.3">
      <c r="A675" s="853"/>
      <c r="B675" s="854" t="s">
        <v>771</v>
      </c>
      <c r="C675" s="855">
        <f t="shared" ref="C675:D675" si="80">C676</f>
        <v>18717400</v>
      </c>
      <c r="D675" s="855">
        <f t="shared" si="80"/>
        <v>24729128</v>
      </c>
      <c r="E675" s="855">
        <v>6702660.9400000004</v>
      </c>
      <c r="F675" s="1103"/>
      <c r="G675" s="735">
        <f t="shared" si="73"/>
        <v>35.809786295105091</v>
      </c>
      <c r="H675" s="735">
        <f t="shared" si="72"/>
        <v>27.104315768837463</v>
      </c>
      <c r="I675" s="1091">
        <f t="shared" si="76"/>
        <v>105.3107873198619</v>
      </c>
      <c r="J675" s="29">
        <v>6364648.0199999996</v>
      </c>
    </row>
    <row r="676" spans="1:10" x14ac:dyDescent="0.2">
      <c r="A676" s="699">
        <v>4351</v>
      </c>
      <c r="B676" s="626" t="s">
        <v>772</v>
      </c>
      <c r="C676" s="927">
        <f>SUM(C677:C680)</f>
        <v>18717400</v>
      </c>
      <c r="D676" s="927">
        <f>SUM(D677:D680)</f>
        <v>24729128</v>
      </c>
      <c r="E676" s="927">
        <v>6702660.9400000004</v>
      </c>
      <c r="F676" s="970">
        <f>SUM(E677:E680)</f>
        <v>6702660.9400000004</v>
      </c>
      <c r="G676" s="630">
        <f t="shared" si="73"/>
        <v>35.809786295105091</v>
      </c>
      <c r="H676" s="1052">
        <f t="shared" si="72"/>
        <v>27.104315768837463</v>
      </c>
      <c r="I676" s="639">
        <f t="shared" si="76"/>
        <v>105.3107873198619</v>
      </c>
      <c r="J676" s="29">
        <v>6364648.0199999996</v>
      </c>
    </row>
    <row r="677" spans="1:10" ht="60.75" x14ac:dyDescent="0.2">
      <c r="A677" s="664"/>
      <c r="B677" s="917" t="s">
        <v>1701</v>
      </c>
      <c r="C677" s="652">
        <v>8129900</v>
      </c>
      <c r="D677" s="652">
        <f>8129900+3134000+51728-1898394</f>
        <v>9417234</v>
      </c>
      <c r="E677" s="652">
        <v>3053104.89</v>
      </c>
      <c r="F677" s="652"/>
      <c r="G677" s="1051">
        <f t="shared" si="73"/>
        <v>37.55402760181552</v>
      </c>
      <c r="H677" s="1055">
        <f t="shared" si="72"/>
        <v>32.420399556812548</v>
      </c>
      <c r="I677" s="670">
        <f t="shared" si="76"/>
        <v>95.80585056908869</v>
      </c>
      <c r="J677" s="1037">
        <v>3186762.47</v>
      </c>
    </row>
    <row r="678" spans="1:10" x14ac:dyDescent="0.2">
      <c r="A678" s="699"/>
      <c r="B678" s="929" t="s">
        <v>1988</v>
      </c>
      <c r="C678" s="678">
        <v>1900000</v>
      </c>
      <c r="D678" s="678">
        <v>1900000</v>
      </c>
      <c r="E678" s="678">
        <v>537927</v>
      </c>
      <c r="F678" s="678"/>
      <c r="G678" s="1051">
        <f t="shared" si="73"/>
        <v>28.311947368421052</v>
      </c>
      <c r="H678" s="1055">
        <f t="shared" si="72"/>
        <v>28.311947368421052</v>
      </c>
      <c r="I678" s="670">
        <v>0</v>
      </c>
      <c r="J678" s="29">
        <v>0</v>
      </c>
    </row>
    <row r="679" spans="1:10" ht="48.75" x14ac:dyDescent="0.2">
      <c r="A679" s="664"/>
      <c r="B679" s="917" t="s">
        <v>1702</v>
      </c>
      <c r="C679" s="644">
        <v>2171000</v>
      </c>
      <c r="D679" s="644">
        <f>2171000+740000</f>
        <v>2911000</v>
      </c>
      <c r="E679" s="644">
        <v>764244</v>
      </c>
      <c r="F679" s="644"/>
      <c r="G679" s="1051">
        <f t="shared" si="73"/>
        <v>35.202395209580843</v>
      </c>
      <c r="H679" s="1055">
        <f t="shared" si="72"/>
        <v>26.253658536585366</v>
      </c>
      <c r="I679" s="670">
        <f t="shared" si="76"/>
        <v>102.6382501414183</v>
      </c>
      <c r="J679" s="1037">
        <v>744599.6</v>
      </c>
    </row>
    <row r="680" spans="1:10" ht="36.75" x14ac:dyDescent="0.2">
      <c r="A680" s="663"/>
      <c r="B680" s="917" t="s">
        <v>1703</v>
      </c>
      <c r="C680" s="644">
        <v>6516500</v>
      </c>
      <c r="D680" s="644">
        <f>6516500+2086000+1898394</f>
        <v>10500894</v>
      </c>
      <c r="E680" s="644">
        <v>2347385.0499999998</v>
      </c>
      <c r="F680" s="644"/>
      <c r="G680" s="1051">
        <f t="shared" si="73"/>
        <v>36.022175247448779</v>
      </c>
      <c r="H680" s="1055">
        <f t="shared" si="72"/>
        <v>22.354144799480878</v>
      </c>
      <c r="I680" s="670">
        <f t="shared" si="76"/>
        <v>96.469757284383277</v>
      </c>
      <c r="J680" s="1037">
        <v>2433285.9500000002</v>
      </c>
    </row>
    <row r="681" spans="1:10" x14ac:dyDescent="0.2">
      <c r="A681" s="732"/>
      <c r="B681" s="776"/>
      <c r="C681" s="732"/>
      <c r="D681" s="732"/>
      <c r="E681" s="732"/>
      <c r="F681" s="1124"/>
      <c r="G681" s="732"/>
      <c r="H681" s="732"/>
      <c r="I681" s="930"/>
    </row>
    <row r="682" spans="1:10" s="85" customFormat="1" ht="20.25" x14ac:dyDescent="0.3">
      <c r="A682" s="734"/>
      <c r="B682" s="757" t="s">
        <v>1871</v>
      </c>
      <c r="C682" s="859">
        <f>SUM(C683,C684,C685,C686,C687,C688,C689,C690,C694:C697,C702,C703)</f>
        <v>87547000</v>
      </c>
      <c r="D682" s="859">
        <f>SUM(D683,D684,D685,D686,D687,D688,D689,D690,D694:D697,D702,D703)</f>
        <v>92910285</v>
      </c>
      <c r="E682" s="859">
        <v>37230260.5</v>
      </c>
      <c r="F682" s="1084">
        <f>SUM(E683:E690,E694:E697,E702:E703)</f>
        <v>37230260.5</v>
      </c>
      <c r="G682" s="735">
        <f t="shared" si="73"/>
        <v>42.526026591430885</v>
      </c>
      <c r="H682" s="735">
        <f t="shared" si="72"/>
        <v>40.071193948011249</v>
      </c>
      <c r="I682" s="1083">
        <f t="shared" si="76"/>
        <v>161.59627229636257</v>
      </c>
      <c r="J682" s="29">
        <v>23039058.989999998</v>
      </c>
    </row>
    <row r="683" spans="1:10" x14ac:dyDescent="0.2">
      <c r="A683" s="660">
        <v>1014</v>
      </c>
      <c r="B683" s="626" t="s">
        <v>776</v>
      </c>
      <c r="C683" s="637">
        <v>530000</v>
      </c>
      <c r="D683" s="637">
        <v>530000</v>
      </c>
      <c r="E683" s="637">
        <v>112579</v>
      </c>
      <c r="F683" s="644"/>
      <c r="G683" s="630">
        <f t="shared" si="73"/>
        <v>21.24132075471698</v>
      </c>
      <c r="H683" s="1052">
        <f t="shared" si="72"/>
        <v>21.24132075471698</v>
      </c>
      <c r="I683" s="639">
        <f t="shared" si="76"/>
        <v>116.02374498871495</v>
      </c>
      <c r="J683" s="29">
        <v>97031</v>
      </c>
    </row>
    <row r="684" spans="1:10" x14ac:dyDescent="0.2">
      <c r="A684" s="663">
        <v>1031</v>
      </c>
      <c r="B684" s="629" t="s">
        <v>1705</v>
      </c>
      <c r="C684" s="637">
        <v>651000</v>
      </c>
      <c r="D684" s="637">
        <v>651000</v>
      </c>
      <c r="E684" s="637">
        <v>143196.15</v>
      </c>
      <c r="F684" s="644"/>
      <c r="G684" s="630">
        <f t="shared" si="73"/>
        <v>21.996336405529952</v>
      </c>
      <c r="H684" s="1052">
        <f t="shared" ref="H684:H747" si="81">E684/D684*100</f>
        <v>21.996336405529952</v>
      </c>
      <c r="I684" s="639">
        <f t="shared" si="76"/>
        <v>65.731580719472603</v>
      </c>
      <c r="J684" s="29">
        <v>217849.85</v>
      </c>
    </row>
    <row r="685" spans="1:10" x14ac:dyDescent="0.2">
      <c r="A685" s="663">
        <v>1036</v>
      </c>
      <c r="B685" s="629" t="s">
        <v>778</v>
      </c>
      <c r="C685" s="637">
        <v>120000</v>
      </c>
      <c r="D685" s="637">
        <v>120000</v>
      </c>
      <c r="E685" s="637">
        <v>49708</v>
      </c>
      <c r="F685" s="644"/>
      <c r="G685" s="630">
        <f t="shared" si="73"/>
        <v>41.423333333333332</v>
      </c>
      <c r="H685" s="1052">
        <f t="shared" si="81"/>
        <v>41.423333333333332</v>
      </c>
      <c r="I685" s="639">
        <f t="shared" si="76"/>
        <v>100</v>
      </c>
      <c r="J685" s="29">
        <v>49708</v>
      </c>
    </row>
    <row r="686" spans="1:10" s="244" customFormat="1" ht="15.75" x14ac:dyDescent="0.25">
      <c r="A686" s="663">
        <v>1037</v>
      </c>
      <c r="B686" s="629" t="s">
        <v>1706</v>
      </c>
      <c r="C686" s="637">
        <v>21000</v>
      </c>
      <c r="D686" s="637">
        <v>21000</v>
      </c>
      <c r="E686" s="637">
        <v>7650</v>
      </c>
      <c r="F686" s="644"/>
      <c r="G686" s="630">
        <f t="shared" si="73"/>
        <v>36.428571428571423</v>
      </c>
      <c r="H686" s="1052">
        <f t="shared" si="81"/>
        <v>36.428571428571423</v>
      </c>
      <c r="I686" s="639">
        <f t="shared" si="76"/>
        <v>80.526315789473685</v>
      </c>
      <c r="J686" s="29">
        <v>9500</v>
      </c>
    </row>
    <row r="687" spans="1:10" s="98" customFormat="1" x14ac:dyDescent="0.2">
      <c r="A687" s="663">
        <v>1039</v>
      </c>
      <c r="B687" s="629" t="s">
        <v>780</v>
      </c>
      <c r="C687" s="637">
        <v>260000</v>
      </c>
      <c r="D687" s="637">
        <v>260000</v>
      </c>
      <c r="E687" s="637">
        <v>0</v>
      </c>
      <c r="F687" s="644"/>
      <c r="G687" s="630">
        <f t="shared" si="73"/>
        <v>0</v>
      </c>
      <c r="H687" s="1052">
        <f t="shared" si="81"/>
        <v>0</v>
      </c>
      <c r="I687" s="639">
        <v>0</v>
      </c>
      <c r="J687" s="29">
        <v>0</v>
      </c>
    </row>
    <row r="688" spans="1:10" s="98" customFormat="1" x14ac:dyDescent="0.2">
      <c r="A688" s="663">
        <v>2369</v>
      </c>
      <c r="B688" s="629" t="s">
        <v>1707</v>
      </c>
      <c r="C688" s="637">
        <v>370000</v>
      </c>
      <c r="D688" s="637">
        <v>370000</v>
      </c>
      <c r="E688" s="637">
        <v>23344.53</v>
      </c>
      <c r="F688" s="644"/>
      <c r="G688" s="630">
        <f t="shared" ref="G688:G751" si="82">E688/C688*100</f>
        <v>6.3093324324324325</v>
      </c>
      <c r="H688" s="1052">
        <f t="shared" si="81"/>
        <v>6.3093324324324325</v>
      </c>
      <c r="I688" s="639">
        <f t="shared" si="76"/>
        <v>1286.2</v>
      </c>
      <c r="J688" s="29">
        <v>1815</v>
      </c>
    </row>
    <row r="689" spans="1:10" s="98" customFormat="1" x14ac:dyDescent="0.2">
      <c r="A689" s="663">
        <v>3721</v>
      </c>
      <c r="B689" s="629" t="s">
        <v>1708</v>
      </c>
      <c r="C689" s="637">
        <v>50000</v>
      </c>
      <c r="D689" s="637">
        <v>50000</v>
      </c>
      <c r="E689" s="637">
        <v>25200</v>
      </c>
      <c r="F689" s="644"/>
      <c r="G689" s="630">
        <f t="shared" si="82"/>
        <v>50.4</v>
      </c>
      <c r="H689" s="1052">
        <f t="shared" si="81"/>
        <v>50.4</v>
      </c>
      <c r="I689" s="639">
        <f t="shared" si="76"/>
        <v>100</v>
      </c>
      <c r="J689" s="29">
        <v>25200</v>
      </c>
    </row>
    <row r="690" spans="1:10" s="98" customFormat="1" x14ac:dyDescent="0.2">
      <c r="A690" s="663">
        <v>3722</v>
      </c>
      <c r="B690" s="629" t="s">
        <v>783</v>
      </c>
      <c r="C690" s="635">
        <f>SUM(C691:C693)</f>
        <v>37150000</v>
      </c>
      <c r="D690" s="635">
        <f>SUM(D691:D693)</f>
        <v>40813880</v>
      </c>
      <c r="E690" s="635">
        <v>19576854.379999999</v>
      </c>
      <c r="F690" s="652">
        <f>SUM(E691:E693)</f>
        <v>19576854.380000003</v>
      </c>
      <c r="G690" s="630">
        <f t="shared" si="82"/>
        <v>52.696781641991919</v>
      </c>
      <c r="H690" s="1052">
        <f t="shared" si="81"/>
        <v>47.966168323129288</v>
      </c>
      <c r="I690" s="639">
        <f t="shared" si="76"/>
        <v>138.86616063585225</v>
      </c>
      <c r="J690" s="29">
        <v>14097642.140000001</v>
      </c>
    </row>
    <row r="691" spans="1:10" s="98" customFormat="1" x14ac:dyDescent="0.2">
      <c r="A691" s="663"/>
      <c r="B691" s="672" t="s">
        <v>784</v>
      </c>
      <c r="C691" s="644">
        <v>30600000</v>
      </c>
      <c r="D691" s="644">
        <f>30600000+400000-400000</f>
        <v>30600000</v>
      </c>
      <c r="E691" s="644">
        <v>15300000</v>
      </c>
      <c r="F691" s="644"/>
      <c r="G691" s="1051">
        <f t="shared" si="82"/>
        <v>50</v>
      </c>
      <c r="H691" s="1055">
        <f t="shared" si="81"/>
        <v>50</v>
      </c>
      <c r="I691" s="670">
        <f t="shared" si="76"/>
        <v>113.47237481660861</v>
      </c>
      <c r="J691" s="29">
        <v>13483458</v>
      </c>
    </row>
    <row r="692" spans="1:10" s="98" customFormat="1" x14ac:dyDescent="0.2">
      <c r="A692" s="663"/>
      <c r="B692" s="672" t="s">
        <v>785</v>
      </c>
      <c r="C692" s="644">
        <v>3050000</v>
      </c>
      <c r="D692" s="644">
        <v>3050000</v>
      </c>
      <c r="E692" s="644">
        <v>612974.38</v>
      </c>
      <c r="F692" s="644"/>
      <c r="G692" s="1051">
        <f t="shared" si="82"/>
        <v>20.097520655737704</v>
      </c>
      <c r="H692" s="1055">
        <f t="shared" si="81"/>
        <v>20.097520655737704</v>
      </c>
      <c r="I692" s="670">
        <f t="shared" si="76"/>
        <v>128.09177036787111</v>
      </c>
      <c r="J692" s="29">
        <v>478543.14</v>
      </c>
    </row>
    <row r="693" spans="1:10" s="98" customFormat="1" x14ac:dyDescent="0.2">
      <c r="A693" s="663"/>
      <c r="B693" s="650" t="s">
        <v>1989</v>
      </c>
      <c r="C693" s="644">
        <v>3500000</v>
      </c>
      <c r="D693" s="644">
        <f>3500000+3663880</f>
        <v>7163880</v>
      </c>
      <c r="E693" s="644">
        <v>3663880</v>
      </c>
      <c r="F693" s="644"/>
      <c r="G693" s="1051">
        <f t="shared" si="82"/>
        <v>104.68228571428571</v>
      </c>
      <c r="H693" s="1055">
        <f t="shared" si="81"/>
        <v>51.143793586715582</v>
      </c>
      <c r="I693" s="670">
        <f t="shared" si="76"/>
        <v>2701.1596788581624</v>
      </c>
      <c r="J693" s="29">
        <v>135641</v>
      </c>
    </row>
    <row r="694" spans="1:10" s="98" customFormat="1" x14ac:dyDescent="0.2">
      <c r="A694" s="663">
        <v>3725</v>
      </c>
      <c r="B694" s="629" t="s">
        <v>1990</v>
      </c>
      <c r="C694" s="637">
        <v>0</v>
      </c>
      <c r="D694" s="637">
        <v>1650000</v>
      </c>
      <c r="E694" s="637">
        <v>0</v>
      </c>
      <c r="F694" s="644"/>
      <c r="G694" s="630">
        <v>0</v>
      </c>
      <c r="H694" s="1052">
        <f t="shared" si="81"/>
        <v>0</v>
      </c>
      <c r="I694" s="639">
        <v>0</v>
      </c>
      <c r="J694" s="29">
        <v>0</v>
      </c>
    </row>
    <row r="695" spans="1:10" s="98" customFormat="1" x14ac:dyDescent="0.2">
      <c r="A695" s="663">
        <v>3733</v>
      </c>
      <c r="B695" s="629" t="s">
        <v>1710</v>
      </c>
      <c r="C695" s="637">
        <v>65000</v>
      </c>
      <c r="D695" s="637">
        <v>65000</v>
      </c>
      <c r="E695" s="637">
        <v>0</v>
      </c>
      <c r="F695" s="644"/>
      <c r="G695" s="630">
        <f t="shared" si="82"/>
        <v>0</v>
      </c>
      <c r="H695" s="1052">
        <f t="shared" si="81"/>
        <v>0</v>
      </c>
      <c r="I695" s="639">
        <v>0</v>
      </c>
      <c r="J695" s="29">
        <v>0</v>
      </c>
    </row>
    <row r="696" spans="1:10" s="98" customFormat="1" x14ac:dyDescent="0.2">
      <c r="A696" s="663">
        <v>3742</v>
      </c>
      <c r="B696" s="634" t="s">
        <v>1711</v>
      </c>
      <c r="C696" s="637">
        <v>100000</v>
      </c>
      <c r="D696" s="637">
        <v>100000</v>
      </c>
      <c r="E696" s="637">
        <v>0</v>
      </c>
      <c r="F696" s="644"/>
      <c r="G696" s="630">
        <f t="shared" si="82"/>
        <v>0</v>
      </c>
      <c r="H696" s="1052">
        <f t="shared" si="81"/>
        <v>0</v>
      </c>
      <c r="I696" s="639">
        <v>0</v>
      </c>
      <c r="J696" s="29">
        <v>0</v>
      </c>
    </row>
    <row r="697" spans="1:10" s="98" customFormat="1" x14ac:dyDescent="0.2">
      <c r="A697" s="663">
        <v>3745</v>
      </c>
      <c r="B697" s="629" t="s">
        <v>790</v>
      </c>
      <c r="C697" s="635">
        <f>SUM(C698:C701)</f>
        <v>47785000</v>
      </c>
      <c r="D697" s="635">
        <f>SUM(D698:D701)</f>
        <v>47785000</v>
      </c>
      <c r="E697" s="635">
        <v>17283674.440000001</v>
      </c>
      <c r="F697" s="652">
        <f>SUM(E698:E701)</f>
        <v>17283674.440000001</v>
      </c>
      <c r="G697" s="630">
        <f t="shared" si="82"/>
        <v>36.169665041330958</v>
      </c>
      <c r="H697" s="1052">
        <f t="shared" si="81"/>
        <v>36.169665041330958</v>
      </c>
      <c r="I697" s="639">
        <f t="shared" si="76"/>
        <v>202.37752925448987</v>
      </c>
      <c r="J697" s="29">
        <v>8540313</v>
      </c>
    </row>
    <row r="698" spans="1:10" s="98" customFormat="1" x14ac:dyDescent="0.2">
      <c r="A698" s="663"/>
      <c r="B698" s="672" t="s">
        <v>1712</v>
      </c>
      <c r="C698" s="644">
        <v>250000</v>
      </c>
      <c r="D698" s="644">
        <v>250000</v>
      </c>
      <c r="E698" s="644">
        <v>0</v>
      </c>
      <c r="F698" s="644"/>
      <c r="G698" s="1051">
        <f t="shared" si="82"/>
        <v>0</v>
      </c>
      <c r="H698" s="1055">
        <f t="shared" si="81"/>
        <v>0</v>
      </c>
      <c r="I698" s="670">
        <v>0</v>
      </c>
      <c r="J698" s="29">
        <v>0</v>
      </c>
    </row>
    <row r="699" spans="1:10" s="98" customFormat="1" x14ac:dyDescent="0.2">
      <c r="A699" s="664"/>
      <c r="B699" s="672" t="s">
        <v>792</v>
      </c>
      <c r="C699" s="644">
        <v>19450000</v>
      </c>
      <c r="D699" s="644">
        <v>19450000</v>
      </c>
      <c r="E699" s="644">
        <v>9724998</v>
      </c>
      <c r="F699" s="644"/>
      <c r="G699" s="1051">
        <f t="shared" si="82"/>
        <v>49.999989717223656</v>
      </c>
      <c r="H699" s="1055">
        <f t="shared" si="81"/>
        <v>49.999989717223656</v>
      </c>
      <c r="I699" s="670">
        <f t="shared" si="76"/>
        <v>115.7738270620811</v>
      </c>
      <c r="J699" s="29">
        <v>8399997</v>
      </c>
    </row>
    <row r="700" spans="1:10" s="98" customFormat="1" x14ac:dyDescent="0.2">
      <c r="A700" s="664"/>
      <c r="B700" s="672" t="s">
        <v>793</v>
      </c>
      <c r="C700" s="644">
        <v>2150000</v>
      </c>
      <c r="D700" s="644">
        <v>2150000</v>
      </c>
      <c r="E700" s="644">
        <v>520624.4</v>
      </c>
      <c r="F700" s="644"/>
      <c r="G700" s="1051">
        <f t="shared" si="82"/>
        <v>24.215088372093025</v>
      </c>
      <c r="H700" s="1055">
        <f t="shared" si="81"/>
        <v>24.215088372093025</v>
      </c>
      <c r="I700" s="670">
        <f t="shared" si="76"/>
        <v>371.03708771629755</v>
      </c>
      <c r="J700" s="29">
        <v>140316</v>
      </c>
    </row>
    <row r="701" spans="1:10" s="98" customFormat="1" x14ac:dyDescent="0.2">
      <c r="A701" s="663"/>
      <c r="B701" s="650" t="s">
        <v>1713</v>
      </c>
      <c r="C701" s="644">
        <v>25935000</v>
      </c>
      <c r="D701" s="644">
        <v>25935000</v>
      </c>
      <c r="E701" s="644">
        <v>7038052.04</v>
      </c>
      <c r="F701" s="644"/>
      <c r="G701" s="1051">
        <f t="shared" si="82"/>
        <v>27.137274108347793</v>
      </c>
      <c r="H701" s="1055">
        <f t="shared" si="81"/>
        <v>27.137274108347793</v>
      </c>
      <c r="I701" s="670">
        <v>0</v>
      </c>
      <c r="J701" s="29">
        <v>0</v>
      </c>
    </row>
    <row r="702" spans="1:10" x14ac:dyDescent="0.2">
      <c r="A702" s="663">
        <v>3792</v>
      </c>
      <c r="B702" s="629" t="s">
        <v>795</v>
      </c>
      <c r="C702" s="637">
        <v>145000</v>
      </c>
      <c r="D702" s="637">
        <f>145000+(14200+35205)</f>
        <v>194405</v>
      </c>
      <c r="E702" s="637">
        <v>8054</v>
      </c>
      <c r="F702" s="644"/>
      <c r="G702" s="630">
        <f t="shared" si="82"/>
        <v>5.5544827586206891</v>
      </c>
      <c r="H702" s="1052">
        <f t="shared" si="81"/>
        <v>4.1428975592191559</v>
      </c>
      <c r="I702" s="639">
        <v>0</v>
      </c>
      <c r="J702" s="29">
        <v>0</v>
      </c>
    </row>
    <row r="703" spans="1:10" ht="15.75" x14ac:dyDescent="0.25">
      <c r="A703" s="933"/>
      <c r="B703" s="934" t="s">
        <v>1715</v>
      </c>
      <c r="C703" s="935">
        <f>SUM(C704:C705)</f>
        <v>300000</v>
      </c>
      <c r="D703" s="935">
        <f>SUM(D704:D705)</f>
        <v>300000</v>
      </c>
      <c r="E703" s="935">
        <v>0</v>
      </c>
      <c r="F703" s="1125"/>
      <c r="G703" s="623">
        <f t="shared" si="82"/>
        <v>0</v>
      </c>
      <c r="H703" s="623">
        <f t="shared" si="81"/>
        <v>0</v>
      </c>
      <c r="I703" s="741">
        <v>0</v>
      </c>
      <c r="J703" s="29">
        <v>0</v>
      </c>
    </row>
    <row r="704" spans="1:10" x14ac:dyDescent="0.2">
      <c r="A704" s="937" t="s">
        <v>1991</v>
      </c>
      <c r="B704" s="938" t="s">
        <v>600</v>
      </c>
      <c r="C704" s="687">
        <v>150000</v>
      </c>
      <c r="D704" s="687">
        <v>150000</v>
      </c>
      <c r="E704" s="687">
        <v>0</v>
      </c>
      <c r="F704" s="1089"/>
      <c r="G704" s="630">
        <f t="shared" si="82"/>
        <v>0</v>
      </c>
      <c r="H704" s="1052">
        <f t="shared" si="81"/>
        <v>0</v>
      </c>
      <c r="I704" s="639">
        <v>0</v>
      </c>
      <c r="J704" s="29">
        <v>0</v>
      </c>
    </row>
    <row r="705" spans="1:10" x14ac:dyDescent="0.2">
      <c r="A705" s="1126" t="s">
        <v>1992</v>
      </c>
      <c r="B705" s="1127" t="s">
        <v>602</v>
      </c>
      <c r="C705" s="795">
        <v>150000</v>
      </c>
      <c r="D705" s="795">
        <v>150000</v>
      </c>
      <c r="E705" s="795">
        <v>0</v>
      </c>
      <c r="F705" s="816"/>
      <c r="G705" s="630">
        <f t="shared" si="82"/>
        <v>0</v>
      </c>
      <c r="H705" s="1052">
        <f t="shared" si="81"/>
        <v>0</v>
      </c>
      <c r="I705" s="639">
        <v>0</v>
      </c>
      <c r="J705" s="29">
        <v>0</v>
      </c>
    </row>
    <row r="706" spans="1:10" x14ac:dyDescent="0.2">
      <c r="A706" s="1128"/>
      <c r="B706" s="1129"/>
      <c r="C706" s="728"/>
      <c r="D706" s="728"/>
      <c r="E706" s="728"/>
      <c r="F706" s="728"/>
      <c r="G706" s="728"/>
      <c r="H706" s="728"/>
      <c r="I706" s="1130"/>
    </row>
    <row r="707" spans="1:10" s="85" customFormat="1" ht="20.25" x14ac:dyDescent="0.3">
      <c r="A707" s="945"/>
      <c r="B707" s="865" t="s">
        <v>797</v>
      </c>
      <c r="C707" s="855">
        <f>SUM(C708,C709,C737,C771,C820,C828,C829,C833)</f>
        <v>151698000</v>
      </c>
      <c r="D707" s="855">
        <f>SUM(D708,D709,D737,D771,D820,D828,D829,D833)</f>
        <v>144705227.56999999</v>
      </c>
      <c r="E707" s="855">
        <v>54523723.240000002</v>
      </c>
      <c r="F707" s="1092">
        <f>SUM(E708:E709,E737,E771,E820,E828:E829,E833)</f>
        <v>54523723.239999995</v>
      </c>
      <c r="G707" s="735">
        <f t="shared" si="82"/>
        <v>35.942282192250389</v>
      </c>
      <c r="H707" s="735">
        <f t="shared" si="81"/>
        <v>37.679166230276365</v>
      </c>
      <c r="I707" s="1091">
        <f t="shared" ref="I707:I768" si="83">E707/J707*100</f>
        <v>81.072813840716833</v>
      </c>
      <c r="J707" s="29">
        <v>67252782.599999994</v>
      </c>
    </row>
    <row r="708" spans="1:10" ht="12.75" customHeight="1" x14ac:dyDescent="0.2">
      <c r="A708" s="946">
        <v>3122</v>
      </c>
      <c r="B708" s="947" t="s">
        <v>1718</v>
      </c>
      <c r="C708" s="637">
        <v>403000</v>
      </c>
      <c r="D708" s="637">
        <v>403000</v>
      </c>
      <c r="E708" s="637">
        <v>313071.37</v>
      </c>
      <c r="F708" s="644"/>
      <c r="G708" s="630">
        <f t="shared" si="82"/>
        <v>77.685203473945407</v>
      </c>
      <c r="H708" s="1052">
        <f t="shared" si="81"/>
        <v>77.685203473945407</v>
      </c>
      <c r="I708" s="639">
        <v>0</v>
      </c>
      <c r="J708" s="88">
        <v>0</v>
      </c>
    </row>
    <row r="709" spans="1:10" ht="12.75" customHeight="1" x14ac:dyDescent="0.2">
      <c r="A709" s="628">
        <v>3412</v>
      </c>
      <c r="B709" s="629" t="s">
        <v>799</v>
      </c>
      <c r="C709" s="635">
        <f>C710+C726</f>
        <v>55320000</v>
      </c>
      <c r="D709" s="635">
        <f>D710+D726</f>
        <v>55014154.57</v>
      </c>
      <c r="E709" s="635">
        <v>24642083.670000002</v>
      </c>
      <c r="F709" s="652">
        <f>SUM(E710,E726)</f>
        <v>24642083.670000002</v>
      </c>
      <c r="G709" s="630">
        <f t="shared" si="82"/>
        <v>44.544619793926252</v>
      </c>
      <c r="H709" s="1052">
        <f t="shared" si="81"/>
        <v>44.792260941946168</v>
      </c>
      <c r="I709" s="639">
        <f t="shared" si="83"/>
        <v>126.66821702856437</v>
      </c>
      <c r="J709" s="88">
        <v>19454038.469999999</v>
      </c>
    </row>
    <row r="710" spans="1:10" ht="12.75" customHeight="1" x14ac:dyDescent="0.2">
      <c r="A710" s="628"/>
      <c r="B710" s="949" t="s">
        <v>1719</v>
      </c>
      <c r="C710" s="972">
        <f>C711+C714+C722</f>
        <v>33650000</v>
      </c>
      <c r="D710" s="972">
        <f>D711+D714+D722</f>
        <v>35031000</v>
      </c>
      <c r="E710" s="972">
        <v>17485832.5</v>
      </c>
      <c r="F710" s="951">
        <f>SUM(E711,E714,E722)</f>
        <v>17485832.5</v>
      </c>
      <c r="G710" s="1131">
        <f t="shared" si="82"/>
        <v>51.96384101040119</v>
      </c>
      <c r="H710" s="1132">
        <f t="shared" si="81"/>
        <v>49.915310724786615</v>
      </c>
      <c r="I710" s="1133">
        <f t="shared" si="83"/>
        <v>132.71979127134725</v>
      </c>
      <c r="J710" s="88">
        <v>13175000</v>
      </c>
    </row>
    <row r="711" spans="1:10" ht="12.75" customHeight="1" x14ac:dyDescent="0.2">
      <c r="A711" s="628"/>
      <c r="B711" s="720" t="s">
        <v>801</v>
      </c>
      <c r="C711" s="951">
        <f>SUM(C712:C713)</f>
        <v>1680000</v>
      </c>
      <c r="D711" s="951">
        <f>SUM(D712:D713)</f>
        <v>741374</v>
      </c>
      <c r="E711" s="951">
        <v>689946.75</v>
      </c>
      <c r="F711" s="951">
        <f>SUM(E712:E713)</f>
        <v>689946.75</v>
      </c>
      <c r="G711" s="1134">
        <f t="shared" si="82"/>
        <v>41.068258928571424</v>
      </c>
      <c r="H711" s="1135">
        <f t="shared" si="81"/>
        <v>93.0632514763129</v>
      </c>
      <c r="I711" s="1136">
        <v>0</v>
      </c>
      <c r="J711" s="88">
        <v>0</v>
      </c>
    </row>
    <row r="712" spans="1:10" ht="12.75" customHeight="1" x14ac:dyDescent="0.2">
      <c r="A712" s="628"/>
      <c r="B712" s="952" t="s">
        <v>1721</v>
      </c>
      <c r="C712" s="652">
        <v>1500000</v>
      </c>
      <c r="D712" s="652">
        <f>1500000-431000-152880-400000</f>
        <v>516120</v>
      </c>
      <c r="E712" s="652">
        <v>511542.02</v>
      </c>
      <c r="F712" s="652"/>
      <c r="G712" s="1051">
        <f t="shared" si="82"/>
        <v>34.102801333333332</v>
      </c>
      <c r="H712" s="1055">
        <f t="shared" si="81"/>
        <v>99.113000852514915</v>
      </c>
      <c r="I712" s="670">
        <v>0</v>
      </c>
      <c r="J712" s="88">
        <v>0</v>
      </c>
    </row>
    <row r="713" spans="1:10" ht="25.5" x14ac:dyDescent="0.2">
      <c r="A713" s="628"/>
      <c r="B713" s="952" t="s">
        <v>1993</v>
      </c>
      <c r="C713" s="652">
        <v>180000</v>
      </c>
      <c r="D713" s="652">
        <f>180000+45254</f>
        <v>225254</v>
      </c>
      <c r="E713" s="652">
        <v>178404.73</v>
      </c>
      <c r="F713" s="652"/>
      <c r="G713" s="1051">
        <f t="shared" si="82"/>
        <v>99.113738888888889</v>
      </c>
      <c r="H713" s="1055">
        <f t="shared" si="81"/>
        <v>79.201581325969798</v>
      </c>
      <c r="I713" s="670">
        <v>0</v>
      </c>
      <c r="J713" s="32">
        <v>0</v>
      </c>
    </row>
    <row r="714" spans="1:10" s="953" customFormat="1" ht="12.75" customHeight="1" x14ac:dyDescent="0.2">
      <c r="A714" s="628"/>
      <c r="B714" s="954" t="s">
        <v>823</v>
      </c>
      <c r="C714" s="955">
        <f>SUM(C715:C721)</f>
        <v>1900000</v>
      </c>
      <c r="D714" s="955">
        <f>SUM(D715:D721)</f>
        <v>200000</v>
      </c>
      <c r="E714" s="955">
        <v>0</v>
      </c>
      <c r="F714" s="955">
        <f>SUM(E715:E721)</f>
        <v>0</v>
      </c>
      <c r="G714" s="1134">
        <f t="shared" si="82"/>
        <v>0</v>
      </c>
      <c r="H714" s="1135">
        <f t="shared" si="81"/>
        <v>0</v>
      </c>
      <c r="I714" s="1136">
        <v>0</v>
      </c>
      <c r="J714" s="1137">
        <v>0</v>
      </c>
    </row>
    <row r="715" spans="1:10" ht="12.75" customHeight="1" x14ac:dyDescent="0.2">
      <c r="A715" s="628"/>
      <c r="B715" s="668" t="s">
        <v>1723</v>
      </c>
      <c r="C715" s="652">
        <v>150000</v>
      </c>
      <c r="D715" s="652">
        <f>150000-150000</f>
        <v>0</v>
      </c>
      <c r="E715" s="652">
        <v>0</v>
      </c>
      <c r="F715" s="652"/>
      <c r="G715" s="1051">
        <f t="shared" si="82"/>
        <v>0</v>
      </c>
      <c r="H715" s="1055">
        <v>0</v>
      </c>
      <c r="I715" s="670">
        <v>0</v>
      </c>
      <c r="J715" s="88">
        <v>0</v>
      </c>
    </row>
    <row r="716" spans="1:10" ht="12.75" customHeight="1" x14ac:dyDescent="0.2">
      <c r="A716" s="628"/>
      <c r="B716" s="668" t="s">
        <v>1724</v>
      </c>
      <c r="C716" s="694">
        <v>100000</v>
      </c>
      <c r="D716" s="694">
        <f>100000-100000</f>
        <v>0</v>
      </c>
      <c r="E716" s="694">
        <v>0</v>
      </c>
      <c r="F716" s="694"/>
      <c r="G716" s="1051">
        <f t="shared" si="82"/>
        <v>0</v>
      </c>
      <c r="H716" s="1055">
        <v>0</v>
      </c>
      <c r="I716" s="670">
        <v>0</v>
      </c>
      <c r="J716" s="88">
        <v>0</v>
      </c>
    </row>
    <row r="717" spans="1:10" ht="12.75" customHeight="1" x14ac:dyDescent="0.2">
      <c r="A717" s="628"/>
      <c r="B717" s="958" t="s">
        <v>1727</v>
      </c>
      <c r="C717" s="652">
        <v>350000</v>
      </c>
      <c r="D717" s="652">
        <f>350000-250000</f>
        <v>100000</v>
      </c>
      <c r="E717" s="652">
        <v>0</v>
      </c>
      <c r="F717" s="652"/>
      <c r="G717" s="1051">
        <f t="shared" si="82"/>
        <v>0</v>
      </c>
      <c r="H717" s="1055">
        <f t="shared" si="81"/>
        <v>0</v>
      </c>
      <c r="I717" s="670">
        <v>0</v>
      </c>
      <c r="J717" s="88">
        <v>0</v>
      </c>
    </row>
    <row r="718" spans="1:10" ht="12.75" customHeight="1" x14ac:dyDescent="0.2">
      <c r="A718" s="628"/>
      <c r="B718" s="958" t="s">
        <v>1728</v>
      </c>
      <c r="C718" s="652">
        <v>100000</v>
      </c>
      <c r="D718" s="652">
        <f>100000-100000</f>
        <v>0</v>
      </c>
      <c r="E718" s="652">
        <v>0</v>
      </c>
      <c r="F718" s="652"/>
      <c r="G718" s="1051">
        <f t="shared" si="82"/>
        <v>0</v>
      </c>
      <c r="H718" s="1055">
        <v>0</v>
      </c>
      <c r="I718" s="670">
        <v>0</v>
      </c>
      <c r="J718" s="88">
        <v>0</v>
      </c>
    </row>
    <row r="719" spans="1:10" ht="12.75" customHeight="1" x14ac:dyDescent="0.2">
      <c r="A719" s="628"/>
      <c r="B719" s="958" t="s">
        <v>1729</v>
      </c>
      <c r="C719" s="652">
        <v>100000</v>
      </c>
      <c r="D719" s="652">
        <v>100000</v>
      </c>
      <c r="E719" s="652">
        <v>0</v>
      </c>
      <c r="F719" s="652"/>
      <c r="G719" s="1051">
        <f t="shared" si="82"/>
        <v>0</v>
      </c>
      <c r="H719" s="1055">
        <f t="shared" si="81"/>
        <v>0</v>
      </c>
      <c r="I719" s="670">
        <v>0</v>
      </c>
      <c r="J719" s="88">
        <v>0</v>
      </c>
    </row>
    <row r="720" spans="1:10" ht="12.75" customHeight="1" x14ac:dyDescent="0.2">
      <c r="A720" s="628"/>
      <c r="B720" s="958" t="s">
        <v>1730</v>
      </c>
      <c r="C720" s="652">
        <v>800000</v>
      </c>
      <c r="D720" s="652">
        <f>800000-800000</f>
        <v>0</v>
      </c>
      <c r="E720" s="652">
        <v>0</v>
      </c>
      <c r="F720" s="652"/>
      <c r="G720" s="1051">
        <f t="shared" si="82"/>
        <v>0</v>
      </c>
      <c r="H720" s="1055">
        <v>0</v>
      </c>
      <c r="I720" s="670">
        <v>0</v>
      </c>
      <c r="J720" s="88">
        <v>0</v>
      </c>
    </row>
    <row r="721" spans="1:10" ht="12.75" customHeight="1" x14ac:dyDescent="0.2">
      <c r="A721" s="628"/>
      <c r="B721" s="958" t="s">
        <v>1731</v>
      </c>
      <c r="C721" s="652">
        <v>300000</v>
      </c>
      <c r="D721" s="652">
        <f>300000-300000</f>
        <v>0</v>
      </c>
      <c r="E721" s="652">
        <v>0</v>
      </c>
      <c r="F721" s="652"/>
      <c r="G721" s="1051">
        <f t="shared" si="82"/>
        <v>0</v>
      </c>
      <c r="H721" s="1055">
        <v>0</v>
      </c>
      <c r="I721" s="670">
        <v>0</v>
      </c>
      <c r="J721" s="88">
        <v>0</v>
      </c>
    </row>
    <row r="722" spans="1:10" s="98" customFormat="1" ht="12.75" customHeight="1" x14ac:dyDescent="0.2">
      <c r="A722" s="628"/>
      <c r="B722" s="959" t="s">
        <v>813</v>
      </c>
      <c r="C722" s="951">
        <f>SUM(C723:C725)</f>
        <v>30070000</v>
      </c>
      <c r="D722" s="951">
        <f>SUM(D723:D725)</f>
        <v>34089626</v>
      </c>
      <c r="E722" s="951">
        <v>16795885.75</v>
      </c>
      <c r="F722" s="951">
        <f>SUM(E723:E725)</f>
        <v>16795885.75</v>
      </c>
      <c r="G722" s="1134">
        <f t="shared" si="82"/>
        <v>55.855955271034254</v>
      </c>
      <c r="H722" s="1135">
        <f t="shared" si="81"/>
        <v>49.269785916689138</v>
      </c>
      <c r="I722" s="1136">
        <f t="shared" si="83"/>
        <v>127.48300379506641</v>
      </c>
      <c r="J722" s="88">
        <v>13175000</v>
      </c>
    </row>
    <row r="723" spans="1:10" ht="12.75" customHeight="1" x14ac:dyDescent="0.2">
      <c r="A723" s="628"/>
      <c r="B723" s="668" t="s">
        <v>1732</v>
      </c>
      <c r="C723" s="652">
        <v>30020000</v>
      </c>
      <c r="D723" s="652">
        <f>30020000+1812000-45254-20971-13463.31+2100000-63727</f>
        <v>33788584.689999998</v>
      </c>
      <c r="E723" s="652">
        <v>16546584.689999999</v>
      </c>
      <c r="F723" s="652"/>
      <c r="G723" s="1051">
        <f t="shared" si="82"/>
        <v>55.118536608927386</v>
      </c>
      <c r="H723" s="1055">
        <f t="shared" si="81"/>
        <v>48.970931578845011</v>
      </c>
      <c r="I723" s="670">
        <f t="shared" si="83"/>
        <v>125.74875616030097</v>
      </c>
      <c r="J723" s="88">
        <v>13158448</v>
      </c>
    </row>
    <row r="724" spans="1:10" ht="12.75" customHeight="1" x14ac:dyDescent="0.2">
      <c r="A724" s="628"/>
      <c r="B724" s="679" t="s">
        <v>1994</v>
      </c>
      <c r="C724" s="652">
        <v>0</v>
      </c>
      <c r="D724" s="652">
        <f>152880+20971+13463.31+63727</f>
        <v>251041.31</v>
      </c>
      <c r="E724" s="652">
        <v>249301.06</v>
      </c>
      <c r="F724" s="652"/>
      <c r="G724" s="1051">
        <v>0</v>
      </c>
      <c r="H724" s="1055">
        <f t="shared" si="81"/>
        <v>99.306787396863101</v>
      </c>
      <c r="I724" s="670">
        <f t="shared" si="83"/>
        <v>1506.1688013533108</v>
      </c>
      <c r="J724" s="88">
        <v>16552</v>
      </c>
    </row>
    <row r="725" spans="1:10" ht="12.75" customHeight="1" x14ac:dyDescent="0.2">
      <c r="A725" s="628"/>
      <c r="B725" s="679" t="s">
        <v>1733</v>
      </c>
      <c r="C725" s="652">
        <v>50000</v>
      </c>
      <c r="D725" s="652">
        <f>50000</f>
        <v>50000</v>
      </c>
      <c r="E725" s="652">
        <v>0</v>
      </c>
      <c r="F725" s="652"/>
      <c r="G725" s="1051">
        <f t="shared" si="82"/>
        <v>0</v>
      </c>
      <c r="H725" s="1055">
        <f t="shared" si="81"/>
        <v>0</v>
      </c>
      <c r="I725" s="670">
        <v>0</v>
      </c>
      <c r="J725" s="88">
        <v>0</v>
      </c>
    </row>
    <row r="726" spans="1:10" s="98" customFormat="1" ht="12.75" customHeight="1" x14ac:dyDescent="0.2">
      <c r="A726" s="628"/>
      <c r="B726" s="960" t="s">
        <v>1734</v>
      </c>
      <c r="C726" s="972">
        <f>C727+C730+C733</f>
        <v>21670000</v>
      </c>
      <c r="D726" s="972">
        <f>D727+D730+D733</f>
        <v>19983154.57</v>
      </c>
      <c r="E726" s="972">
        <v>7156251.1699999999</v>
      </c>
      <c r="F726" s="951">
        <f>SUM(E727,E730,E733)</f>
        <v>7156251.1699999999</v>
      </c>
      <c r="G726" s="1131">
        <f t="shared" si="82"/>
        <v>33.023770973696351</v>
      </c>
      <c r="H726" s="1132">
        <f t="shared" si="81"/>
        <v>35.811418787419207</v>
      </c>
      <c r="I726" s="1133">
        <f t="shared" si="83"/>
        <v>113.97049411611584</v>
      </c>
      <c r="J726" s="88">
        <v>6279038.4699999997</v>
      </c>
    </row>
    <row r="727" spans="1:10" ht="12.75" customHeight="1" x14ac:dyDescent="0.2">
      <c r="A727" s="649"/>
      <c r="B727" s="720" t="s">
        <v>801</v>
      </c>
      <c r="C727" s="951">
        <f>C728+C729</f>
        <v>5500000</v>
      </c>
      <c r="D727" s="951">
        <f>D728+D729</f>
        <v>5931000</v>
      </c>
      <c r="E727" s="951">
        <v>0</v>
      </c>
      <c r="F727" s="951">
        <f>SUM(E728:E729)</f>
        <v>0</v>
      </c>
      <c r="G727" s="1134">
        <f t="shared" si="82"/>
        <v>0</v>
      </c>
      <c r="H727" s="1135">
        <f t="shared" si="81"/>
        <v>0</v>
      </c>
      <c r="I727" s="1136">
        <v>0</v>
      </c>
      <c r="J727" s="88">
        <v>0</v>
      </c>
    </row>
    <row r="728" spans="1:10" ht="12.75" customHeight="1" x14ac:dyDescent="0.2">
      <c r="A728" s="649"/>
      <c r="B728" s="672" t="s">
        <v>1735</v>
      </c>
      <c r="C728" s="652">
        <v>4650000</v>
      </c>
      <c r="D728" s="652">
        <f>4650000+431000</f>
        <v>5081000</v>
      </c>
      <c r="E728" s="652">
        <v>0</v>
      </c>
      <c r="F728" s="652"/>
      <c r="G728" s="1051">
        <f t="shared" si="82"/>
        <v>0</v>
      </c>
      <c r="H728" s="1055">
        <f t="shared" si="81"/>
        <v>0</v>
      </c>
      <c r="I728" s="670">
        <v>0</v>
      </c>
      <c r="J728" s="88">
        <v>0</v>
      </c>
    </row>
    <row r="729" spans="1:10" ht="12.75" customHeight="1" x14ac:dyDescent="0.2">
      <c r="A729" s="649"/>
      <c r="B729" s="672" t="s">
        <v>1736</v>
      </c>
      <c r="C729" s="652">
        <v>850000</v>
      </c>
      <c r="D729" s="652">
        <v>850000</v>
      </c>
      <c r="E729" s="652">
        <v>0</v>
      </c>
      <c r="F729" s="652"/>
      <c r="G729" s="1051">
        <f t="shared" si="82"/>
        <v>0</v>
      </c>
      <c r="H729" s="1055">
        <f t="shared" si="81"/>
        <v>0</v>
      </c>
      <c r="I729" s="670">
        <v>0</v>
      </c>
      <c r="J729" s="88">
        <v>0</v>
      </c>
    </row>
    <row r="730" spans="1:10" ht="12.75" customHeight="1" x14ac:dyDescent="0.2">
      <c r="A730" s="649"/>
      <c r="B730" s="720" t="s">
        <v>813</v>
      </c>
      <c r="C730" s="961">
        <f>SUM(C731:C732)</f>
        <v>14350000</v>
      </c>
      <c r="D730" s="961">
        <f>SUM(D731:D732)</f>
        <v>13732154.57</v>
      </c>
      <c r="E730" s="961">
        <v>7156251.1699999999</v>
      </c>
      <c r="F730" s="961">
        <f>SUM(E731:E732)</f>
        <v>7156251.1699999999</v>
      </c>
      <c r="G730" s="1134">
        <f t="shared" si="82"/>
        <v>49.869346132404182</v>
      </c>
      <c r="H730" s="1135">
        <f t="shared" si="81"/>
        <v>52.113098010372894</v>
      </c>
      <c r="I730" s="1136">
        <f t="shared" si="83"/>
        <v>113.97049411611584</v>
      </c>
      <c r="J730" s="88">
        <v>6279038.4699999997</v>
      </c>
    </row>
    <row r="731" spans="1:10" ht="12.75" customHeight="1" x14ac:dyDescent="0.2">
      <c r="A731" s="649"/>
      <c r="B731" s="668" t="s">
        <v>1737</v>
      </c>
      <c r="C731" s="652">
        <v>14300000</v>
      </c>
      <c r="D731" s="652">
        <f>14300000-617845.43</f>
        <v>13682154.57</v>
      </c>
      <c r="E731" s="652">
        <v>7147751.1699999999</v>
      </c>
      <c r="F731" s="652"/>
      <c r="G731" s="1051">
        <f t="shared" si="82"/>
        <v>49.984273916083914</v>
      </c>
      <c r="H731" s="1055">
        <f t="shared" si="81"/>
        <v>52.24141514723437</v>
      </c>
      <c r="I731" s="670">
        <f t="shared" si="83"/>
        <v>114.3656020888878</v>
      </c>
      <c r="J731" s="88">
        <v>6249913.4699999997</v>
      </c>
    </row>
    <row r="732" spans="1:10" ht="12.75" customHeight="1" x14ac:dyDescent="0.2">
      <c r="A732" s="649"/>
      <c r="B732" s="962" t="s">
        <v>1738</v>
      </c>
      <c r="C732" s="652">
        <v>50000</v>
      </c>
      <c r="D732" s="652">
        <v>50000</v>
      </c>
      <c r="E732" s="652">
        <v>8500</v>
      </c>
      <c r="F732" s="652"/>
      <c r="G732" s="1051">
        <f t="shared" si="82"/>
        <v>17</v>
      </c>
      <c r="H732" s="1055">
        <f t="shared" si="81"/>
        <v>17</v>
      </c>
      <c r="I732" s="670">
        <v>0</v>
      </c>
      <c r="J732" s="88">
        <v>0</v>
      </c>
    </row>
    <row r="733" spans="1:10" ht="12.75" customHeight="1" x14ac:dyDescent="0.2">
      <c r="A733" s="649"/>
      <c r="B733" s="720" t="s">
        <v>823</v>
      </c>
      <c r="C733" s="951">
        <f>SUM(C734:C736)</f>
        <v>1820000</v>
      </c>
      <c r="D733" s="951">
        <f>SUM(D734:D736)</f>
        <v>320000</v>
      </c>
      <c r="E733" s="951">
        <v>0</v>
      </c>
      <c r="F733" s="951">
        <f>SUM(E734:E736)</f>
        <v>0</v>
      </c>
      <c r="G733" s="1134">
        <f t="shared" si="82"/>
        <v>0</v>
      </c>
      <c r="H733" s="1135">
        <f t="shared" si="81"/>
        <v>0</v>
      </c>
      <c r="I733" s="1136">
        <v>0</v>
      </c>
      <c r="J733" s="88">
        <v>0</v>
      </c>
    </row>
    <row r="734" spans="1:10" ht="12.75" customHeight="1" x14ac:dyDescent="0.2">
      <c r="A734" s="649"/>
      <c r="B734" s="672" t="s">
        <v>824</v>
      </c>
      <c r="C734" s="652">
        <v>200000</v>
      </c>
      <c r="D734" s="652">
        <v>200000</v>
      </c>
      <c r="E734" s="652">
        <v>0</v>
      </c>
      <c r="F734" s="652"/>
      <c r="G734" s="1051">
        <f t="shared" si="82"/>
        <v>0</v>
      </c>
      <c r="H734" s="1055">
        <f t="shared" si="81"/>
        <v>0</v>
      </c>
      <c r="I734" s="670">
        <v>0</v>
      </c>
      <c r="J734" s="88">
        <v>0</v>
      </c>
    </row>
    <row r="735" spans="1:10" ht="12.75" customHeight="1" x14ac:dyDescent="0.2">
      <c r="A735" s="649"/>
      <c r="B735" s="672" t="s">
        <v>1740</v>
      </c>
      <c r="C735" s="652">
        <v>120000</v>
      </c>
      <c r="D735" s="652">
        <v>120000</v>
      </c>
      <c r="E735" s="652">
        <v>0</v>
      </c>
      <c r="F735" s="652"/>
      <c r="G735" s="1051">
        <f t="shared" si="82"/>
        <v>0</v>
      </c>
      <c r="H735" s="1055">
        <f t="shared" si="81"/>
        <v>0</v>
      </c>
      <c r="I735" s="670">
        <v>0</v>
      </c>
      <c r="J735" s="88">
        <v>0</v>
      </c>
    </row>
    <row r="736" spans="1:10" ht="12.75" customHeight="1" x14ac:dyDescent="0.2">
      <c r="A736" s="649"/>
      <c r="B736" s="668" t="s">
        <v>826</v>
      </c>
      <c r="C736" s="652">
        <v>1500000</v>
      </c>
      <c r="D736" s="652">
        <f>1500000-1500000</f>
        <v>0</v>
      </c>
      <c r="E736" s="652">
        <v>0</v>
      </c>
      <c r="F736" s="652"/>
      <c r="G736" s="1051">
        <f t="shared" si="82"/>
        <v>0</v>
      </c>
      <c r="H736" s="1055">
        <v>0</v>
      </c>
      <c r="I736" s="670">
        <v>0</v>
      </c>
      <c r="J736" s="88">
        <v>0</v>
      </c>
    </row>
    <row r="737" spans="1:10" ht="12.75" customHeight="1" x14ac:dyDescent="0.2">
      <c r="A737" s="628">
        <v>3612</v>
      </c>
      <c r="B737" s="629" t="s">
        <v>827</v>
      </c>
      <c r="C737" s="635">
        <f>C738+C740</f>
        <v>56000000</v>
      </c>
      <c r="D737" s="635">
        <f>D738+D740</f>
        <v>53313073</v>
      </c>
      <c r="E737" s="635">
        <v>23290671.149999999</v>
      </c>
      <c r="F737" s="652">
        <f>SUM(E738,E740)</f>
        <v>23290671.149999999</v>
      </c>
      <c r="G737" s="630">
        <f t="shared" si="82"/>
        <v>41.590484196428569</v>
      </c>
      <c r="H737" s="1052">
        <f t="shared" si="81"/>
        <v>43.686604128034411</v>
      </c>
      <c r="I737" s="639">
        <f t="shared" si="83"/>
        <v>61.816364155776945</v>
      </c>
      <c r="J737" s="88">
        <v>37677193.520000003</v>
      </c>
    </row>
    <row r="738" spans="1:10" ht="12.75" customHeight="1" x14ac:dyDescent="0.2">
      <c r="A738" s="649"/>
      <c r="B738" s="720" t="s">
        <v>801</v>
      </c>
      <c r="C738" s="951">
        <f>SUM(C739)</f>
        <v>1000000</v>
      </c>
      <c r="D738" s="951">
        <f>SUM(D739)</f>
        <v>1000000</v>
      </c>
      <c r="E738" s="951">
        <v>192390</v>
      </c>
      <c r="F738" s="951"/>
      <c r="G738" s="1134">
        <f t="shared" si="82"/>
        <v>19.239000000000001</v>
      </c>
      <c r="H738" s="1135">
        <f t="shared" si="81"/>
        <v>19.239000000000001</v>
      </c>
      <c r="I738" s="1136">
        <f t="shared" si="83"/>
        <v>0.97497374856956676</v>
      </c>
      <c r="J738" s="88">
        <v>19732838.989999998</v>
      </c>
    </row>
    <row r="739" spans="1:10" ht="12.75" customHeight="1" x14ac:dyDescent="0.2">
      <c r="A739" s="649"/>
      <c r="B739" s="672" t="s">
        <v>1742</v>
      </c>
      <c r="C739" s="652">
        <v>1000000</v>
      </c>
      <c r="D739" s="652">
        <v>1000000</v>
      </c>
      <c r="E739" s="652">
        <v>192390</v>
      </c>
      <c r="F739" s="652"/>
      <c r="G739" s="1051">
        <f t="shared" si="82"/>
        <v>19.239000000000001</v>
      </c>
      <c r="H739" s="1055">
        <f t="shared" si="81"/>
        <v>19.239000000000001</v>
      </c>
      <c r="I739" s="670">
        <v>0</v>
      </c>
      <c r="J739" s="88">
        <v>0</v>
      </c>
    </row>
    <row r="740" spans="1:10" ht="12.75" customHeight="1" x14ac:dyDescent="0.2">
      <c r="A740" s="628"/>
      <c r="B740" s="963" t="s">
        <v>838</v>
      </c>
      <c r="C740" s="964">
        <f>C741+C746+C750+C757+C761+C762+C763+C764+C765+C770</f>
        <v>55000000</v>
      </c>
      <c r="D740" s="964">
        <f>D741+D746+D750+D757+D761+D762+D763+D764+D765+D770</f>
        <v>52313073</v>
      </c>
      <c r="E740" s="964">
        <v>23098281.149999999</v>
      </c>
      <c r="F740" s="964"/>
      <c r="G740" s="1134">
        <f t="shared" si="82"/>
        <v>41.996874818181816</v>
      </c>
      <c r="H740" s="1135">
        <f t="shared" si="81"/>
        <v>44.153936722470874</v>
      </c>
      <c r="I740" s="1136">
        <f t="shared" si="83"/>
        <v>128.72171641160725</v>
      </c>
      <c r="J740" s="88">
        <v>17944354.530000001</v>
      </c>
    </row>
    <row r="741" spans="1:10" s="488" customFormat="1" ht="12.75" customHeight="1" x14ac:dyDescent="0.2">
      <c r="A741" s="965"/>
      <c r="B741" s="949" t="s">
        <v>839</v>
      </c>
      <c r="C741" s="966">
        <f>SUM(C742:C745)</f>
        <v>10750000</v>
      </c>
      <c r="D741" s="966">
        <f>SUM(D742:D745)</f>
        <v>8050000</v>
      </c>
      <c r="E741" s="966">
        <v>3338971.31</v>
      </c>
      <c r="F741" s="1138">
        <f>SUM(E742:E745)</f>
        <v>3338971.31</v>
      </c>
      <c r="G741" s="1131">
        <f t="shared" si="82"/>
        <v>31.06019823255814</v>
      </c>
      <c r="H741" s="1132">
        <f t="shared" si="81"/>
        <v>41.477904472049694</v>
      </c>
      <c r="I741" s="1133">
        <f t="shared" si="83"/>
        <v>169.33327500523586</v>
      </c>
      <c r="J741" s="88">
        <v>1971834.13</v>
      </c>
    </row>
    <row r="742" spans="1:10" ht="12.75" customHeight="1" x14ac:dyDescent="0.2">
      <c r="A742" s="628"/>
      <c r="B742" s="668" t="s">
        <v>1747</v>
      </c>
      <c r="C742" s="712">
        <v>5750000</v>
      </c>
      <c r="D742" s="712">
        <f>5750000-700000</f>
        <v>5050000</v>
      </c>
      <c r="E742" s="712">
        <v>2602511.31</v>
      </c>
      <c r="F742" s="712"/>
      <c r="G742" s="1051">
        <f t="shared" si="82"/>
        <v>45.261066260869562</v>
      </c>
      <c r="H742" s="1055">
        <f t="shared" si="81"/>
        <v>51.534877425742579</v>
      </c>
      <c r="I742" s="670">
        <f t="shared" si="83"/>
        <v>131.98429170104689</v>
      </c>
      <c r="J742" s="88">
        <v>1971834.13</v>
      </c>
    </row>
    <row r="743" spans="1:10" ht="12.75" customHeight="1" x14ac:dyDescent="0.2">
      <c r="A743" s="628"/>
      <c r="B743" s="668" t="s">
        <v>1748</v>
      </c>
      <c r="C743" s="709">
        <v>1000000</v>
      </c>
      <c r="D743" s="709">
        <v>1000000</v>
      </c>
      <c r="E743" s="709">
        <v>0</v>
      </c>
      <c r="F743" s="709"/>
      <c r="G743" s="1051">
        <f t="shared" si="82"/>
        <v>0</v>
      </c>
      <c r="H743" s="1055">
        <f t="shared" si="81"/>
        <v>0</v>
      </c>
      <c r="I743" s="670">
        <v>0</v>
      </c>
      <c r="J743" s="88">
        <v>0</v>
      </c>
    </row>
    <row r="744" spans="1:10" ht="12.75" customHeight="1" x14ac:dyDescent="0.2">
      <c r="A744" s="628"/>
      <c r="B744" s="668" t="s">
        <v>1749</v>
      </c>
      <c r="C744" s="709">
        <v>2000000</v>
      </c>
      <c r="D744" s="709">
        <v>2000000</v>
      </c>
      <c r="E744" s="709">
        <v>736460</v>
      </c>
      <c r="F744" s="709"/>
      <c r="G744" s="1051">
        <f t="shared" si="82"/>
        <v>36.823</v>
      </c>
      <c r="H744" s="1055">
        <f t="shared" si="81"/>
        <v>36.823</v>
      </c>
      <c r="I744" s="670">
        <v>0</v>
      </c>
      <c r="J744" s="88">
        <v>0</v>
      </c>
    </row>
    <row r="745" spans="1:10" ht="12.75" customHeight="1" x14ac:dyDescent="0.2">
      <c r="A745" s="628"/>
      <c r="B745" s="668" t="s">
        <v>1751</v>
      </c>
      <c r="C745" s="709">
        <v>2000000</v>
      </c>
      <c r="D745" s="709">
        <f>2000000-1500000-500000</f>
        <v>0</v>
      </c>
      <c r="E745" s="709">
        <v>0</v>
      </c>
      <c r="F745" s="709"/>
      <c r="G745" s="1051">
        <f t="shared" si="82"/>
        <v>0</v>
      </c>
      <c r="H745" s="1055">
        <v>0</v>
      </c>
      <c r="I745" s="670">
        <v>0</v>
      </c>
      <c r="J745" s="88">
        <v>0</v>
      </c>
    </row>
    <row r="746" spans="1:10" s="98" customFormat="1" ht="12.75" customHeight="1" x14ac:dyDescent="0.2">
      <c r="A746" s="628"/>
      <c r="B746" s="971" t="s">
        <v>1753</v>
      </c>
      <c r="C746" s="972">
        <f>SUM(C747:C748)</f>
        <v>3400000</v>
      </c>
      <c r="D746" s="972">
        <f>D747+D748</f>
        <v>3400000</v>
      </c>
      <c r="E746" s="972">
        <v>745281.06</v>
      </c>
      <c r="F746" s="951">
        <f>SUM(E747:E749)</f>
        <v>745281.06</v>
      </c>
      <c r="G746" s="1131">
        <f t="shared" si="82"/>
        <v>21.920031176470587</v>
      </c>
      <c r="H746" s="1132">
        <f t="shared" si="81"/>
        <v>21.920031176470587</v>
      </c>
      <c r="I746" s="1133">
        <f t="shared" si="83"/>
        <v>38.402303615544852</v>
      </c>
      <c r="J746" s="88">
        <v>1940719.67</v>
      </c>
    </row>
    <row r="747" spans="1:10" ht="12.75" customHeight="1" x14ac:dyDescent="0.2">
      <c r="A747" s="649"/>
      <c r="B747" s="668" t="s">
        <v>1754</v>
      </c>
      <c r="C747" s="652">
        <v>3000000</v>
      </c>
      <c r="D747" s="652">
        <v>3000000</v>
      </c>
      <c r="E747" s="652">
        <v>745281.06</v>
      </c>
      <c r="F747" s="652"/>
      <c r="G747" s="1051">
        <f t="shared" si="82"/>
        <v>24.842702000000003</v>
      </c>
      <c r="H747" s="1055">
        <f t="shared" si="81"/>
        <v>24.842702000000003</v>
      </c>
      <c r="I747" s="670">
        <f t="shared" si="83"/>
        <v>38.402303615544852</v>
      </c>
      <c r="J747" s="88">
        <v>1940719.67</v>
      </c>
    </row>
    <row r="748" spans="1:10" ht="12.75" customHeight="1" x14ac:dyDescent="0.2">
      <c r="A748" s="649"/>
      <c r="B748" s="679" t="s">
        <v>845</v>
      </c>
      <c r="C748" s="652">
        <f>SUM(C749)</f>
        <v>400000</v>
      </c>
      <c r="D748" s="652">
        <f>SUM(D749)</f>
        <v>400000</v>
      </c>
      <c r="E748" s="652">
        <v>0</v>
      </c>
      <c r="F748" s="652"/>
      <c r="G748" s="1051">
        <f t="shared" si="82"/>
        <v>0</v>
      </c>
      <c r="H748" s="1055">
        <f t="shared" ref="H748:H811" si="84">E748/D748*100</f>
        <v>0</v>
      </c>
      <c r="I748" s="670">
        <v>0</v>
      </c>
      <c r="J748" s="88">
        <v>0</v>
      </c>
    </row>
    <row r="749" spans="1:10" ht="12.75" customHeight="1" x14ac:dyDescent="0.2">
      <c r="A749" s="649"/>
      <c r="B749" s="679" t="s">
        <v>1755</v>
      </c>
      <c r="C749" s="652">
        <v>400000</v>
      </c>
      <c r="D749" s="652">
        <v>400000</v>
      </c>
      <c r="E749" s="652">
        <v>0</v>
      </c>
      <c r="F749" s="652"/>
      <c r="G749" s="1051">
        <f t="shared" si="82"/>
        <v>0</v>
      </c>
      <c r="H749" s="1055">
        <f t="shared" si="84"/>
        <v>0</v>
      </c>
      <c r="I749" s="670">
        <v>0</v>
      </c>
      <c r="J749" s="88">
        <v>0</v>
      </c>
    </row>
    <row r="750" spans="1:10" s="488" customFormat="1" ht="12.75" customHeight="1" x14ac:dyDescent="0.2">
      <c r="A750" s="969"/>
      <c r="B750" s="973" t="s">
        <v>1759</v>
      </c>
      <c r="C750" s="972">
        <f t="shared" ref="C750:D750" si="85">C751+C752</f>
        <v>5350000</v>
      </c>
      <c r="D750" s="972">
        <f t="shared" si="85"/>
        <v>5363073</v>
      </c>
      <c r="E750" s="972">
        <v>970560.17</v>
      </c>
      <c r="F750" s="951">
        <f>SUM(E751:E756)</f>
        <v>970560.17</v>
      </c>
      <c r="G750" s="1131">
        <f t="shared" si="82"/>
        <v>18.141311588785047</v>
      </c>
      <c r="H750" s="1132">
        <f t="shared" si="84"/>
        <v>18.097090418124086</v>
      </c>
      <c r="I750" s="1133">
        <f t="shared" si="83"/>
        <v>50.352418620439011</v>
      </c>
      <c r="J750" s="88">
        <v>1927534.36</v>
      </c>
    </row>
    <row r="751" spans="1:10" s="488" customFormat="1" ht="12.75" customHeight="1" x14ac:dyDescent="0.2">
      <c r="A751" s="969"/>
      <c r="B751" s="974" t="s">
        <v>844</v>
      </c>
      <c r="C751" s="975">
        <v>3000000</v>
      </c>
      <c r="D751" s="975">
        <v>3000000</v>
      </c>
      <c r="E751" s="975">
        <v>970560.17</v>
      </c>
      <c r="F751" s="975"/>
      <c r="G751" s="1051">
        <f t="shared" si="82"/>
        <v>32.352005666666663</v>
      </c>
      <c r="H751" s="1055">
        <f t="shared" si="84"/>
        <v>32.352005666666663</v>
      </c>
      <c r="I751" s="670">
        <f t="shared" si="83"/>
        <v>55.237416928189141</v>
      </c>
      <c r="J751" s="88">
        <v>1757070.16</v>
      </c>
    </row>
    <row r="752" spans="1:10" s="488" customFormat="1" ht="12.75" customHeight="1" x14ac:dyDescent="0.2">
      <c r="A752" s="649"/>
      <c r="B752" s="679" t="s">
        <v>849</v>
      </c>
      <c r="C752" s="652">
        <f>SUM(C753:C756)</f>
        <v>2350000</v>
      </c>
      <c r="D752" s="652">
        <f>SUM(D753:D756)</f>
        <v>2363073</v>
      </c>
      <c r="E752" s="652">
        <v>0</v>
      </c>
      <c r="F752" s="652"/>
      <c r="G752" s="1051">
        <f t="shared" ref="G752:G815" si="86">E752/C752*100</f>
        <v>0</v>
      </c>
      <c r="H752" s="1055">
        <f t="shared" si="84"/>
        <v>0</v>
      </c>
      <c r="I752" s="670">
        <f t="shared" si="83"/>
        <v>0</v>
      </c>
      <c r="J752" s="88">
        <v>170464.3</v>
      </c>
    </row>
    <row r="753" spans="1:10" ht="12.75" customHeight="1" x14ac:dyDescent="0.2">
      <c r="A753" s="649"/>
      <c r="B753" s="672" t="s">
        <v>1760</v>
      </c>
      <c r="C753" s="652">
        <v>500000</v>
      </c>
      <c r="D753" s="652">
        <v>500000</v>
      </c>
      <c r="E753" s="652">
        <v>0</v>
      </c>
      <c r="F753" s="652"/>
      <c r="G753" s="1051">
        <f t="shared" si="86"/>
        <v>0</v>
      </c>
      <c r="H753" s="1055">
        <f t="shared" si="84"/>
        <v>0</v>
      </c>
      <c r="I753" s="670">
        <v>0</v>
      </c>
      <c r="J753" s="88">
        <v>0</v>
      </c>
    </row>
    <row r="754" spans="1:10" ht="12.75" customHeight="1" x14ac:dyDescent="0.2">
      <c r="A754" s="649"/>
      <c r="B754" s="679" t="s">
        <v>1761</v>
      </c>
      <c r="C754" s="644">
        <v>250000</v>
      </c>
      <c r="D754" s="644">
        <f>250000+13073</f>
        <v>263073</v>
      </c>
      <c r="E754" s="644">
        <v>0</v>
      </c>
      <c r="F754" s="644"/>
      <c r="G754" s="1051">
        <f t="shared" si="86"/>
        <v>0</v>
      </c>
      <c r="H754" s="1055">
        <f t="shared" si="84"/>
        <v>0</v>
      </c>
      <c r="I754" s="670">
        <v>0</v>
      </c>
      <c r="J754" s="88">
        <v>0</v>
      </c>
    </row>
    <row r="755" spans="1:10" ht="12.75" customHeight="1" x14ac:dyDescent="0.2">
      <c r="A755" s="969"/>
      <c r="B755" s="668" t="s">
        <v>1762</v>
      </c>
      <c r="C755" s="652">
        <v>600000</v>
      </c>
      <c r="D755" s="652">
        <v>600000</v>
      </c>
      <c r="E755" s="652">
        <v>0</v>
      </c>
      <c r="F755" s="652"/>
      <c r="G755" s="1051">
        <f t="shared" si="86"/>
        <v>0</v>
      </c>
      <c r="H755" s="1055">
        <f t="shared" si="84"/>
        <v>0</v>
      </c>
      <c r="I755" s="670">
        <v>0</v>
      </c>
      <c r="J755" s="88">
        <v>0</v>
      </c>
    </row>
    <row r="756" spans="1:10" ht="12.75" customHeight="1" x14ac:dyDescent="0.2">
      <c r="A756" s="969"/>
      <c r="B756" s="668" t="s">
        <v>1763</v>
      </c>
      <c r="C756" s="652">
        <v>1000000</v>
      </c>
      <c r="D756" s="652">
        <v>1000000</v>
      </c>
      <c r="E756" s="652">
        <v>0</v>
      </c>
      <c r="F756" s="652"/>
      <c r="G756" s="1051">
        <f t="shared" si="86"/>
        <v>0</v>
      </c>
      <c r="H756" s="1055">
        <f t="shared" si="84"/>
        <v>0</v>
      </c>
      <c r="I756" s="670">
        <v>0</v>
      </c>
      <c r="J756" s="88">
        <v>0</v>
      </c>
    </row>
    <row r="757" spans="1:10" s="488" customFormat="1" ht="12.75" customHeight="1" x14ac:dyDescent="0.2">
      <c r="A757" s="969"/>
      <c r="B757" s="976" t="s">
        <v>1766</v>
      </c>
      <c r="C757" s="977">
        <f t="shared" ref="C757:D757" si="87">C758+C759</f>
        <v>2750000</v>
      </c>
      <c r="D757" s="977">
        <f t="shared" si="87"/>
        <v>2750000</v>
      </c>
      <c r="E757" s="977">
        <v>772698</v>
      </c>
      <c r="F757" s="961">
        <f>SUM(E758:E760)</f>
        <v>772698</v>
      </c>
      <c r="G757" s="1131">
        <f t="shared" si="86"/>
        <v>28.098109090909091</v>
      </c>
      <c r="H757" s="1132">
        <f t="shared" si="84"/>
        <v>28.098109090909091</v>
      </c>
      <c r="I757" s="1133">
        <f t="shared" si="83"/>
        <v>122.55260723456225</v>
      </c>
      <c r="J757" s="88">
        <v>630503.11</v>
      </c>
    </row>
    <row r="758" spans="1:10" s="488" customFormat="1" ht="12.75" customHeight="1" x14ac:dyDescent="0.2">
      <c r="A758" s="969"/>
      <c r="B758" s="668" t="s">
        <v>858</v>
      </c>
      <c r="C758" s="644">
        <v>2500000</v>
      </c>
      <c r="D758" s="644">
        <v>2500000</v>
      </c>
      <c r="E758" s="644">
        <v>772698</v>
      </c>
      <c r="F758" s="644"/>
      <c r="G758" s="1051">
        <f t="shared" si="86"/>
        <v>30.907920000000001</v>
      </c>
      <c r="H758" s="1055">
        <f t="shared" si="84"/>
        <v>30.907920000000001</v>
      </c>
      <c r="I758" s="670">
        <f t="shared" si="83"/>
        <v>122.55260723456225</v>
      </c>
      <c r="J758" s="88">
        <v>630503.11</v>
      </c>
    </row>
    <row r="759" spans="1:10" s="488" customFormat="1" ht="12.75" customHeight="1" x14ac:dyDescent="0.2">
      <c r="A759" s="649"/>
      <c r="B759" s="672" t="s">
        <v>859</v>
      </c>
      <c r="C759" s="644">
        <f>SUM(C760)</f>
        <v>250000</v>
      </c>
      <c r="D759" s="644">
        <f>SUM(D760)</f>
        <v>250000</v>
      </c>
      <c r="E759" s="644">
        <v>0</v>
      </c>
      <c r="F759" s="644"/>
      <c r="G759" s="1051">
        <f t="shared" si="86"/>
        <v>0</v>
      </c>
      <c r="H759" s="1055">
        <f t="shared" si="84"/>
        <v>0</v>
      </c>
      <c r="I759" s="670">
        <v>0</v>
      </c>
      <c r="J759" s="88">
        <v>0</v>
      </c>
    </row>
    <row r="760" spans="1:10" ht="12.75" customHeight="1" x14ac:dyDescent="0.2">
      <c r="A760" s="649"/>
      <c r="B760" s="672" t="s">
        <v>863</v>
      </c>
      <c r="C760" s="644">
        <v>250000</v>
      </c>
      <c r="D760" s="644">
        <v>250000</v>
      </c>
      <c r="E760" s="644">
        <v>0</v>
      </c>
      <c r="F760" s="644"/>
      <c r="G760" s="1051">
        <f t="shared" si="86"/>
        <v>0</v>
      </c>
      <c r="H760" s="1055">
        <f t="shared" si="84"/>
        <v>0</v>
      </c>
      <c r="I760" s="670">
        <v>0</v>
      </c>
      <c r="J760" s="88">
        <v>0</v>
      </c>
    </row>
    <row r="761" spans="1:10" s="488" customFormat="1" ht="12.75" customHeight="1" x14ac:dyDescent="0.2">
      <c r="A761" s="969"/>
      <c r="B761" s="980" t="s">
        <v>1768</v>
      </c>
      <c r="C761" s="644">
        <v>400000</v>
      </c>
      <c r="D761" s="644">
        <v>400000</v>
      </c>
      <c r="E761" s="644">
        <v>95302</v>
      </c>
      <c r="F761" s="644"/>
      <c r="G761" s="1051">
        <f t="shared" si="86"/>
        <v>23.825499999999998</v>
      </c>
      <c r="H761" s="1055">
        <f t="shared" si="84"/>
        <v>23.825499999999998</v>
      </c>
      <c r="I761" s="670">
        <f t="shared" si="83"/>
        <v>95.70587880857218</v>
      </c>
      <c r="J761" s="88">
        <v>99578</v>
      </c>
    </row>
    <row r="762" spans="1:10" s="488" customFormat="1" ht="25.5" x14ac:dyDescent="0.2">
      <c r="A762" s="969"/>
      <c r="B762" s="980" t="s">
        <v>1769</v>
      </c>
      <c r="C762" s="644">
        <v>3000000</v>
      </c>
      <c r="D762" s="644">
        <v>3000000</v>
      </c>
      <c r="E762" s="644">
        <v>1162974</v>
      </c>
      <c r="F762" s="644"/>
      <c r="G762" s="1051">
        <f t="shared" si="86"/>
        <v>38.765799999999999</v>
      </c>
      <c r="H762" s="1055">
        <f t="shared" si="84"/>
        <v>38.765799999999999</v>
      </c>
      <c r="I762" s="670">
        <f t="shared" si="83"/>
        <v>104.70974336940888</v>
      </c>
      <c r="J762" s="32">
        <v>1110664.55</v>
      </c>
    </row>
    <row r="763" spans="1:10" s="488" customFormat="1" ht="12.75" customHeight="1" x14ac:dyDescent="0.2">
      <c r="A763" s="969"/>
      <c r="B763" s="981" t="s">
        <v>1770</v>
      </c>
      <c r="C763" s="644">
        <v>100000</v>
      </c>
      <c r="D763" s="644">
        <v>100000</v>
      </c>
      <c r="E763" s="644">
        <v>44485</v>
      </c>
      <c r="F763" s="644"/>
      <c r="G763" s="1051">
        <f t="shared" si="86"/>
        <v>44.484999999999999</v>
      </c>
      <c r="H763" s="1055">
        <f t="shared" si="84"/>
        <v>44.484999999999999</v>
      </c>
      <c r="I763" s="670">
        <f t="shared" si="83"/>
        <v>102.01109888093929</v>
      </c>
      <c r="J763" s="88">
        <v>43608</v>
      </c>
    </row>
    <row r="764" spans="1:10" s="488" customFormat="1" ht="12.75" customHeight="1" x14ac:dyDescent="0.2">
      <c r="A764" s="969"/>
      <c r="B764" s="982" t="s">
        <v>1771</v>
      </c>
      <c r="C764" s="951">
        <v>100000</v>
      </c>
      <c r="D764" s="951">
        <v>100000</v>
      </c>
      <c r="E764" s="951">
        <v>25590</v>
      </c>
      <c r="F764" s="951"/>
      <c r="G764" s="1134">
        <f t="shared" si="86"/>
        <v>25.590000000000003</v>
      </c>
      <c r="H764" s="1135">
        <f t="shared" si="84"/>
        <v>25.590000000000003</v>
      </c>
      <c r="I764" s="1136">
        <f t="shared" si="83"/>
        <v>291.92334017796031</v>
      </c>
      <c r="J764" s="88">
        <v>8766</v>
      </c>
    </row>
    <row r="765" spans="1:10" s="488" customFormat="1" ht="12.75" customHeight="1" x14ac:dyDescent="0.2">
      <c r="A765" s="969"/>
      <c r="B765" s="982" t="s">
        <v>1772</v>
      </c>
      <c r="C765" s="961">
        <f>C766+C767+C768+C769</f>
        <v>29050000</v>
      </c>
      <c r="D765" s="961">
        <f>D766+D767+D768+D769</f>
        <v>29050000</v>
      </c>
      <c r="E765" s="961">
        <v>15943417.789999999</v>
      </c>
      <c r="F765" s="961">
        <f>SUM(E766:E770)</f>
        <v>15943417.789999999</v>
      </c>
      <c r="G765" s="1134">
        <f t="shared" si="86"/>
        <v>54.882677418244405</v>
      </c>
      <c r="H765" s="1135">
        <f t="shared" si="84"/>
        <v>54.882677418244405</v>
      </c>
      <c r="I765" s="1136">
        <f t="shared" si="83"/>
        <v>159.01399708789896</v>
      </c>
      <c r="J765" s="88">
        <v>10026424.140000001</v>
      </c>
    </row>
    <row r="766" spans="1:10" s="488" customFormat="1" ht="12.75" customHeight="1" x14ac:dyDescent="0.2">
      <c r="A766" s="969"/>
      <c r="B766" s="983" t="s">
        <v>1773</v>
      </c>
      <c r="C766" s="652">
        <v>5600000</v>
      </c>
      <c r="D766" s="652">
        <v>5600000</v>
      </c>
      <c r="E766" s="652">
        <v>3984029.68</v>
      </c>
      <c r="F766" s="652"/>
      <c r="G766" s="1051">
        <f t="shared" si="86"/>
        <v>71.143387142857151</v>
      </c>
      <c r="H766" s="1055">
        <f t="shared" si="84"/>
        <v>71.143387142857151</v>
      </c>
      <c r="I766" s="670">
        <f t="shared" si="83"/>
        <v>154.95127755948766</v>
      </c>
      <c r="J766" s="88">
        <v>2571149.94</v>
      </c>
    </row>
    <row r="767" spans="1:10" s="488" customFormat="1" ht="12.75" customHeight="1" x14ac:dyDescent="0.2">
      <c r="A767" s="649"/>
      <c r="B767" s="979" t="s">
        <v>1774</v>
      </c>
      <c r="C767" s="644">
        <v>20000000</v>
      </c>
      <c r="D767" s="644">
        <v>20000000</v>
      </c>
      <c r="E767" s="644">
        <v>10971080.289999999</v>
      </c>
      <c r="F767" s="644"/>
      <c r="G767" s="1051">
        <f t="shared" si="86"/>
        <v>54.855401449999995</v>
      </c>
      <c r="H767" s="1055">
        <f t="shared" si="84"/>
        <v>54.855401449999995</v>
      </c>
      <c r="I767" s="670">
        <f t="shared" si="83"/>
        <v>153.64083291453989</v>
      </c>
      <c r="J767" s="88">
        <v>7140732.1100000003</v>
      </c>
    </row>
    <row r="768" spans="1:10" s="488" customFormat="1" ht="12.75" customHeight="1" x14ac:dyDescent="0.2">
      <c r="A768" s="649"/>
      <c r="B768" s="672" t="s">
        <v>1775</v>
      </c>
      <c r="C768" s="644">
        <v>900000</v>
      </c>
      <c r="D768" s="644">
        <v>900000</v>
      </c>
      <c r="E768" s="644">
        <v>141463.75</v>
      </c>
      <c r="F768" s="644"/>
      <c r="G768" s="1051">
        <f t="shared" si="86"/>
        <v>15.718194444444444</v>
      </c>
      <c r="H768" s="1055">
        <f t="shared" si="84"/>
        <v>15.718194444444444</v>
      </c>
      <c r="I768" s="670">
        <f t="shared" si="83"/>
        <v>185.71218525041141</v>
      </c>
      <c r="J768" s="88">
        <v>76173.649999999994</v>
      </c>
    </row>
    <row r="769" spans="1:10" ht="12.75" customHeight="1" x14ac:dyDescent="0.2">
      <c r="A769" s="649"/>
      <c r="B769" s="668" t="s">
        <v>1776</v>
      </c>
      <c r="C769" s="644">
        <v>2550000</v>
      </c>
      <c r="D769" s="644">
        <v>2550000</v>
      </c>
      <c r="E769" s="644">
        <v>846844.07</v>
      </c>
      <c r="F769" s="644"/>
      <c r="G769" s="1051">
        <f t="shared" si="86"/>
        <v>33.209571372549021</v>
      </c>
      <c r="H769" s="1055">
        <f t="shared" si="84"/>
        <v>33.209571372549021</v>
      </c>
      <c r="I769" s="670">
        <f t="shared" ref="I769:I832" si="88">E769/J769*100</f>
        <v>355.26685915299862</v>
      </c>
      <c r="J769" s="88">
        <v>238368.44</v>
      </c>
    </row>
    <row r="770" spans="1:10" ht="12.75" customHeight="1" x14ac:dyDescent="0.2">
      <c r="A770" s="649"/>
      <c r="B770" s="668" t="s">
        <v>872</v>
      </c>
      <c r="C770" s="644">
        <v>100000</v>
      </c>
      <c r="D770" s="644">
        <v>100000</v>
      </c>
      <c r="E770" s="644">
        <v>0</v>
      </c>
      <c r="F770" s="644"/>
      <c r="G770" s="1051">
        <f t="shared" si="86"/>
        <v>0</v>
      </c>
      <c r="H770" s="1055">
        <f t="shared" si="84"/>
        <v>0</v>
      </c>
      <c r="I770" s="670">
        <v>0</v>
      </c>
      <c r="J770" s="88">
        <v>0</v>
      </c>
    </row>
    <row r="771" spans="1:10" s="98" customFormat="1" ht="12.75" customHeight="1" x14ac:dyDescent="0.2">
      <c r="A771" s="628">
        <v>3613</v>
      </c>
      <c r="B771" s="634" t="s">
        <v>873</v>
      </c>
      <c r="C771" s="637">
        <f>C772+C781+C782+C783+C788+C800+C801</f>
        <v>32875000</v>
      </c>
      <c r="D771" s="637">
        <f>D772+D781+D782+D783+D788+D800+D801</f>
        <v>28875000</v>
      </c>
      <c r="E771" s="637">
        <v>5328536.57</v>
      </c>
      <c r="F771" s="644"/>
      <c r="G771" s="630">
        <f t="shared" si="86"/>
        <v>16.208476258555134</v>
      </c>
      <c r="H771" s="1052">
        <f t="shared" si="84"/>
        <v>18.453806303030305</v>
      </c>
      <c r="I771" s="639">
        <f t="shared" si="88"/>
        <v>58.727956259943205</v>
      </c>
      <c r="J771" s="88">
        <v>9073253.8800000008</v>
      </c>
    </row>
    <row r="772" spans="1:10" s="488" customFormat="1" ht="12.75" customHeight="1" x14ac:dyDescent="0.2">
      <c r="A772" s="984"/>
      <c r="B772" s="985" t="s">
        <v>874</v>
      </c>
      <c r="C772" s="961">
        <f>SUM(C773:C780)</f>
        <v>7570000</v>
      </c>
      <c r="D772" s="961">
        <f>SUM(D773:D780)</f>
        <v>3720000</v>
      </c>
      <c r="E772" s="961">
        <v>0</v>
      </c>
      <c r="F772" s="961">
        <f>SUM(E773:E780)</f>
        <v>0</v>
      </c>
      <c r="G772" s="1134">
        <f t="shared" si="86"/>
        <v>0</v>
      </c>
      <c r="H772" s="1135">
        <f t="shared" si="84"/>
        <v>0</v>
      </c>
      <c r="I772" s="1136">
        <f t="shared" si="88"/>
        <v>0</v>
      </c>
      <c r="J772" s="88">
        <v>4963012.2699999996</v>
      </c>
    </row>
    <row r="773" spans="1:10" ht="12.75" customHeight="1" x14ac:dyDescent="0.2">
      <c r="A773" s="625"/>
      <c r="B773" s="668" t="s">
        <v>1778</v>
      </c>
      <c r="C773" s="644">
        <v>400000</v>
      </c>
      <c r="D773" s="644">
        <v>400000</v>
      </c>
      <c r="E773" s="644">
        <v>0</v>
      </c>
      <c r="F773" s="644"/>
      <c r="G773" s="1051">
        <f t="shared" si="86"/>
        <v>0</v>
      </c>
      <c r="H773" s="1055">
        <f t="shared" si="84"/>
        <v>0</v>
      </c>
      <c r="I773" s="670">
        <v>0</v>
      </c>
      <c r="J773" s="88">
        <v>0</v>
      </c>
    </row>
    <row r="774" spans="1:10" ht="12.75" customHeight="1" x14ac:dyDescent="0.2">
      <c r="A774" s="965"/>
      <c r="B774" s="668" t="s">
        <v>1780</v>
      </c>
      <c r="C774" s="652">
        <v>220000</v>
      </c>
      <c r="D774" s="652">
        <v>220000</v>
      </c>
      <c r="E774" s="652">
        <v>0</v>
      </c>
      <c r="F774" s="652"/>
      <c r="G774" s="1051">
        <f t="shared" si="86"/>
        <v>0</v>
      </c>
      <c r="H774" s="1055">
        <f t="shared" si="84"/>
        <v>0</v>
      </c>
      <c r="I774" s="670">
        <v>0</v>
      </c>
      <c r="J774" s="88">
        <v>0</v>
      </c>
    </row>
    <row r="775" spans="1:10" ht="12.75" customHeight="1" x14ac:dyDescent="0.2">
      <c r="A775" s="628"/>
      <c r="B775" s="986" t="s">
        <v>1995</v>
      </c>
      <c r="C775" s="644">
        <v>150000</v>
      </c>
      <c r="D775" s="644">
        <f>150000+150000</f>
        <v>300000</v>
      </c>
      <c r="E775" s="644">
        <v>0</v>
      </c>
      <c r="F775" s="644"/>
      <c r="G775" s="1051">
        <f t="shared" si="86"/>
        <v>0</v>
      </c>
      <c r="H775" s="1055">
        <f t="shared" si="84"/>
        <v>0</v>
      </c>
      <c r="I775" s="670">
        <v>0</v>
      </c>
      <c r="J775" s="88">
        <v>0</v>
      </c>
    </row>
    <row r="776" spans="1:10" ht="12.75" customHeight="1" x14ac:dyDescent="0.2">
      <c r="A776" s="625"/>
      <c r="B776" s="986" t="s">
        <v>1786</v>
      </c>
      <c r="C776" s="644">
        <v>800000</v>
      </c>
      <c r="D776" s="644">
        <v>800000</v>
      </c>
      <c r="E776" s="644">
        <v>0</v>
      </c>
      <c r="F776" s="644"/>
      <c r="G776" s="1051">
        <f t="shared" si="86"/>
        <v>0</v>
      </c>
      <c r="H776" s="1055">
        <f t="shared" si="84"/>
        <v>0</v>
      </c>
      <c r="I776" s="670">
        <v>0</v>
      </c>
      <c r="J776" s="88">
        <v>0</v>
      </c>
    </row>
    <row r="777" spans="1:10" ht="12.75" customHeight="1" x14ac:dyDescent="0.2">
      <c r="A777" s="625"/>
      <c r="B777" s="672" t="s">
        <v>1787</v>
      </c>
      <c r="C777" s="644">
        <v>4000000</v>
      </c>
      <c r="D777" s="644">
        <f>4000000-4000000</f>
        <v>0</v>
      </c>
      <c r="E777" s="644">
        <v>0</v>
      </c>
      <c r="F777" s="644"/>
      <c r="G777" s="1051">
        <f t="shared" si="86"/>
        <v>0</v>
      </c>
      <c r="H777" s="1055">
        <v>0</v>
      </c>
      <c r="I777" s="670">
        <v>0</v>
      </c>
      <c r="J777" s="88">
        <v>0</v>
      </c>
    </row>
    <row r="778" spans="1:10" ht="13.5" customHeight="1" x14ac:dyDescent="0.2">
      <c r="A778" s="625"/>
      <c r="B778" s="672" t="s">
        <v>1788</v>
      </c>
      <c r="C778" s="644">
        <v>700000</v>
      </c>
      <c r="D778" s="644">
        <v>700000</v>
      </c>
      <c r="E778" s="644">
        <v>0</v>
      </c>
      <c r="F778" s="644"/>
      <c r="G778" s="1051">
        <f t="shared" si="86"/>
        <v>0</v>
      </c>
      <c r="H778" s="1055">
        <f t="shared" si="84"/>
        <v>0</v>
      </c>
      <c r="I778" s="670">
        <v>0</v>
      </c>
      <c r="J778" s="88">
        <v>0</v>
      </c>
    </row>
    <row r="779" spans="1:10" ht="13.5" customHeight="1" x14ac:dyDescent="0.2">
      <c r="A779" s="625"/>
      <c r="B779" s="672" t="s">
        <v>1789</v>
      </c>
      <c r="C779" s="644">
        <v>900000</v>
      </c>
      <c r="D779" s="644">
        <v>900000</v>
      </c>
      <c r="E779" s="644">
        <v>0</v>
      </c>
      <c r="F779" s="644"/>
      <c r="G779" s="1051">
        <f t="shared" si="86"/>
        <v>0</v>
      </c>
      <c r="H779" s="1055">
        <f t="shared" si="84"/>
        <v>0</v>
      </c>
      <c r="I779" s="670">
        <v>0</v>
      </c>
      <c r="J779" s="88">
        <v>0</v>
      </c>
    </row>
    <row r="780" spans="1:10" ht="13.5" customHeight="1" x14ac:dyDescent="0.2">
      <c r="A780" s="625"/>
      <c r="B780" s="987" t="s">
        <v>1790</v>
      </c>
      <c r="C780" s="644">
        <v>400000</v>
      </c>
      <c r="D780" s="644">
        <v>400000</v>
      </c>
      <c r="E780" s="644">
        <v>0</v>
      </c>
      <c r="F780" s="644"/>
      <c r="G780" s="1051">
        <f t="shared" si="86"/>
        <v>0</v>
      </c>
      <c r="H780" s="1055">
        <f t="shared" si="84"/>
        <v>0</v>
      </c>
      <c r="I780" s="670">
        <v>0</v>
      </c>
      <c r="J780" s="88">
        <v>0</v>
      </c>
    </row>
    <row r="781" spans="1:10" ht="13.5" customHeight="1" x14ac:dyDescent="0.2">
      <c r="A781" s="625"/>
      <c r="B781" s="720" t="s">
        <v>1791</v>
      </c>
      <c r="C781" s="951">
        <v>30000</v>
      </c>
      <c r="D781" s="951">
        <f>30000+4000</f>
        <v>34000</v>
      </c>
      <c r="E781" s="951">
        <v>6354</v>
      </c>
      <c r="F781" s="951"/>
      <c r="G781" s="1134">
        <f t="shared" si="86"/>
        <v>21.18</v>
      </c>
      <c r="H781" s="1135">
        <f t="shared" si="84"/>
        <v>18.688235294117646</v>
      </c>
      <c r="I781" s="1136">
        <f t="shared" si="88"/>
        <v>2.6367601463289838</v>
      </c>
      <c r="J781" s="88">
        <v>240977.55</v>
      </c>
    </row>
    <row r="782" spans="1:10" ht="13.5" customHeight="1" x14ac:dyDescent="0.2">
      <c r="A782" s="625"/>
      <c r="B782" s="720" t="s">
        <v>1792</v>
      </c>
      <c r="C782" s="961">
        <v>80000</v>
      </c>
      <c r="D782" s="961">
        <v>80000</v>
      </c>
      <c r="E782" s="961">
        <v>3295</v>
      </c>
      <c r="F782" s="961"/>
      <c r="G782" s="1134">
        <f t="shared" si="86"/>
        <v>4.1187500000000004</v>
      </c>
      <c r="H782" s="1135">
        <f t="shared" si="84"/>
        <v>4.1187500000000004</v>
      </c>
      <c r="I782" s="1136">
        <f t="shared" si="88"/>
        <v>51.148711580254577</v>
      </c>
      <c r="J782" s="88">
        <v>6442</v>
      </c>
    </row>
    <row r="783" spans="1:10" ht="13.5" customHeight="1" x14ac:dyDescent="0.2">
      <c r="A783" s="965"/>
      <c r="B783" s="720" t="s">
        <v>1793</v>
      </c>
      <c r="C783" s="961">
        <f>C784+C785+C786+C787</f>
        <v>7900000</v>
      </c>
      <c r="D783" s="961">
        <f>D784+D785+D786+D787</f>
        <v>7900000</v>
      </c>
      <c r="E783" s="961">
        <v>3055103.03</v>
      </c>
      <c r="F783" s="961">
        <f>SUM(E784:E787)</f>
        <v>3055103.0300000003</v>
      </c>
      <c r="G783" s="1134">
        <f t="shared" si="86"/>
        <v>38.672190253164558</v>
      </c>
      <c r="H783" s="1135">
        <f t="shared" si="84"/>
        <v>38.672190253164558</v>
      </c>
      <c r="I783" s="1136">
        <f t="shared" si="88"/>
        <v>149.38300348070709</v>
      </c>
      <c r="J783" s="88">
        <v>2045147.68</v>
      </c>
    </row>
    <row r="784" spans="1:10" ht="13.5" customHeight="1" x14ac:dyDescent="0.2">
      <c r="A784" s="965"/>
      <c r="B784" s="720" t="s">
        <v>1794</v>
      </c>
      <c r="C784" s="644">
        <v>1000000</v>
      </c>
      <c r="D784" s="644">
        <v>1000000</v>
      </c>
      <c r="E784" s="644">
        <v>272565.49</v>
      </c>
      <c r="F784" s="644"/>
      <c r="G784" s="1051">
        <f t="shared" si="86"/>
        <v>27.256548999999996</v>
      </c>
      <c r="H784" s="1055">
        <f t="shared" si="84"/>
        <v>27.256548999999996</v>
      </c>
      <c r="I784" s="1136">
        <f t="shared" si="88"/>
        <v>51.912778613219267</v>
      </c>
      <c r="J784" s="88">
        <v>525045.07999999996</v>
      </c>
    </row>
    <row r="785" spans="1:10" ht="13.5" customHeight="1" x14ac:dyDescent="0.2">
      <c r="A785" s="965"/>
      <c r="B785" s="720" t="s">
        <v>891</v>
      </c>
      <c r="C785" s="644">
        <v>2000000</v>
      </c>
      <c r="D785" s="644">
        <v>2000000</v>
      </c>
      <c r="E785" s="644">
        <v>730196.54</v>
      </c>
      <c r="F785" s="644"/>
      <c r="G785" s="1051">
        <f t="shared" si="86"/>
        <v>36.509827000000001</v>
      </c>
      <c r="H785" s="1055">
        <f t="shared" si="84"/>
        <v>36.509827000000001</v>
      </c>
      <c r="I785" s="670">
        <f t="shared" si="88"/>
        <v>180.97333233039959</v>
      </c>
      <c r="J785" s="88">
        <v>403482.95</v>
      </c>
    </row>
    <row r="786" spans="1:10" ht="13.5" customHeight="1" x14ac:dyDescent="0.2">
      <c r="A786" s="628"/>
      <c r="B786" s="979" t="s">
        <v>892</v>
      </c>
      <c r="C786" s="652">
        <v>2050000</v>
      </c>
      <c r="D786" s="652">
        <v>2050000</v>
      </c>
      <c r="E786" s="652">
        <v>819129.54</v>
      </c>
      <c r="F786" s="652"/>
      <c r="G786" s="1051">
        <f t="shared" si="86"/>
        <v>39.957538536585368</v>
      </c>
      <c r="H786" s="1055">
        <f t="shared" si="84"/>
        <v>39.957538536585368</v>
      </c>
      <c r="I786" s="670">
        <f t="shared" si="88"/>
        <v>366.54140450683343</v>
      </c>
      <c r="J786" s="88">
        <v>223475.31</v>
      </c>
    </row>
    <row r="787" spans="1:10" ht="13.5" customHeight="1" x14ac:dyDescent="0.2">
      <c r="A787" s="628"/>
      <c r="B787" s="979" t="s">
        <v>1795</v>
      </c>
      <c r="C787" s="652">
        <v>2850000</v>
      </c>
      <c r="D787" s="652">
        <v>2850000</v>
      </c>
      <c r="E787" s="652">
        <v>1233211.46</v>
      </c>
      <c r="F787" s="652"/>
      <c r="G787" s="1051">
        <f t="shared" si="86"/>
        <v>43.270577543859645</v>
      </c>
      <c r="H787" s="1055">
        <f t="shared" si="84"/>
        <v>43.270577543859645</v>
      </c>
      <c r="I787" s="670">
        <f t="shared" si="88"/>
        <v>138.07527011815358</v>
      </c>
      <c r="J787" s="88">
        <v>893144.34</v>
      </c>
    </row>
    <row r="788" spans="1:10" ht="13.5" customHeight="1" x14ac:dyDescent="0.2">
      <c r="A788" s="628"/>
      <c r="B788" s="985" t="s">
        <v>894</v>
      </c>
      <c r="C788" s="951">
        <f>SUM(C789:C799)</f>
        <v>7495000</v>
      </c>
      <c r="D788" s="951">
        <f>SUM(D789:D799)</f>
        <v>7491000</v>
      </c>
      <c r="E788" s="951">
        <v>1671620.88</v>
      </c>
      <c r="F788" s="951">
        <f>SUM(E789:E799)</f>
        <v>1671620.88</v>
      </c>
      <c r="G788" s="1134">
        <f t="shared" si="86"/>
        <v>22.303147164776515</v>
      </c>
      <c r="H788" s="1135">
        <f t="shared" si="84"/>
        <v>22.315056467761313</v>
      </c>
      <c r="I788" s="1136">
        <f t="shared" si="88"/>
        <v>117.59174523012832</v>
      </c>
      <c r="J788" s="88">
        <v>1421546.11</v>
      </c>
    </row>
    <row r="789" spans="1:10" ht="13.5" customHeight="1" x14ac:dyDescent="0.2">
      <c r="A789" s="628"/>
      <c r="B789" s="979" t="s">
        <v>1796</v>
      </c>
      <c r="C789" s="652">
        <v>700000</v>
      </c>
      <c r="D789" s="652">
        <v>700000</v>
      </c>
      <c r="E789" s="652">
        <v>0</v>
      </c>
      <c r="F789" s="652"/>
      <c r="G789" s="1051">
        <f t="shared" si="86"/>
        <v>0</v>
      </c>
      <c r="H789" s="1055">
        <f t="shared" si="84"/>
        <v>0</v>
      </c>
      <c r="I789" s="670">
        <v>0</v>
      </c>
      <c r="J789" s="88">
        <v>0</v>
      </c>
    </row>
    <row r="790" spans="1:10" ht="13.5" customHeight="1" x14ac:dyDescent="0.2">
      <c r="A790" s="628"/>
      <c r="B790" s="679" t="s">
        <v>1797</v>
      </c>
      <c r="C790" s="652">
        <v>1300000</v>
      </c>
      <c r="D790" s="652">
        <v>1300000</v>
      </c>
      <c r="E790" s="652">
        <v>378132.4</v>
      </c>
      <c r="F790" s="652"/>
      <c r="G790" s="1051">
        <f t="shared" si="86"/>
        <v>29.087107692307697</v>
      </c>
      <c r="H790" s="1055">
        <f t="shared" si="84"/>
        <v>29.087107692307697</v>
      </c>
      <c r="I790" s="670">
        <f t="shared" si="88"/>
        <v>96.472040902273321</v>
      </c>
      <c r="J790" s="88">
        <v>391960.61</v>
      </c>
    </row>
    <row r="791" spans="1:10" ht="13.5" customHeight="1" x14ac:dyDescent="0.2">
      <c r="A791" s="628"/>
      <c r="B791" s="679" t="s">
        <v>1798</v>
      </c>
      <c r="C791" s="652">
        <v>50000</v>
      </c>
      <c r="D791" s="652">
        <v>50000</v>
      </c>
      <c r="E791" s="652">
        <v>23319.48</v>
      </c>
      <c r="F791" s="652"/>
      <c r="G791" s="1051">
        <f t="shared" si="86"/>
        <v>46.638960000000004</v>
      </c>
      <c r="H791" s="1055">
        <f t="shared" si="84"/>
        <v>46.638960000000004</v>
      </c>
      <c r="I791" s="670">
        <v>0</v>
      </c>
      <c r="J791" s="88">
        <v>0</v>
      </c>
    </row>
    <row r="792" spans="1:10" ht="13.5" customHeight="1" x14ac:dyDescent="0.2">
      <c r="A792" s="628"/>
      <c r="B792" s="672" t="s">
        <v>900</v>
      </c>
      <c r="C792" s="652">
        <v>100000</v>
      </c>
      <c r="D792" s="652">
        <v>100000</v>
      </c>
      <c r="E792" s="652">
        <v>0</v>
      </c>
      <c r="F792" s="652"/>
      <c r="G792" s="1051">
        <f t="shared" si="86"/>
        <v>0</v>
      </c>
      <c r="H792" s="1055">
        <f t="shared" si="84"/>
        <v>0</v>
      </c>
      <c r="I792" s="670">
        <v>0</v>
      </c>
      <c r="J792" s="88">
        <v>0</v>
      </c>
    </row>
    <row r="793" spans="1:10" ht="13.5" customHeight="1" x14ac:dyDescent="0.2">
      <c r="A793" s="628"/>
      <c r="B793" s="979" t="s">
        <v>1799</v>
      </c>
      <c r="C793" s="652">
        <v>50000</v>
      </c>
      <c r="D793" s="652">
        <f>50000+146700-4000</f>
        <v>192700</v>
      </c>
      <c r="E793" s="652">
        <v>38066</v>
      </c>
      <c r="F793" s="652"/>
      <c r="G793" s="1051">
        <f t="shared" si="86"/>
        <v>76.132000000000005</v>
      </c>
      <c r="H793" s="1055">
        <f t="shared" si="84"/>
        <v>19.754021795537106</v>
      </c>
      <c r="I793" s="670">
        <f t="shared" si="88"/>
        <v>78.648760330578511</v>
      </c>
      <c r="J793" s="88">
        <v>48400</v>
      </c>
    </row>
    <row r="794" spans="1:10" ht="12.75" customHeight="1" x14ac:dyDescent="0.2">
      <c r="A794" s="628"/>
      <c r="B794" s="987" t="s">
        <v>1800</v>
      </c>
      <c r="C794" s="652">
        <v>350000</v>
      </c>
      <c r="D794" s="652">
        <v>350000</v>
      </c>
      <c r="E794" s="652">
        <v>133543</v>
      </c>
      <c r="F794" s="652"/>
      <c r="G794" s="1051">
        <f t="shared" si="86"/>
        <v>38.155142857142863</v>
      </c>
      <c r="H794" s="1055">
        <f t="shared" si="84"/>
        <v>38.155142857142863</v>
      </c>
      <c r="I794" s="670">
        <f t="shared" si="88"/>
        <v>90.973064294180958</v>
      </c>
      <c r="J794" s="88">
        <v>146794</v>
      </c>
    </row>
    <row r="795" spans="1:10" ht="12.75" customHeight="1" x14ac:dyDescent="0.2">
      <c r="A795" s="628"/>
      <c r="B795" s="988" t="s">
        <v>1801</v>
      </c>
      <c r="C795" s="652">
        <v>150000</v>
      </c>
      <c r="D795" s="652">
        <f>150000-146700</f>
        <v>3300</v>
      </c>
      <c r="E795" s="652">
        <v>3300</v>
      </c>
      <c r="F795" s="652"/>
      <c r="G795" s="1051">
        <f t="shared" si="86"/>
        <v>2.1999999999999997</v>
      </c>
      <c r="H795" s="1055">
        <f t="shared" si="84"/>
        <v>100</v>
      </c>
      <c r="I795" s="670">
        <v>0</v>
      </c>
      <c r="J795" s="88">
        <v>0</v>
      </c>
    </row>
    <row r="796" spans="1:10" ht="12.75" customHeight="1" x14ac:dyDescent="0.2">
      <c r="A796" s="628"/>
      <c r="B796" s="679" t="s">
        <v>1996</v>
      </c>
      <c r="C796" s="652">
        <v>2180000</v>
      </c>
      <c r="D796" s="652">
        <v>2180000</v>
      </c>
      <c r="E796" s="652">
        <v>1088000</v>
      </c>
      <c r="F796" s="652"/>
      <c r="G796" s="1051">
        <f t="shared" si="86"/>
        <v>49.908256880733944</v>
      </c>
      <c r="H796" s="1055">
        <f t="shared" si="84"/>
        <v>49.908256880733944</v>
      </c>
      <c r="I796" s="670">
        <f t="shared" si="88"/>
        <v>135.51367529777511</v>
      </c>
      <c r="J796" s="88">
        <v>802871</v>
      </c>
    </row>
    <row r="797" spans="1:10" ht="12.75" customHeight="1" x14ac:dyDescent="0.2">
      <c r="A797" s="628"/>
      <c r="B797" s="987" t="s">
        <v>904</v>
      </c>
      <c r="C797" s="652">
        <v>100000</v>
      </c>
      <c r="D797" s="652">
        <v>100000</v>
      </c>
      <c r="E797" s="652">
        <v>0</v>
      </c>
      <c r="F797" s="652"/>
      <c r="G797" s="1051">
        <f t="shared" si="86"/>
        <v>0</v>
      </c>
      <c r="H797" s="1055">
        <f t="shared" si="84"/>
        <v>0</v>
      </c>
      <c r="I797" s="670">
        <v>0</v>
      </c>
      <c r="J797" s="88">
        <v>0</v>
      </c>
    </row>
    <row r="798" spans="1:10" ht="12.75" customHeight="1" x14ac:dyDescent="0.2">
      <c r="A798" s="628"/>
      <c r="B798" s="672" t="s">
        <v>905</v>
      </c>
      <c r="C798" s="652">
        <v>15000</v>
      </c>
      <c r="D798" s="652">
        <v>15000</v>
      </c>
      <c r="E798" s="652">
        <v>7260</v>
      </c>
      <c r="F798" s="652"/>
      <c r="G798" s="1051">
        <f t="shared" si="86"/>
        <v>48.4</v>
      </c>
      <c r="H798" s="1055">
        <f t="shared" si="84"/>
        <v>48.4</v>
      </c>
      <c r="I798" s="670">
        <f t="shared" si="88"/>
        <v>100</v>
      </c>
      <c r="J798" s="88">
        <v>7260</v>
      </c>
    </row>
    <row r="799" spans="1:10" ht="28.9" customHeight="1" x14ac:dyDescent="0.2">
      <c r="A799" s="628"/>
      <c r="B799" s="668" t="s">
        <v>1804</v>
      </c>
      <c r="C799" s="652">
        <v>2500000</v>
      </c>
      <c r="D799" s="652">
        <v>2500000</v>
      </c>
      <c r="E799" s="652">
        <v>0</v>
      </c>
      <c r="F799" s="652"/>
      <c r="G799" s="1051">
        <f t="shared" si="86"/>
        <v>0</v>
      </c>
      <c r="H799" s="1055">
        <f t="shared" si="84"/>
        <v>0</v>
      </c>
      <c r="I799" s="670">
        <v>0</v>
      </c>
      <c r="J799" s="32">
        <v>0</v>
      </c>
    </row>
    <row r="800" spans="1:10" ht="12.75" customHeight="1" x14ac:dyDescent="0.2">
      <c r="A800" s="965"/>
      <c r="B800" s="720" t="s">
        <v>907</v>
      </c>
      <c r="C800" s="951">
        <f>C802+C806+C814</f>
        <v>9470000</v>
      </c>
      <c r="D800" s="951">
        <f>D802+D806+D814</f>
        <v>9470000</v>
      </c>
      <c r="E800" s="951">
        <v>542190.66</v>
      </c>
      <c r="F800" s="951"/>
      <c r="G800" s="1051">
        <f t="shared" si="86"/>
        <v>5.7253501583949316</v>
      </c>
      <c r="H800" s="1055">
        <f t="shared" si="84"/>
        <v>5.7253501583949316</v>
      </c>
      <c r="I800" s="670">
        <f t="shared" si="88"/>
        <v>167.64845979832305</v>
      </c>
      <c r="J800" s="88">
        <v>323409.27</v>
      </c>
    </row>
    <row r="801" spans="1:10" ht="43.5" customHeight="1" x14ac:dyDescent="0.2">
      <c r="A801" s="965"/>
      <c r="B801" s="668" t="s">
        <v>1805</v>
      </c>
      <c r="C801" s="652">
        <v>330000</v>
      </c>
      <c r="D801" s="652">
        <f>330000-330000+180000</f>
        <v>180000</v>
      </c>
      <c r="E801" s="652">
        <v>49973</v>
      </c>
      <c r="F801" s="652"/>
      <c r="G801" s="1051">
        <f t="shared" si="86"/>
        <v>15.143333333333334</v>
      </c>
      <c r="H801" s="1055">
        <f t="shared" si="84"/>
        <v>27.762777777777774</v>
      </c>
      <c r="I801" s="670">
        <v>0</v>
      </c>
      <c r="J801" s="88">
        <v>0</v>
      </c>
    </row>
    <row r="802" spans="1:10" ht="12.75" customHeight="1" x14ac:dyDescent="0.2">
      <c r="A802" s="965"/>
      <c r="B802" s="971" t="s">
        <v>1806</v>
      </c>
      <c r="C802" s="972">
        <f t="shared" ref="C802:D802" si="89">C803+C804</f>
        <v>3700000</v>
      </c>
      <c r="D802" s="972">
        <f t="shared" si="89"/>
        <v>3700000</v>
      </c>
      <c r="E802" s="972">
        <v>272992.84999999998</v>
      </c>
      <c r="F802" s="951"/>
      <c r="G802" s="1131">
        <f t="shared" si="86"/>
        <v>7.3781851351351344</v>
      </c>
      <c r="H802" s="1132">
        <f t="shared" si="84"/>
        <v>7.3781851351351344</v>
      </c>
      <c r="I802" s="1133">
        <f t="shared" si="88"/>
        <v>140.28918520887757</v>
      </c>
      <c r="J802" s="88">
        <v>194592.94</v>
      </c>
    </row>
    <row r="803" spans="1:10" ht="12.75" customHeight="1" x14ac:dyDescent="0.2">
      <c r="A803" s="965"/>
      <c r="B803" s="987" t="s">
        <v>910</v>
      </c>
      <c r="C803" s="652">
        <v>2000000</v>
      </c>
      <c r="D803" s="652">
        <v>2000000</v>
      </c>
      <c r="E803" s="652">
        <v>272992.84999999998</v>
      </c>
      <c r="F803" s="652"/>
      <c r="G803" s="1051">
        <f t="shared" si="86"/>
        <v>13.649642499999997</v>
      </c>
      <c r="H803" s="1055">
        <f t="shared" si="84"/>
        <v>13.649642499999997</v>
      </c>
      <c r="I803" s="670">
        <f t="shared" si="88"/>
        <v>140.28918520887757</v>
      </c>
      <c r="J803" s="88">
        <v>194592.94</v>
      </c>
    </row>
    <row r="804" spans="1:10" ht="12.75" customHeight="1" x14ac:dyDescent="0.2">
      <c r="A804" s="628"/>
      <c r="B804" s="672" t="s">
        <v>1807</v>
      </c>
      <c r="C804" s="652">
        <f>C805</f>
        <v>1700000</v>
      </c>
      <c r="D804" s="652">
        <f>D805</f>
        <v>1700000</v>
      </c>
      <c r="E804" s="652">
        <v>0</v>
      </c>
      <c r="F804" s="652"/>
      <c r="G804" s="1051">
        <f t="shared" si="86"/>
        <v>0</v>
      </c>
      <c r="H804" s="1055">
        <f t="shared" si="84"/>
        <v>0</v>
      </c>
      <c r="I804" s="670">
        <v>0</v>
      </c>
      <c r="J804" s="88">
        <v>0</v>
      </c>
    </row>
    <row r="805" spans="1:10" ht="12.75" customHeight="1" x14ac:dyDescent="0.2">
      <c r="A805" s="628"/>
      <c r="B805" s="672" t="s">
        <v>1808</v>
      </c>
      <c r="C805" s="652">
        <v>1700000</v>
      </c>
      <c r="D805" s="652">
        <v>1700000</v>
      </c>
      <c r="E805" s="652">
        <v>0</v>
      </c>
      <c r="F805" s="652"/>
      <c r="G805" s="1051">
        <f t="shared" si="86"/>
        <v>0</v>
      </c>
      <c r="H805" s="1055">
        <f t="shared" si="84"/>
        <v>0</v>
      </c>
      <c r="I805" s="670">
        <v>0</v>
      </c>
      <c r="J805" s="88">
        <v>0</v>
      </c>
    </row>
    <row r="806" spans="1:10" s="488" customFormat="1" ht="12.75" customHeight="1" x14ac:dyDescent="0.2">
      <c r="A806" s="965"/>
      <c r="B806" s="1139" t="s">
        <v>1809</v>
      </c>
      <c r="C806" s="972">
        <f t="shared" ref="C806:D806" si="90">SUM(C807:C808)</f>
        <v>3270000</v>
      </c>
      <c r="D806" s="972">
        <f t="shared" si="90"/>
        <v>3270000</v>
      </c>
      <c r="E806" s="972">
        <v>229197.53</v>
      </c>
      <c r="F806" s="951"/>
      <c r="G806" s="1131">
        <f t="shared" si="86"/>
        <v>7.0090987767584103</v>
      </c>
      <c r="H806" s="1132">
        <f t="shared" si="84"/>
        <v>7.0090987767584103</v>
      </c>
      <c r="I806" s="1133">
        <v>0</v>
      </c>
      <c r="J806" s="1140">
        <v>0</v>
      </c>
    </row>
    <row r="807" spans="1:10" s="488" customFormat="1" ht="12.75" customHeight="1" x14ac:dyDescent="0.2">
      <c r="A807" s="965"/>
      <c r="B807" s="990" t="s">
        <v>921</v>
      </c>
      <c r="C807" s="652">
        <v>1000000</v>
      </c>
      <c r="D807" s="652">
        <v>1000000</v>
      </c>
      <c r="E807" s="652">
        <v>126083.75</v>
      </c>
      <c r="F807" s="652"/>
      <c r="G807" s="1051">
        <f t="shared" si="86"/>
        <v>12.608374999999999</v>
      </c>
      <c r="H807" s="1055">
        <f t="shared" si="84"/>
        <v>12.608374999999999</v>
      </c>
      <c r="I807" s="670">
        <f t="shared" si="88"/>
        <v>97.878700627474785</v>
      </c>
      <c r="J807" s="88">
        <v>128816.33</v>
      </c>
    </row>
    <row r="808" spans="1:10" s="488" customFormat="1" ht="12.75" customHeight="1" x14ac:dyDescent="0.2">
      <c r="A808" s="965"/>
      <c r="B808" s="990" t="s">
        <v>1810</v>
      </c>
      <c r="C808" s="652">
        <f>SUM(C809:C813)</f>
        <v>2270000</v>
      </c>
      <c r="D808" s="652">
        <f>SUM(D809:D813)</f>
        <v>2270000</v>
      </c>
      <c r="E808" s="652">
        <v>103113.78</v>
      </c>
      <c r="F808" s="652"/>
      <c r="G808" s="1051">
        <f t="shared" si="86"/>
        <v>4.5424572687224671</v>
      </c>
      <c r="H808" s="1055">
        <f t="shared" si="84"/>
        <v>4.5424572687224671</v>
      </c>
      <c r="I808" s="670">
        <f t="shared" si="88"/>
        <v>80.047133775663383</v>
      </c>
      <c r="J808" s="88">
        <v>128816.33</v>
      </c>
    </row>
    <row r="809" spans="1:10" s="488" customFormat="1" ht="12.75" customHeight="1" x14ac:dyDescent="0.2">
      <c r="A809" s="628"/>
      <c r="B809" s="672" t="s">
        <v>926</v>
      </c>
      <c r="C809" s="652">
        <v>100000</v>
      </c>
      <c r="D809" s="652">
        <v>100000</v>
      </c>
      <c r="E809" s="652">
        <v>0</v>
      </c>
      <c r="F809" s="652"/>
      <c r="G809" s="1051">
        <f t="shared" si="86"/>
        <v>0</v>
      </c>
      <c r="H809" s="1055">
        <f t="shared" si="84"/>
        <v>0</v>
      </c>
      <c r="I809" s="670">
        <v>0</v>
      </c>
      <c r="J809" s="88">
        <v>0</v>
      </c>
    </row>
    <row r="810" spans="1:10" s="488" customFormat="1" ht="12.75" customHeight="1" x14ac:dyDescent="0.2">
      <c r="A810" s="628"/>
      <c r="B810" s="672" t="s">
        <v>1811</v>
      </c>
      <c r="C810" s="652">
        <v>850000</v>
      </c>
      <c r="D810" s="652">
        <v>850000</v>
      </c>
      <c r="E810" s="652">
        <v>0</v>
      </c>
      <c r="F810" s="652"/>
      <c r="G810" s="1051">
        <f t="shared" si="86"/>
        <v>0</v>
      </c>
      <c r="H810" s="1055">
        <f t="shared" si="84"/>
        <v>0</v>
      </c>
      <c r="I810" s="670">
        <v>0</v>
      </c>
      <c r="J810" s="88">
        <v>0</v>
      </c>
    </row>
    <row r="811" spans="1:10" ht="12.75" customHeight="1" x14ac:dyDescent="0.2">
      <c r="A811" s="965"/>
      <c r="B811" s="981" t="s">
        <v>1813</v>
      </c>
      <c r="C811" s="652">
        <v>620000</v>
      </c>
      <c r="D811" s="652">
        <v>620000</v>
      </c>
      <c r="E811" s="652">
        <v>0</v>
      </c>
      <c r="F811" s="652"/>
      <c r="G811" s="1051">
        <f t="shared" si="86"/>
        <v>0</v>
      </c>
      <c r="H811" s="1055">
        <f t="shared" si="84"/>
        <v>0</v>
      </c>
      <c r="I811" s="670">
        <v>0</v>
      </c>
      <c r="J811" s="88">
        <v>0</v>
      </c>
    </row>
    <row r="812" spans="1:10" s="488" customFormat="1" ht="12.75" customHeight="1" x14ac:dyDescent="0.2">
      <c r="A812" s="965"/>
      <c r="B812" s="981" t="s">
        <v>1814</v>
      </c>
      <c r="C812" s="652">
        <v>500000</v>
      </c>
      <c r="D812" s="652">
        <v>500000</v>
      </c>
      <c r="E812" s="652">
        <v>0</v>
      </c>
      <c r="F812" s="652"/>
      <c r="G812" s="1051">
        <f t="shared" si="86"/>
        <v>0</v>
      </c>
      <c r="H812" s="1055">
        <f t="shared" ref="H812:H875" si="91">E812/D812*100</f>
        <v>0</v>
      </c>
      <c r="I812" s="670">
        <v>0</v>
      </c>
      <c r="J812" s="88">
        <v>0</v>
      </c>
    </row>
    <row r="813" spans="1:10" s="488" customFormat="1" ht="12.75" customHeight="1" x14ac:dyDescent="0.2">
      <c r="A813" s="965"/>
      <c r="B813" s="668" t="s">
        <v>1815</v>
      </c>
      <c r="C813" s="652">
        <v>200000</v>
      </c>
      <c r="D813" s="652">
        <v>200000</v>
      </c>
      <c r="E813" s="652">
        <v>103113.78</v>
      </c>
      <c r="F813" s="652"/>
      <c r="G813" s="1051">
        <f t="shared" si="86"/>
        <v>51.556890000000003</v>
      </c>
      <c r="H813" s="1055">
        <f t="shared" si="91"/>
        <v>51.556890000000003</v>
      </c>
      <c r="I813" s="670">
        <v>0</v>
      </c>
      <c r="J813" s="88">
        <v>0</v>
      </c>
    </row>
    <row r="814" spans="1:10" s="488" customFormat="1" ht="12.75" customHeight="1" x14ac:dyDescent="0.2">
      <c r="A814" s="965"/>
      <c r="B814" s="991" t="s">
        <v>1816</v>
      </c>
      <c r="C814" s="951">
        <f>SUM(C815:C819)</f>
        <v>2500000</v>
      </c>
      <c r="D814" s="951">
        <f>SUM(D815:D819)</f>
        <v>2500000</v>
      </c>
      <c r="E814" s="951">
        <v>40000.28</v>
      </c>
      <c r="F814" s="951"/>
      <c r="G814" s="1134">
        <f t="shared" si="86"/>
        <v>1.6000112</v>
      </c>
      <c r="H814" s="1135">
        <f t="shared" si="91"/>
        <v>1.6000112</v>
      </c>
      <c r="I814" s="1136">
        <v>0</v>
      </c>
      <c r="J814" s="88">
        <v>0</v>
      </c>
    </row>
    <row r="815" spans="1:10" s="488" customFormat="1" ht="12.75" customHeight="1" x14ac:dyDescent="0.2">
      <c r="A815" s="965"/>
      <c r="B815" s="981" t="s">
        <v>1817</v>
      </c>
      <c r="C815" s="644">
        <v>700000</v>
      </c>
      <c r="D815" s="644">
        <v>700000</v>
      </c>
      <c r="E815" s="644">
        <v>40000.28</v>
      </c>
      <c r="F815" s="644"/>
      <c r="G815" s="1051">
        <f t="shared" si="86"/>
        <v>5.7143257142857138</v>
      </c>
      <c r="H815" s="1055">
        <f t="shared" si="91"/>
        <v>5.7143257142857138</v>
      </c>
      <c r="I815" s="670">
        <v>0</v>
      </c>
      <c r="J815" s="88">
        <v>0</v>
      </c>
    </row>
    <row r="816" spans="1:10" s="488" customFormat="1" x14ac:dyDescent="0.2">
      <c r="A816" s="965"/>
      <c r="B816" s="981" t="s">
        <v>1818</v>
      </c>
      <c r="C816" s="652">
        <v>700000</v>
      </c>
      <c r="D816" s="652">
        <v>700000</v>
      </c>
      <c r="E816" s="652">
        <v>0</v>
      </c>
      <c r="F816" s="652"/>
      <c r="G816" s="1051">
        <f t="shared" ref="G816:G875" si="92">E816/C816*100</f>
        <v>0</v>
      </c>
      <c r="H816" s="1055">
        <f t="shared" si="91"/>
        <v>0</v>
      </c>
      <c r="I816" s="670">
        <v>0</v>
      </c>
      <c r="J816" s="88">
        <v>0</v>
      </c>
    </row>
    <row r="817" spans="1:10" s="488" customFormat="1" ht="12.75" customHeight="1" x14ac:dyDescent="0.2">
      <c r="A817" s="965"/>
      <c r="B817" s="980" t="s">
        <v>1819</v>
      </c>
      <c r="C817" s="644">
        <v>200000</v>
      </c>
      <c r="D817" s="644">
        <v>200000</v>
      </c>
      <c r="E817" s="644">
        <v>0</v>
      </c>
      <c r="F817" s="644"/>
      <c r="G817" s="1051">
        <f t="shared" si="92"/>
        <v>0</v>
      </c>
      <c r="H817" s="1055">
        <f t="shared" si="91"/>
        <v>0</v>
      </c>
      <c r="I817" s="670">
        <v>0</v>
      </c>
      <c r="J817" s="88">
        <v>0</v>
      </c>
    </row>
    <row r="818" spans="1:10" s="488" customFormat="1" ht="12.75" customHeight="1" x14ac:dyDescent="0.2">
      <c r="A818" s="965"/>
      <c r="B818" s="987" t="s">
        <v>1820</v>
      </c>
      <c r="C818" s="975">
        <v>200000</v>
      </c>
      <c r="D818" s="975">
        <v>200000</v>
      </c>
      <c r="E818" s="975">
        <v>0</v>
      </c>
      <c r="F818" s="975"/>
      <c r="G818" s="1051">
        <f t="shared" si="92"/>
        <v>0</v>
      </c>
      <c r="H818" s="1055">
        <f t="shared" si="91"/>
        <v>0</v>
      </c>
      <c r="I818" s="670">
        <v>0</v>
      </c>
      <c r="J818" s="88">
        <v>0</v>
      </c>
    </row>
    <row r="819" spans="1:10" s="488" customFormat="1" ht="12.75" customHeight="1" x14ac:dyDescent="0.2">
      <c r="A819" s="628"/>
      <c r="B819" s="979" t="s">
        <v>1821</v>
      </c>
      <c r="C819" s="644">
        <v>700000</v>
      </c>
      <c r="D819" s="644">
        <v>700000</v>
      </c>
      <c r="E819" s="644">
        <v>0</v>
      </c>
      <c r="F819" s="644"/>
      <c r="G819" s="1051">
        <f t="shared" si="92"/>
        <v>0</v>
      </c>
      <c r="H819" s="1055">
        <f t="shared" si="91"/>
        <v>0</v>
      </c>
      <c r="I819" s="670">
        <v>0</v>
      </c>
      <c r="J819" s="88">
        <v>0</v>
      </c>
    </row>
    <row r="820" spans="1:10" s="992" customFormat="1" ht="12.75" customHeight="1" x14ac:dyDescent="0.2">
      <c r="A820" s="628">
        <v>3634</v>
      </c>
      <c r="B820" s="993" t="s">
        <v>1822</v>
      </c>
      <c r="C820" s="637">
        <f>SUM(C821:C825)</f>
        <v>4450000</v>
      </c>
      <c r="D820" s="637">
        <f>SUM(D821:D825)</f>
        <v>4450000</v>
      </c>
      <c r="E820" s="637">
        <v>559995.18999999994</v>
      </c>
      <c r="F820" s="644">
        <f>SUM(E821:E825)</f>
        <v>559995.18999999994</v>
      </c>
      <c r="G820" s="630">
        <f t="shared" si="92"/>
        <v>12.584161573033706</v>
      </c>
      <c r="H820" s="1052">
        <f t="shared" si="91"/>
        <v>12.584161573033706</v>
      </c>
      <c r="I820" s="639">
        <f t="shared" si="88"/>
        <v>61.458548108567847</v>
      </c>
      <c r="J820" s="88">
        <v>911175.43</v>
      </c>
    </row>
    <row r="821" spans="1:10" s="488" customFormat="1" ht="12.75" customHeight="1" x14ac:dyDescent="0.2">
      <c r="A821" s="628"/>
      <c r="B821" s="981" t="s">
        <v>1823</v>
      </c>
      <c r="C821" s="644">
        <v>350000</v>
      </c>
      <c r="D821" s="644">
        <v>350000</v>
      </c>
      <c r="E821" s="644">
        <v>53650.19</v>
      </c>
      <c r="F821" s="644"/>
      <c r="G821" s="1051">
        <f t="shared" si="92"/>
        <v>15.328625714285716</v>
      </c>
      <c r="H821" s="1055">
        <f t="shared" si="91"/>
        <v>15.328625714285716</v>
      </c>
      <c r="I821" s="670">
        <f t="shared" si="88"/>
        <v>84.971541365631168</v>
      </c>
      <c r="J821" s="88">
        <v>63139.01</v>
      </c>
    </row>
    <row r="822" spans="1:10" s="488" customFormat="1" ht="12.75" customHeight="1" x14ac:dyDescent="0.2">
      <c r="A822" s="628"/>
      <c r="B822" s="981" t="s">
        <v>1824</v>
      </c>
      <c r="C822" s="644">
        <v>1000000</v>
      </c>
      <c r="D822" s="644">
        <v>1000000</v>
      </c>
      <c r="E822" s="644">
        <v>0</v>
      </c>
      <c r="F822" s="644"/>
      <c r="G822" s="1051">
        <f t="shared" si="92"/>
        <v>0</v>
      </c>
      <c r="H822" s="1055">
        <f t="shared" si="91"/>
        <v>0</v>
      </c>
      <c r="I822" s="670">
        <f t="shared" si="88"/>
        <v>0</v>
      </c>
      <c r="J822" s="88">
        <v>715860.2</v>
      </c>
    </row>
    <row r="823" spans="1:10" ht="12.75" customHeight="1" x14ac:dyDescent="0.2">
      <c r="A823" s="1141"/>
      <c r="B823" s="1142" t="s">
        <v>943</v>
      </c>
      <c r="C823" s="678">
        <v>500000</v>
      </c>
      <c r="D823" s="678">
        <v>500000</v>
      </c>
      <c r="E823" s="678">
        <v>0</v>
      </c>
      <c r="F823" s="678"/>
      <c r="G823" s="1051">
        <f t="shared" si="92"/>
        <v>0</v>
      </c>
      <c r="H823" s="1055">
        <f t="shared" si="91"/>
        <v>0</v>
      </c>
      <c r="I823" s="670">
        <v>0</v>
      </c>
      <c r="J823" s="88">
        <v>0</v>
      </c>
    </row>
    <row r="824" spans="1:10" ht="12.75" customHeight="1" x14ac:dyDescent="0.2">
      <c r="A824" s="1143"/>
      <c r="B824" s="1144" t="s">
        <v>1825</v>
      </c>
      <c r="C824" s="1073">
        <v>500000</v>
      </c>
      <c r="D824" s="1073">
        <v>500000</v>
      </c>
      <c r="E824" s="1073">
        <v>0</v>
      </c>
      <c r="F824" s="1073"/>
      <c r="G824" s="1051">
        <f t="shared" si="92"/>
        <v>0</v>
      </c>
      <c r="H824" s="1055">
        <f t="shared" si="91"/>
        <v>0</v>
      </c>
      <c r="I824" s="670">
        <f t="shared" si="88"/>
        <v>0</v>
      </c>
      <c r="J824" s="88">
        <v>34644.720000000001</v>
      </c>
    </row>
    <row r="825" spans="1:10" ht="12.75" customHeight="1" x14ac:dyDescent="0.2">
      <c r="A825" s="625"/>
      <c r="B825" s="995" t="s">
        <v>945</v>
      </c>
      <c r="C825" s="961">
        <f>SUM(C826:C827)</f>
        <v>2100000</v>
      </c>
      <c r="D825" s="961">
        <f>SUM(D826:D827)</f>
        <v>2100000</v>
      </c>
      <c r="E825" s="961">
        <v>506345</v>
      </c>
      <c r="F825" s="961"/>
      <c r="G825" s="1134">
        <f t="shared" si="92"/>
        <v>24.111666666666668</v>
      </c>
      <c r="H825" s="1135">
        <f t="shared" si="91"/>
        <v>24.111666666666668</v>
      </c>
      <c r="I825" s="1136">
        <f t="shared" si="88"/>
        <v>1461.5358415366036</v>
      </c>
      <c r="J825" s="88">
        <v>34644.720000000001</v>
      </c>
    </row>
    <row r="826" spans="1:10" s="2" customFormat="1" ht="12.75" customHeight="1" x14ac:dyDescent="0.2">
      <c r="A826" s="649"/>
      <c r="B826" s="997" t="s">
        <v>1831</v>
      </c>
      <c r="C826" s="652">
        <v>600000</v>
      </c>
      <c r="D826" s="652">
        <v>600000</v>
      </c>
      <c r="E826" s="652">
        <v>0</v>
      </c>
      <c r="F826" s="652"/>
      <c r="G826" s="1051">
        <f t="shared" si="92"/>
        <v>0</v>
      </c>
      <c r="H826" s="1055">
        <f t="shared" si="91"/>
        <v>0</v>
      </c>
      <c r="I826" s="670">
        <v>0</v>
      </c>
      <c r="J826" s="88">
        <v>0</v>
      </c>
    </row>
    <row r="827" spans="1:10" s="2" customFormat="1" ht="12.75" customHeight="1" x14ac:dyDescent="0.2">
      <c r="A827" s="649"/>
      <c r="B827" s="997" t="s">
        <v>1833</v>
      </c>
      <c r="C827" s="644">
        <v>1500000</v>
      </c>
      <c r="D827" s="644">
        <v>1500000</v>
      </c>
      <c r="E827" s="644">
        <v>506345</v>
      </c>
      <c r="F827" s="644"/>
      <c r="G827" s="1051">
        <f t="shared" si="92"/>
        <v>33.75633333333333</v>
      </c>
      <c r="H827" s="1055">
        <f t="shared" si="91"/>
        <v>33.75633333333333</v>
      </c>
      <c r="I827" s="670">
        <v>0</v>
      </c>
      <c r="J827" s="88">
        <v>0</v>
      </c>
    </row>
    <row r="828" spans="1:10" s="2" customFormat="1" ht="12.75" customHeight="1" x14ac:dyDescent="0.2">
      <c r="A828" s="628">
        <v>4351</v>
      </c>
      <c r="B828" s="998" t="s">
        <v>1834</v>
      </c>
      <c r="C828" s="635">
        <v>10000</v>
      </c>
      <c r="D828" s="635">
        <v>10000</v>
      </c>
      <c r="E828" s="635">
        <v>10040.92</v>
      </c>
      <c r="F828" s="652"/>
      <c r="G828" s="630">
        <f t="shared" si="92"/>
        <v>100.4092</v>
      </c>
      <c r="H828" s="1052">
        <f t="shared" si="91"/>
        <v>100.4092</v>
      </c>
      <c r="I828" s="639">
        <f t="shared" si="88"/>
        <v>198.32662429239042</v>
      </c>
      <c r="J828" s="88">
        <v>5062.82</v>
      </c>
    </row>
    <row r="829" spans="1:10" s="2" customFormat="1" ht="12.75" customHeight="1" x14ac:dyDescent="0.2">
      <c r="A829" s="628">
        <v>4374</v>
      </c>
      <c r="B829" s="998" t="s">
        <v>753</v>
      </c>
      <c r="C829" s="635">
        <f>C830</f>
        <v>1140000</v>
      </c>
      <c r="D829" s="635">
        <f>D830</f>
        <v>1140000</v>
      </c>
      <c r="E829" s="635">
        <v>259721.37</v>
      </c>
      <c r="F829" s="652"/>
      <c r="G829" s="630">
        <f t="shared" si="92"/>
        <v>22.782576315789473</v>
      </c>
      <c r="H829" s="1052">
        <f t="shared" si="91"/>
        <v>22.782576315789473</v>
      </c>
      <c r="I829" s="639">
        <f t="shared" si="88"/>
        <v>467.74149512603759</v>
      </c>
      <c r="J829" s="88">
        <v>55526.69</v>
      </c>
    </row>
    <row r="830" spans="1:10" s="2" customFormat="1" ht="15.75" customHeight="1" x14ac:dyDescent="0.2">
      <c r="A830" s="649"/>
      <c r="B830" s="997" t="s">
        <v>1835</v>
      </c>
      <c r="C830" s="652">
        <f>C831+C832</f>
        <v>1140000</v>
      </c>
      <c r="D830" s="652">
        <f>D831+D832</f>
        <v>1140000</v>
      </c>
      <c r="E830" s="652">
        <v>259721.37</v>
      </c>
      <c r="F830" s="652">
        <f>SUM(E831:E832)</f>
        <v>259721.37</v>
      </c>
      <c r="G830" s="1051">
        <f t="shared" si="92"/>
        <v>22.782576315789473</v>
      </c>
      <c r="H830" s="1055">
        <f t="shared" si="91"/>
        <v>22.782576315789473</v>
      </c>
      <c r="I830" s="670">
        <f t="shared" si="88"/>
        <v>467.74149512603759</v>
      </c>
      <c r="J830" s="88">
        <v>55526.69</v>
      </c>
    </row>
    <row r="831" spans="1:10" s="2" customFormat="1" ht="24" customHeight="1" x14ac:dyDescent="0.2">
      <c r="A831" s="649"/>
      <c r="B831" s="997" t="s">
        <v>1836</v>
      </c>
      <c r="C831" s="644">
        <v>1000000</v>
      </c>
      <c r="D831" s="644">
        <v>1000000</v>
      </c>
      <c r="E831" s="644">
        <v>259721.37</v>
      </c>
      <c r="F831" s="644"/>
      <c r="G831" s="1051">
        <f t="shared" si="92"/>
        <v>25.972137</v>
      </c>
      <c r="H831" s="1055">
        <f t="shared" si="91"/>
        <v>25.972137</v>
      </c>
      <c r="I831" s="670">
        <f t="shared" si="88"/>
        <v>494.4159956018301</v>
      </c>
      <c r="J831" s="32">
        <v>52530.94</v>
      </c>
    </row>
    <row r="832" spans="1:10" s="2" customFormat="1" ht="12.75" customHeight="1" x14ac:dyDescent="0.2">
      <c r="A832" s="628"/>
      <c r="B832" s="679" t="s">
        <v>1837</v>
      </c>
      <c r="C832" s="652">
        <v>140000</v>
      </c>
      <c r="D832" s="652">
        <v>140000</v>
      </c>
      <c r="E832" s="652">
        <v>0</v>
      </c>
      <c r="F832" s="652"/>
      <c r="G832" s="1051">
        <f t="shared" si="92"/>
        <v>0</v>
      </c>
      <c r="H832" s="1055">
        <f t="shared" si="91"/>
        <v>0</v>
      </c>
      <c r="I832" s="670">
        <f t="shared" si="88"/>
        <v>0</v>
      </c>
      <c r="J832" s="88">
        <v>2995.75</v>
      </c>
    </row>
    <row r="833" spans="1:253" s="2" customFormat="1" ht="12.75" customHeight="1" x14ac:dyDescent="0.2">
      <c r="A833" s="628">
        <v>6171</v>
      </c>
      <c r="B833" s="999" t="s">
        <v>969</v>
      </c>
      <c r="C833" s="637">
        <f>SUM(C834:C838)</f>
        <v>1500000</v>
      </c>
      <c r="D833" s="637">
        <f>SUM(D834:D838)</f>
        <v>1500000</v>
      </c>
      <c r="E833" s="637">
        <v>119603</v>
      </c>
      <c r="F833" s="644">
        <f>SUM(E834:E838)</f>
        <v>119603</v>
      </c>
      <c r="G833" s="630">
        <f t="shared" si="92"/>
        <v>7.973533333333334</v>
      </c>
      <c r="H833" s="1052">
        <f t="shared" si="91"/>
        <v>7.973533333333334</v>
      </c>
      <c r="I833" s="639">
        <f t="shared" ref="I833:I875" si="93">E833/J833*100</f>
        <v>156.27884830604381</v>
      </c>
      <c r="J833" s="88">
        <v>76531.789999999994</v>
      </c>
    </row>
    <row r="834" spans="1:253" s="2" customFormat="1" ht="12.75" customHeight="1" x14ac:dyDescent="0.2">
      <c r="A834" s="628"/>
      <c r="B834" s="679" t="s">
        <v>970</v>
      </c>
      <c r="C834" s="652">
        <v>50000</v>
      </c>
      <c r="D834" s="652">
        <v>50000</v>
      </c>
      <c r="E834" s="652">
        <v>0</v>
      </c>
      <c r="F834" s="652"/>
      <c r="G834" s="1051">
        <f t="shared" si="92"/>
        <v>0</v>
      </c>
      <c r="H834" s="1055">
        <f t="shared" si="91"/>
        <v>0</v>
      </c>
      <c r="I834" s="670">
        <v>0</v>
      </c>
      <c r="J834" s="88">
        <v>0</v>
      </c>
    </row>
    <row r="835" spans="1:253" ht="12.75" customHeight="1" x14ac:dyDescent="0.2">
      <c r="A835" s="1000"/>
      <c r="B835" s="1001" t="s">
        <v>1997</v>
      </c>
      <c r="C835" s="652">
        <v>820000</v>
      </c>
      <c r="D835" s="652">
        <v>820000</v>
      </c>
      <c r="E835" s="652">
        <v>61402</v>
      </c>
      <c r="F835" s="652"/>
      <c r="G835" s="1051">
        <f t="shared" si="92"/>
        <v>7.4880487804878051</v>
      </c>
      <c r="H835" s="1055">
        <f t="shared" si="91"/>
        <v>7.4880487804878051</v>
      </c>
      <c r="I835" s="670">
        <v>0</v>
      </c>
      <c r="J835" s="88">
        <v>0</v>
      </c>
    </row>
    <row r="836" spans="1:253" ht="12.75" customHeight="1" x14ac:dyDescent="0.2">
      <c r="A836" s="1000"/>
      <c r="B836" s="1001" t="s">
        <v>1839</v>
      </c>
      <c r="C836" s="652">
        <v>180000</v>
      </c>
      <c r="D836" s="652">
        <v>180000</v>
      </c>
      <c r="E836" s="652">
        <v>58201</v>
      </c>
      <c r="F836" s="652"/>
      <c r="G836" s="1051">
        <f t="shared" si="92"/>
        <v>32.333888888888893</v>
      </c>
      <c r="H836" s="1055">
        <f t="shared" si="91"/>
        <v>32.333888888888893</v>
      </c>
      <c r="I836" s="670">
        <v>0</v>
      </c>
      <c r="J836" s="88">
        <v>0</v>
      </c>
    </row>
    <row r="837" spans="1:253" ht="12.75" customHeight="1" x14ac:dyDescent="0.2">
      <c r="A837" s="649"/>
      <c r="B837" s="679" t="s">
        <v>1841</v>
      </c>
      <c r="C837" s="652">
        <v>200000</v>
      </c>
      <c r="D837" s="652">
        <v>200000</v>
      </c>
      <c r="E837" s="652">
        <v>0</v>
      </c>
      <c r="F837" s="652"/>
      <c r="G837" s="1051">
        <f t="shared" si="92"/>
        <v>0</v>
      </c>
      <c r="H837" s="1055">
        <f t="shared" si="91"/>
        <v>0</v>
      </c>
      <c r="I837" s="670">
        <f t="shared" si="93"/>
        <v>0</v>
      </c>
      <c r="J837" s="88">
        <v>21115</v>
      </c>
    </row>
    <row r="838" spans="1:253" ht="12.75" customHeight="1" x14ac:dyDescent="0.2">
      <c r="A838" s="1145"/>
      <c r="B838" s="1146" t="s">
        <v>1842</v>
      </c>
      <c r="C838" s="678">
        <v>250000</v>
      </c>
      <c r="D838" s="678">
        <v>250000</v>
      </c>
      <c r="E838" s="678">
        <v>0</v>
      </c>
      <c r="F838" s="678"/>
      <c r="G838" s="1051">
        <f t="shared" si="92"/>
        <v>0</v>
      </c>
      <c r="H838" s="1055">
        <f t="shared" si="91"/>
        <v>0</v>
      </c>
      <c r="I838" s="670">
        <f t="shared" si="93"/>
        <v>0</v>
      </c>
      <c r="J838" s="88">
        <v>55416.79</v>
      </c>
    </row>
    <row r="839" spans="1:253" ht="12.75" customHeight="1" x14ac:dyDescent="0.2">
      <c r="A839" s="1147"/>
      <c r="B839" s="1148"/>
      <c r="C839" s="1020"/>
      <c r="D839" s="1020"/>
      <c r="E839" s="1020"/>
      <c r="F839" s="1020"/>
      <c r="G839" s="1020"/>
      <c r="H839" s="1020"/>
      <c r="I839" s="1008"/>
      <c r="J839" s="88"/>
    </row>
    <row r="840" spans="1:253" s="1009" customFormat="1" ht="20.25" x14ac:dyDescent="0.3">
      <c r="A840" s="734"/>
      <c r="B840" s="757" t="s">
        <v>1872</v>
      </c>
      <c r="C840" s="859">
        <f>SUM(C841+C845+C847)</f>
        <v>1145000</v>
      </c>
      <c r="D840" s="859">
        <f>SUM(D841+D845+D847)</f>
        <v>1145000</v>
      </c>
      <c r="E840" s="859">
        <v>154100</v>
      </c>
      <c r="F840" s="1149"/>
      <c r="G840" s="735">
        <f t="shared" si="92"/>
        <v>13.458515283842795</v>
      </c>
      <c r="H840" s="735">
        <f t="shared" si="91"/>
        <v>13.458515283842795</v>
      </c>
      <c r="I840" s="1083">
        <v>0</v>
      </c>
      <c r="J840" s="1150">
        <v>0</v>
      </c>
      <c r="IM840" s="558"/>
      <c r="IN840" s="558"/>
      <c r="IO840" s="558"/>
      <c r="IP840" s="558"/>
      <c r="IQ840" s="558"/>
      <c r="IR840" s="558"/>
      <c r="IS840" s="558"/>
    </row>
    <row r="841" spans="1:253" s="545" customFormat="1" x14ac:dyDescent="0.2">
      <c r="A841" s="660">
        <v>2169</v>
      </c>
      <c r="B841" s="626" t="s">
        <v>1844</v>
      </c>
      <c r="C841" s="637">
        <f t="shared" ref="C841:D841" si="94">SUM(C842:C844)</f>
        <v>250000</v>
      </c>
      <c r="D841" s="637">
        <f t="shared" si="94"/>
        <v>250000</v>
      </c>
      <c r="E841" s="637">
        <v>21000</v>
      </c>
      <c r="F841" s="644"/>
      <c r="G841" s="630">
        <f t="shared" si="92"/>
        <v>8.4</v>
      </c>
      <c r="H841" s="1052">
        <f t="shared" si="91"/>
        <v>8.4</v>
      </c>
      <c r="I841" s="639">
        <v>0</v>
      </c>
      <c r="J841" s="1150">
        <v>0</v>
      </c>
      <c r="IM841" s="98"/>
      <c r="IN841" s="98"/>
      <c r="IO841" s="98"/>
      <c r="IP841" s="98"/>
      <c r="IQ841" s="98"/>
      <c r="IR841" s="98"/>
      <c r="IS841" s="98"/>
    </row>
    <row r="842" spans="1:253" s="545" customFormat="1" x14ac:dyDescent="0.2">
      <c r="A842" s="660"/>
      <c r="B842" s="679" t="s">
        <v>976</v>
      </c>
      <c r="C842" s="644">
        <v>47000</v>
      </c>
      <c r="D842" s="644">
        <v>47000</v>
      </c>
      <c r="E842" s="644">
        <v>0</v>
      </c>
      <c r="F842" s="644"/>
      <c r="G842" s="1051">
        <f t="shared" si="92"/>
        <v>0</v>
      </c>
      <c r="H842" s="1055">
        <f t="shared" si="91"/>
        <v>0</v>
      </c>
      <c r="I842" s="670">
        <v>0</v>
      </c>
      <c r="J842" s="1150">
        <v>0</v>
      </c>
      <c r="IM842" s="98"/>
      <c r="IN842" s="98"/>
      <c r="IO842" s="98"/>
      <c r="IP842" s="98"/>
      <c r="IQ842" s="98"/>
      <c r="IR842" s="98"/>
      <c r="IS842" s="98"/>
    </row>
    <row r="843" spans="1:253" s="545" customFormat="1" x14ac:dyDescent="0.2">
      <c r="A843" s="660"/>
      <c r="B843" s="679" t="s">
        <v>977</v>
      </c>
      <c r="C843" s="644">
        <v>200000</v>
      </c>
      <c r="D843" s="644">
        <v>200000</v>
      </c>
      <c r="E843" s="644">
        <v>21000</v>
      </c>
      <c r="F843" s="644"/>
      <c r="G843" s="1051">
        <f t="shared" si="92"/>
        <v>10.5</v>
      </c>
      <c r="H843" s="1055">
        <f t="shared" si="91"/>
        <v>10.5</v>
      </c>
      <c r="I843" s="670">
        <v>0</v>
      </c>
      <c r="J843" s="1150">
        <v>0</v>
      </c>
      <c r="IM843" s="98"/>
      <c r="IN843" s="98"/>
      <c r="IO843" s="98"/>
      <c r="IP843" s="98"/>
      <c r="IQ843" s="98"/>
      <c r="IR843" s="98"/>
      <c r="IS843" s="98"/>
    </row>
    <row r="844" spans="1:253" s="545" customFormat="1" x14ac:dyDescent="0.2">
      <c r="A844" s="660"/>
      <c r="B844" s="679" t="s">
        <v>978</v>
      </c>
      <c r="C844" s="644">
        <v>3000</v>
      </c>
      <c r="D844" s="644">
        <v>3000</v>
      </c>
      <c r="E844" s="644">
        <v>0</v>
      </c>
      <c r="F844" s="644"/>
      <c r="G844" s="1051">
        <f t="shared" si="92"/>
        <v>0</v>
      </c>
      <c r="H844" s="1055">
        <f t="shared" si="91"/>
        <v>0</v>
      </c>
      <c r="I844" s="670">
        <v>0</v>
      </c>
      <c r="J844" s="1150">
        <v>0</v>
      </c>
      <c r="IM844" s="98"/>
      <c r="IN844" s="98"/>
      <c r="IO844" s="98"/>
      <c r="IP844" s="98"/>
      <c r="IQ844" s="98"/>
      <c r="IR844" s="98"/>
      <c r="IS844" s="98"/>
    </row>
    <row r="845" spans="1:253" s="545" customFormat="1" x14ac:dyDescent="0.2">
      <c r="A845" s="663">
        <v>3635</v>
      </c>
      <c r="B845" s="629" t="s">
        <v>980</v>
      </c>
      <c r="C845" s="635">
        <f>SUM(C846:C846)</f>
        <v>300000</v>
      </c>
      <c r="D845" s="635">
        <f>SUM(D846:D846)</f>
        <v>300000</v>
      </c>
      <c r="E845" s="635">
        <v>133100</v>
      </c>
      <c r="F845" s="652"/>
      <c r="G845" s="630">
        <f t="shared" si="92"/>
        <v>44.366666666666667</v>
      </c>
      <c r="H845" s="1052">
        <f t="shared" si="91"/>
        <v>44.366666666666667</v>
      </c>
      <c r="I845" s="639">
        <v>0</v>
      </c>
      <c r="J845" s="1150">
        <v>0</v>
      </c>
      <c r="IM845" s="98"/>
      <c r="IN845" s="98"/>
      <c r="IO845" s="98"/>
      <c r="IP845" s="98"/>
      <c r="IQ845" s="98"/>
      <c r="IR845" s="98"/>
      <c r="IS845" s="98"/>
    </row>
    <row r="846" spans="1:253" s="545" customFormat="1" x14ac:dyDescent="0.2">
      <c r="A846" s="664"/>
      <c r="B846" s="643" t="s">
        <v>1845</v>
      </c>
      <c r="C846" s="644">
        <v>300000</v>
      </c>
      <c r="D846" s="644">
        <v>300000</v>
      </c>
      <c r="E846" s="644">
        <v>133100</v>
      </c>
      <c r="F846" s="644"/>
      <c r="G846" s="1051">
        <f t="shared" si="92"/>
        <v>44.366666666666667</v>
      </c>
      <c r="H846" s="1055">
        <f t="shared" si="91"/>
        <v>44.366666666666667</v>
      </c>
      <c r="I846" s="670">
        <v>0</v>
      </c>
      <c r="J846" s="1150">
        <v>0</v>
      </c>
      <c r="IM846" s="98"/>
      <c r="IN846" s="98"/>
      <c r="IO846" s="98"/>
      <c r="IP846" s="98"/>
      <c r="IQ846" s="98"/>
      <c r="IR846" s="98"/>
      <c r="IS846" s="98"/>
    </row>
    <row r="847" spans="1:253" s="545" customFormat="1" ht="15.75" x14ac:dyDescent="0.25">
      <c r="A847" s="1010"/>
      <c r="B847" s="657" t="s">
        <v>985</v>
      </c>
      <c r="C847" s="764">
        <v>595000</v>
      </c>
      <c r="D847" s="764">
        <v>595000</v>
      </c>
      <c r="E847" s="764">
        <v>0</v>
      </c>
      <c r="F847" s="1102"/>
      <c r="G847" s="623">
        <f t="shared" si="92"/>
        <v>0</v>
      </c>
      <c r="H847" s="623">
        <f t="shared" si="91"/>
        <v>0</v>
      </c>
      <c r="I847" s="741">
        <v>0</v>
      </c>
      <c r="J847" s="1150">
        <v>0</v>
      </c>
      <c r="IM847" s="98"/>
      <c r="IN847" s="98"/>
      <c r="IO847" s="98"/>
      <c r="IP847" s="98"/>
      <c r="IQ847" s="98"/>
      <c r="IR847" s="98"/>
      <c r="IS847" s="98"/>
    </row>
    <row r="848" spans="1:253" s="545" customFormat="1" x14ac:dyDescent="0.2">
      <c r="A848" s="699">
        <v>3699</v>
      </c>
      <c r="B848" s="626" t="s">
        <v>1846</v>
      </c>
      <c r="C848" s="637">
        <v>595000</v>
      </c>
      <c r="D848" s="637">
        <v>595000</v>
      </c>
      <c r="E848" s="637">
        <v>0</v>
      </c>
      <c r="F848" s="644"/>
      <c r="G848" s="630">
        <f t="shared" si="92"/>
        <v>0</v>
      </c>
      <c r="H848" s="1052">
        <f t="shared" si="91"/>
        <v>0</v>
      </c>
      <c r="I848" s="639">
        <v>0</v>
      </c>
      <c r="J848" s="1150">
        <v>0</v>
      </c>
      <c r="IM848" s="98"/>
      <c r="IN848" s="98"/>
      <c r="IO848" s="98"/>
      <c r="IP848" s="98"/>
      <c r="IQ848" s="98"/>
      <c r="IR848" s="98"/>
      <c r="IS848" s="98"/>
    </row>
    <row r="849" spans="1:253" s="550" customFormat="1" x14ac:dyDescent="0.2">
      <c r="A849" s="692"/>
      <c r="B849" s="1013"/>
      <c r="C849" s="785"/>
      <c r="D849" s="785"/>
      <c r="E849" s="785"/>
      <c r="F849" s="785"/>
      <c r="G849" s="785"/>
      <c r="H849" s="785"/>
      <c r="I849" s="1014"/>
      <c r="J849" s="1150"/>
      <c r="IM849" s="1"/>
      <c r="IN849" s="1"/>
      <c r="IO849" s="1"/>
      <c r="IP849" s="1"/>
      <c r="IQ849" s="1"/>
      <c r="IR849" s="1"/>
      <c r="IS849" s="1"/>
    </row>
    <row r="850" spans="1:253" s="558" customFormat="1" ht="20.25" x14ac:dyDescent="0.3">
      <c r="A850" s="1015"/>
      <c r="B850" s="787" t="s">
        <v>54</v>
      </c>
      <c r="C850" s="871">
        <f>SUM(C851:C857,C858,C859,C862,C869)-C853</f>
        <v>85052500</v>
      </c>
      <c r="D850" s="871">
        <f>SUM(D851:D857,D858,D859,D862,D869)-D853</f>
        <v>72637398.710000008</v>
      </c>
      <c r="E850" s="871">
        <v>44196067.630000003</v>
      </c>
      <c r="F850" s="1068">
        <f>SUM(E851:E852,E854:E859,E862,E869)</f>
        <v>44196067.630000003</v>
      </c>
      <c r="G850" s="735">
        <f t="shared" si="92"/>
        <v>51.963278716087125</v>
      </c>
      <c r="H850" s="735">
        <f t="shared" si="91"/>
        <v>60.844783011090286</v>
      </c>
      <c r="I850" s="1091">
        <f t="shared" si="93"/>
        <v>27.976544479731352</v>
      </c>
      <c r="J850" s="29">
        <v>157975434.25</v>
      </c>
    </row>
    <row r="851" spans="1:253" s="553" customFormat="1" ht="12.75" customHeight="1" x14ac:dyDescent="0.2">
      <c r="A851" s="1016" t="s">
        <v>1847</v>
      </c>
      <c r="B851" s="688" t="s">
        <v>1848</v>
      </c>
      <c r="C851" s="637">
        <v>242500</v>
      </c>
      <c r="D851" s="637">
        <f>242500-242500</f>
        <v>0</v>
      </c>
      <c r="E851" s="637">
        <v>0</v>
      </c>
      <c r="F851" s="644">
        <f>E850-F850</f>
        <v>0</v>
      </c>
      <c r="G851" s="630">
        <f t="shared" si="92"/>
        <v>0</v>
      </c>
      <c r="H851" s="1052">
        <v>0</v>
      </c>
      <c r="I851" s="639">
        <v>0</v>
      </c>
      <c r="J851" s="1037">
        <v>0</v>
      </c>
    </row>
    <row r="852" spans="1:253" s="98" customFormat="1" ht="12.75" customHeight="1" x14ac:dyDescent="0.3">
      <c r="A852" s="628" t="s">
        <v>1949</v>
      </c>
      <c r="B852" s="629" t="s">
        <v>1849</v>
      </c>
      <c r="C852" s="637">
        <f>C853</f>
        <v>0</v>
      </c>
      <c r="D852" s="637">
        <f>D853</f>
        <v>858339.22</v>
      </c>
      <c r="E852" s="637">
        <v>858339.22</v>
      </c>
      <c r="F852" s="644"/>
      <c r="G852" s="630">
        <v>0</v>
      </c>
      <c r="H852" s="1052">
        <f t="shared" si="91"/>
        <v>100</v>
      </c>
      <c r="I852" s="639">
        <f t="shared" si="93"/>
        <v>489.78461987933696</v>
      </c>
      <c r="J852" s="29">
        <v>175248.3</v>
      </c>
      <c r="K852" s="557"/>
    </row>
    <row r="853" spans="1:253" s="98" customFormat="1" ht="12.75" customHeight="1" x14ac:dyDescent="0.3">
      <c r="A853" s="663"/>
      <c r="B853" s="672" t="s">
        <v>1998</v>
      </c>
      <c r="C853" s="644">
        <v>0</v>
      </c>
      <c r="D853" s="644">
        <f>(15614.79+57246.53+130295.27+210485.42+444697.21)</f>
        <v>858339.22</v>
      </c>
      <c r="E853" s="644">
        <v>858339.22</v>
      </c>
      <c r="F853" s="644"/>
      <c r="G853" s="1051">
        <v>0</v>
      </c>
      <c r="H853" s="1055">
        <f t="shared" si="91"/>
        <v>100</v>
      </c>
      <c r="I853" s="670">
        <f t="shared" si="93"/>
        <v>489.78461987933696</v>
      </c>
      <c r="J853" s="29">
        <v>175248.3</v>
      </c>
      <c r="K853" s="557"/>
    </row>
    <row r="854" spans="1:253" s="98" customFormat="1" ht="12.75" customHeight="1" x14ac:dyDescent="0.3">
      <c r="A854" s="663">
        <v>3612</v>
      </c>
      <c r="B854" s="629" t="s">
        <v>1999</v>
      </c>
      <c r="C854" s="637">
        <v>0</v>
      </c>
      <c r="D854" s="637">
        <v>1000000</v>
      </c>
      <c r="E854" s="637">
        <v>444123.62</v>
      </c>
      <c r="F854" s="644"/>
      <c r="G854" s="630">
        <v>0</v>
      </c>
      <c r="H854" s="1052">
        <f t="shared" si="91"/>
        <v>44.412362000000002</v>
      </c>
      <c r="I854" s="639">
        <v>0</v>
      </c>
      <c r="J854" s="29">
        <v>0</v>
      </c>
      <c r="K854" s="558"/>
    </row>
    <row r="855" spans="1:253" s="98" customFormat="1" ht="12.75" customHeight="1" x14ac:dyDescent="0.3">
      <c r="A855" s="663">
        <v>3634</v>
      </c>
      <c r="B855" s="629" t="s">
        <v>1851</v>
      </c>
      <c r="C855" s="637">
        <v>8000000</v>
      </c>
      <c r="D855" s="637">
        <f>8000000-285281</f>
        <v>7714719</v>
      </c>
      <c r="E855" s="637">
        <v>7714719</v>
      </c>
      <c r="F855" s="644"/>
      <c r="G855" s="630">
        <f t="shared" si="92"/>
        <v>96.433987500000001</v>
      </c>
      <c r="H855" s="1052">
        <f t="shared" si="91"/>
        <v>100</v>
      </c>
      <c r="I855" s="639">
        <f t="shared" si="93"/>
        <v>94.827654447486793</v>
      </c>
      <c r="J855" s="29">
        <v>8135516</v>
      </c>
      <c r="K855" s="558"/>
    </row>
    <row r="856" spans="1:253" s="553" customFormat="1" ht="12.75" customHeight="1" x14ac:dyDescent="0.2">
      <c r="A856" s="660">
        <v>3639</v>
      </c>
      <c r="B856" s="626" t="s">
        <v>1852</v>
      </c>
      <c r="C856" s="637">
        <v>200000</v>
      </c>
      <c r="D856" s="637">
        <v>200000</v>
      </c>
      <c r="E856" s="637">
        <v>171857.56</v>
      </c>
      <c r="F856" s="644"/>
      <c r="G856" s="630">
        <f t="shared" si="92"/>
        <v>85.928779999999989</v>
      </c>
      <c r="H856" s="1052">
        <f t="shared" si="91"/>
        <v>85.928779999999989</v>
      </c>
      <c r="I856" s="639">
        <f t="shared" si="93"/>
        <v>910.11788381083511</v>
      </c>
      <c r="J856" s="1037">
        <v>18883</v>
      </c>
    </row>
    <row r="857" spans="1:253" ht="25.5" x14ac:dyDescent="0.2">
      <c r="A857" s="663">
        <v>6171</v>
      </c>
      <c r="B857" s="1017" t="s">
        <v>1853</v>
      </c>
      <c r="C857" s="637">
        <v>100000</v>
      </c>
      <c r="D857" s="637">
        <v>100000</v>
      </c>
      <c r="E857" s="637">
        <v>29945</v>
      </c>
      <c r="F857" s="644"/>
      <c r="G857" s="630">
        <f t="shared" si="92"/>
        <v>29.945</v>
      </c>
      <c r="H857" s="1052">
        <f t="shared" si="91"/>
        <v>29.945</v>
      </c>
      <c r="I857" s="639">
        <f t="shared" si="93"/>
        <v>51.031015678254946</v>
      </c>
      <c r="J857" s="1037">
        <v>58680</v>
      </c>
    </row>
    <row r="858" spans="1:253" x14ac:dyDescent="0.2">
      <c r="A858" s="663">
        <v>6310</v>
      </c>
      <c r="B858" s="629" t="s">
        <v>1856</v>
      </c>
      <c r="C858" s="637">
        <v>200000</v>
      </c>
      <c r="D858" s="637">
        <f>200000+50000</f>
        <v>250000</v>
      </c>
      <c r="E858" s="637">
        <v>251780.83</v>
      </c>
      <c r="F858" s="644"/>
      <c r="G858" s="630">
        <f t="shared" si="92"/>
        <v>125.890415</v>
      </c>
      <c r="H858" s="1052">
        <f t="shared" si="91"/>
        <v>100.712332</v>
      </c>
      <c r="I858" s="639">
        <f t="shared" si="93"/>
        <v>118.73332454947929</v>
      </c>
      <c r="J858" s="29">
        <v>212055.74</v>
      </c>
    </row>
    <row r="859" spans="1:253" x14ac:dyDescent="0.2">
      <c r="A859" s="663">
        <v>6399</v>
      </c>
      <c r="B859" s="629" t="s">
        <v>999</v>
      </c>
      <c r="C859" s="635">
        <f t="shared" ref="C859:D859" si="95">SUM(C860:C861)</f>
        <v>73000000</v>
      </c>
      <c r="D859" s="635">
        <f t="shared" si="95"/>
        <v>59949700</v>
      </c>
      <c r="E859" s="635">
        <v>32029443</v>
      </c>
      <c r="F859" s="652">
        <f>SUM(E860:E861)</f>
        <v>32029443</v>
      </c>
      <c r="G859" s="630">
        <f t="shared" si="92"/>
        <v>43.875949315068489</v>
      </c>
      <c r="H859" s="1052">
        <f t="shared" si="91"/>
        <v>53.427194798305912</v>
      </c>
      <c r="I859" s="639">
        <f t="shared" si="93"/>
        <v>68.670885872405776</v>
      </c>
      <c r="J859" s="29">
        <v>46641954</v>
      </c>
    </row>
    <row r="860" spans="1:253" x14ac:dyDescent="0.2">
      <c r="A860" s="664"/>
      <c r="B860" s="643" t="s">
        <v>1857</v>
      </c>
      <c r="C860" s="712">
        <v>40000000</v>
      </c>
      <c r="D860" s="712">
        <f>40000000-10050300</f>
        <v>29949700</v>
      </c>
      <c r="E860" s="712">
        <v>29949700</v>
      </c>
      <c r="F860" s="712"/>
      <c r="G860" s="1051">
        <f t="shared" si="92"/>
        <v>74.874250000000004</v>
      </c>
      <c r="H860" s="1055">
        <f t="shared" si="91"/>
        <v>100</v>
      </c>
      <c r="I860" s="670">
        <f t="shared" si="93"/>
        <v>79.606286487687612</v>
      </c>
      <c r="J860" s="29">
        <v>37622280</v>
      </c>
    </row>
    <row r="861" spans="1:253" x14ac:dyDescent="0.2">
      <c r="A861" s="664"/>
      <c r="B861" s="643" t="s">
        <v>1858</v>
      </c>
      <c r="C861" s="644">
        <v>33000000</v>
      </c>
      <c r="D861" s="644">
        <f>33000000-3000000</f>
        <v>30000000</v>
      </c>
      <c r="E861" s="644">
        <v>2079743</v>
      </c>
      <c r="F861" s="644"/>
      <c r="G861" s="1051">
        <f t="shared" si="92"/>
        <v>6.3022515151515153</v>
      </c>
      <c r="H861" s="1055">
        <f t="shared" si="91"/>
        <v>6.9324766666666662</v>
      </c>
      <c r="I861" s="670">
        <f t="shared" si="93"/>
        <v>23.057851093066112</v>
      </c>
      <c r="J861" s="29">
        <v>9019674</v>
      </c>
    </row>
    <row r="862" spans="1:253" s="98" customFormat="1" ht="12.75" customHeight="1" x14ac:dyDescent="0.3">
      <c r="A862" s="663">
        <v>6402</v>
      </c>
      <c r="B862" s="629" t="s">
        <v>1002</v>
      </c>
      <c r="C862" s="635">
        <f>SUM(C863:C868)</f>
        <v>0</v>
      </c>
      <c r="D862" s="635">
        <f>SUM(D863:D868)</f>
        <v>2112030.2800000003</v>
      </c>
      <c r="E862" s="635">
        <v>2188523.2999999998</v>
      </c>
      <c r="F862" s="652">
        <f>SUM(E863:E868)</f>
        <v>2188523.2999999998</v>
      </c>
      <c r="G862" s="630">
        <v>0</v>
      </c>
      <c r="H862" s="1052">
        <f t="shared" si="91"/>
        <v>103.62177667263366</v>
      </c>
      <c r="I862" s="639">
        <f t="shared" si="93"/>
        <v>1313.6872205555615</v>
      </c>
      <c r="J862" s="29">
        <v>166593.94</v>
      </c>
      <c r="K862" s="558"/>
    </row>
    <row r="863" spans="1:253" s="2" customFormat="1" ht="12.75" customHeight="1" x14ac:dyDescent="0.3">
      <c r="A863" s="715"/>
      <c r="B863" s="1151" t="s">
        <v>2000</v>
      </c>
      <c r="C863" s="644">
        <v>0</v>
      </c>
      <c r="D863" s="816">
        <v>8015</v>
      </c>
      <c r="E863" s="644">
        <v>8015</v>
      </c>
      <c r="F863" s="644"/>
      <c r="G863" s="1051">
        <v>0</v>
      </c>
      <c r="H863" s="1055">
        <f t="shared" si="91"/>
        <v>100</v>
      </c>
      <c r="I863" s="670">
        <v>0</v>
      </c>
      <c r="J863" s="88">
        <v>0</v>
      </c>
      <c r="K863" s="558"/>
    </row>
    <row r="864" spans="1:253" s="2" customFormat="1" ht="12.75" customHeight="1" x14ac:dyDescent="0.3">
      <c r="A864" s="715"/>
      <c r="B864" s="1151" t="s">
        <v>2001</v>
      </c>
      <c r="C864" s="644">
        <v>0</v>
      </c>
      <c r="D864" s="816">
        <v>33210</v>
      </c>
      <c r="E864" s="644">
        <v>33210</v>
      </c>
      <c r="F864" s="644"/>
      <c r="G864" s="1051">
        <v>0</v>
      </c>
      <c r="H864" s="1055">
        <f t="shared" si="91"/>
        <v>100</v>
      </c>
      <c r="I864" s="670">
        <v>0</v>
      </c>
      <c r="J864" s="88">
        <v>0</v>
      </c>
      <c r="K864" s="558"/>
    </row>
    <row r="865" spans="1:11" s="2" customFormat="1" ht="12.75" customHeight="1" x14ac:dyDescent="0.3">
      <c r="A865" s="715"/>
      <c r="B865" s="1151" t="s">
        <v>2002</v>
      </c>
      <c r="C865" s="644">
        <v>0</v>
      </c>
      <c r="D865" s="816">
        <v>1449005.28</v>
      </c>
      <c r="E865" s="644">
        <v>1449005.28</v>
      </c>
      <c r="F865" s="644"/>
      <c r="G865" s="1051">
        <v>0</v>
      </c>
      <c r="H865" s="1055">
        <f t="shared" si="91"/>
        <v>100</v>
      </c>
      <c r="I865" s="670">
        <v>0</v>
      </c>
      <c r="J865" s="88">
        <v>0</v>
      </c>
      <c r="K865" s="558"/>
    </row>
    <row r="866" spans="1:11" s="2" customFormat="1" ht="12.75" customHeight="1" x14ac:dyDescent="0.3">
      <c r="A866" s="715"/>
      <c r="B866" s="1151" t="s">
        <v>2003</v>
      </c>
      <c r="C866" s="644">
        <v>0</v>
      </c>
      <c r="D866" s="816">
        <v>0</v>
      </c>
      <c r="E866" s="644">
        <v>76493.02</v>
      </c>
      <c r="F866" s="644"/>
      <c r="G866" s="1051">
        <v>0</v>
      </c>
      <c r="H866" s="1055">
        <v>0</v>
      </c>
      <c r="I866" s="670">
        <v>0</v>
      </c>
      <c r="J866" s="88">
        <v>0</v>
      </c>
      <c r="K866" s="558"/>
    </row>
    <row r="867" spans="1:11" s="2" customFormat="1" ht="12.75" customHeight="1" x14ac:dyDescent="0.3">
      <c r="A867" s="715"/>
      <c r="B867" s="1151" t="s">
        <v>2004</v>
      </c>
      <c r="C867" s="644">
        <v>0</v>
      </c>
      <c r="D867" s="816">
        <v>221800</v>
      </c>
      <c r="E867" s="644">
        <v>221800</v>
      </c>
      <c r="F867" s="644"/>
      <c r="G867" s="1051">
        <v>0</v>
      </c>
      <c r="H867" s="1055">
        <f t="shared" si="91"/>
        <v>100</v>
      </c>
      <c r="I867" s="670">
        <v>0</v>
      </c>
      <c r="J867" s="88">
        <v>0</v>
      </c>
      <c r="K867" s="558"/>
    </row>
    <row r="868" spans="1:11" s="2" customFormat="1" ht="12.75" customHeight="1" x14ac:dyDescent="0.3">
      <c r="A868" s="715"/>
      <c r="B868" s="1151" t="s">
        <v>2005</v>
      </c>
      <c r="C868" s="644">
        <v>0</v>
      </c>
      <c r="D868" s="816">
        <v>400000</v>
      </c>
      <c r="E868" s="644">
        <v>400000</v>
      </c>
      <c r="F868" s="644"/>
      <c r="G868" s="1051">
        <v>0</v>
      </c>
      <c r="H868" s="1055">
        <f t="shared" si="91"/>
        <v>100</v>
      </c>
      <c r="I868" s="670">
        <v>0</v>
      </c>
      <c r="J868" s="88">
        <v>0</v>
      </c>
      <c r="K868" s="558"/>
    </row>
    <row r="869" spans="1:11" s="244" customFormat="1" ht="15.75" x14ac:dyDescent="0.25">
      <c r="A869" s="663">
        <v>6409</v>
      </c>
      <c r="B869" s="629" t="s">
        <v>1008</v>
      </c>
      <c r="C869" s="635">
        <f>SUM(C870:C873)</f>
        <v>3310000</v>
      </c>
      <c r="D869" s="635">
        <f>SUM(D870:D873)</f>
        <v>452610.21000000113</v>
      </c>
      <c r="E869" s="635">
        <v>507336.1</v>
      </c>
      <c r="F869" s="652">
        <f>SUM(E870:E873)</f>
        <v>507336.1</v>
      </c>
      <c r="G869" s="630">
        <f t="shared" si="92"/>
        <v>15.327374622356496</v>
      </c>
      <c r="H869" s="1052">
        <f t="shared" si="91"/>
        <v>112.09117443461973</v>
      </c>
      <c r="I869" s="639">
        <f t="shared" si="93"/>
        <v>0.49765956384560817</v>
      </c>
      <c r="J869" s="29">
        <v>101944408.76000001</v>
      </c>
    </row>
    <row r="870" spans="1:11" s="98" customFormat="1" x14ac:dyDescent="0.2">
      <c r="A870" s="1019"/>
      <c r="B870" s="690" t="s">
        <v>1009</v>
      </c>
      <c r="C870" s="694">
        <v>3000000</v>
      </c>
      <c r="D870" s="694">
        <f>3000000-508200+45455-2500000+2499800-1812000-76493.01-33698-3663880-120860.71-221800+50161+14000000+14055.43-1700000-300000-1938178.27-436000-175000+5706845.54+285281-7381538+384+80676.71+248308.32-1750000+43797-84940+3705.41-231000-50000+270+2989.27+(1200000-96800)+921600+(-89825-296450-213204)-5500000-1000000+(20000+76497+20200+36600+156589.67+5360+147136+87410+265673.13+2870000)-147136-176-1449005.28</f>
        <v>12610.210000001127</v>
      </c>
      <c r="E870" s="694">
        <v>0</v>
      </c>
      <c r="F870" s="694"/>
      <c r="G870" s="1051">
        <f t="shared" si="92"/>
        <v>0</v>
      </c>
      <c r="H870" s="1055">
        <f t="shared" si="91"/>
        <v>0</v>
      </c>
      <c r="I870" s="670">
        <v>0</v>
      </c>
      <c r="J870" s="29">
        <v>0</v>
      </c>
    </row>
    <row r="871" spans="1:11" s="98" customFormat="1" ht="38.25" x14ac:dyDescent="0.2">
      <c r="A871" s="832"/>
      <c r="B871" s="884" t="s">
        <v>1862</v>
      </c>
      <c r="C871" s="695">
        <f>80000+90000+85000+55000</f>
        <v>310000</v>
      </c>
      <c r="D871" s="695">
        <f>80000+90000+85000+55000+(40000+10000)+80000</f>
        <v>440000</v>
      </c>
      <c r="E871" s="695">
        <v>425355.12</v>
      </c>
      <c r="F871" s="695"/>
      <c r="G871" s="1051">
        <f t="shared" si="92"/>
        <v>137.21132903225805</v>
      </c>
      <c r="H871" s="1055">
        <f t="shared" si="91"/>
        <v>96.671618181818175</v>
      </c>
      <c r="I871" s="670">
        <f t="shared" si="93"/>
        <v>145.04092843081006</v>
      </c>
      <c r="J871" s="1037">
        <v>293265.58</v>
      </c>
    </row>
    <row r="872" spans="1:11" s="98" customFormat="1" x14ac:dyDescent="0.2">
      <c r="A872" s="832"/>
      <c r="B872" s="884" t="s">
        <v>2006</v>
      </c>
      <c r="C872" s="695">
        <v>0</v>
      </c>
      <c r="D872" s="695">
        <v>0</v>
      </c>
      <c r="E872" s="695">
        <v>86815.98</v>
      </c>
      <c r="F872" s="695"/>
      <c r="G872" s="1051">
        <v>0</v>
      </c>
      <c r="H872" s="1055">
        <v>0</v>
      </c>
      <c r="I872" s="670">
        <v>0</v>
      </c>
      <c r="J872" s="29">
        <v>0</v>
      </c>
    </row>
    <row r="873" spans="1:11" s="98" customFormat="1" x14ac:dyDescent="0.2">
      <c r="A873" s="832"/>
      <c r="B873" s="884" t="s">
        <v>2007</v>
      </c>
      <c r="C873" s="695">
        <v>0</v>
      </c>
      <c r="D873" s="695">
        <v>0</v>
      </c>
      <c r="E873" s="695">
        <f>(-600-4235)</f>
        <v>-4835</v>
      </c>
      <c r="F873" s="695"/>
      <c r="G873" s="1051">
        <v>0</v>
      </c>
      <c r="H873" s="1055">
        <v>0</v>
      </c>
      <c r="I873" s="670">
        <f t="shared" si="93"/>
        <v>967</v>
      </c>
      <c r="J873" s="29">
        <v>-500</v>
      </c>
    </row>
    <row r="874" spans="1:11" s="98" customFormat="1" x14ac:dyDescent="0.2">
      <c r="A874" s="749"/>
      <c r="B874" s="727"/>
      <c r="C874" s="682"/>
      <c r="D874" s="682"/>
      <c r="E874" s="682"/>
      <c r="F874" s="682"/>
      <c r="G874" s="682"/>
      <c r="H874" s="682"/>
      <c r="I874" s="1020"/>
      <c r="J874" s="29"/>
    </row>
    <row r="875" spans="1:11" s="98" customFormat="1" ht="23.25" x14ac:dyDescent="0.35">
      <c r="A875" s="613"/>
      <c r="B875" s="1021" t="s">
        <v>55</v>
      </c>
      <c r="C875" s="1022">
        <f>SUM(C227+C333+C494+C497+C503+C512+C516+C519+C611+C615+C634+C642+C675+C682+C707+C840+C850)</f>
        <v>1000477597.2</v>
      </c>
      <c r="D875" s="1022">
        <f>SUM(D227+D333+D494+D497+D503+D512+D516+D519+D611+D615+D634+D642+D675+D682+D707+D840+D850)</f>
        <v>1011396537.8599999</v>
      </c>
      <c r="E875" s="1022">
        <v>376413979.44</v>
      </c>
      <c r="F875" s="1152"/>
      <c r="G875" s="735">
        <f t="shared" si="92"/>
        <v>37.623429099607627</v>
      </c>
      <c r="H875" s="735">
        <f t="shared" si="91"/>
        <v>37.217250143692326</v>
      </c>
      <c r="I875" s="1083">
        <f t="shared" si="93"/>
        <v>79.406274754940696</v>
      </c>
      <c r="J875" s="29">
        <v>474035560.29000002</v>
      </c>
    </row>
    <row r="876" spans="1:11" ht="23.25" x14ac:dyDescent="0.35">
      <c r="B876" s="1024"/>
    </row>
    <row r="877" spans="1:11" x14ac:dyDescent="0.2">
      <c r="B877" s="564"/>
    </row>
    <row r="878" spans="1:11" s="98" customFormat="1" x14ac:dyDescent="0.2">
      <c r="A878" s="1"/>
      <c r="B878" s="1"/>
      <c r="C878" s="29">
        <f t="shared" ref="C878:I878" si="96">C9-C875</f>
        <v>0</v>
      </c>
      <c r="D878" s="29">
        <f t="shared" si="96"/>
        <v>0</v>
      </c>
      <c r="E878" s="29">
        <f t="shared" si="96"/>
        <v>0</v>
      </c>
      <c r="F878" s="29">
        <f t="shared" si="96"/>
        <v>0</v>
      </c>
      <c r="G878" s="29">
        <f t="shared" si="96"/>
        <v>0</v>
      </c>
      <c r="H878" s="29">
        <f t="shared" si="96"/>
        <v>0</v>
      </c>
      <c r="I878" s="29">
        <f t="shared" si="96"/>
        <v>0</v>
      </c>
      <c r="J878" s="29"/>
    </row>
    <row r="879" spans="1:11" s="98" customFormat="1" x14ac:dyDescent="0.2">
      <c r="A879" s="1"/>
      <c r="B879" s="1"/>
      <c r="C879" s="1"/>
      <c r="D879" s="1"/>
      <c r="E879" s="1"/>
      <c r="F879" s="1"/>
      <c r="G879" s="1"/>
      <c r="H879" s="1"/>
      <c r="J879" s="29"/>
    </row>
  </sheetData>
  <sheetProtection selectLockedCells="1" selectUnlockedCells="1"/>
  <pageMargins left="0" right="0" top="0.39370078740157477" bottom="0.39370078740157477" header="0.51181102362204722" footer="0.19685039370078738"/>
  <pageSetup paperSize="9" scale="65" firstPageNumber="0" orientation="landscape" horizontalDpi="300" verticalDpi="300"/>
  <headerFooter>
    <oddFooter>&amp;C&amp;P</oddFooter>
  </headerFooter>
  <rowBreaks count="2" manualBreakCount="2">
    <brk id="30" max="16383" man="1"/>
    <brk id="225" max="16383" man="1"/>
  </rowBreaks>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IT1012"/>
  <sheetViews>
    <sheetView workbookViewId="0">
      <selection activeCell="E3" sqref="E3:H31"/>
    </sheetView>
  </sheetViews>
  <sheetFormatPr defaultColWidth="9.5703125" defaultRowHeight="12.75" x14ac:dyDescent="0.2"/>
  <cols>
    <col min="1" max="1" width="11.85546875" style="1" customWidth="1"/>
    <col min="2" max="2" width="91.85546875" style="1" customWidth="1"/>
    <col min="3" max="5" width="26.85546875" style="1" customWidth="1"/>
    <col min="6" max="7" width="10.5703125" style="1" customWidth="1"/>
    <col min="8" max="8" width="12.140625" style="1" customWidth="1"/>
    <col min="9" max="16384" width="9.5703125" style="1"/>
  </cols>
  <sheetData>
    <row r="1" spans="1:9" ht="49.5" customHeight="1" x14ac:dyDescent="0.2">
      <c r="A1" s="565" t="s">
        <v>1</v>
      </c>
      <c r="B1" s="566" t="s">
        <v>1011</v>
      </c>
      <c r="C1" s="567" t="s">
        <v>1012</v>
      </c>
      <c r="D1" s="567" t="s">
        <v>2008</v>
      </c>
      <c r="E1" s="567" t="s">
        <v>1013</v>
      </c>
      <c r="F1" s="567" t="s">
        <v>1014</v>
      </c>
      <c r="G1" s="567" t="s">
        <v>1015</v>
      </c>
      <c r="H1" s="567" t="s">
        <v>1016</v>
      </c>
    </row>
    <row r="2" spans="1:9" ht="27" customHeight="1" x14ac:dyDescent="0.3">
      <c r="A2" s="568"/>
      <c r="B2" s="569" t="s">
        <v>56</v>
      </c>
      <c r="C2" s="570"/>
      <c r="D2" s="570"/>
      <c r="E2" s="571"/>
      <c r="F2" s="572"/>
      <c r="G2" s="573"/>
      <c r="H2" s="570"/>
      <c r="I2" s="574"/>
    </row>
    <row r="3" spans="1:9" s="98" customFormat="1" ht="27" customHeight="1" x14ac:dyDescent="0.25">
      <c r="A3" s="575"/>
      <c r="B3" s="576" t="s">
        <v>57</v>
      </c>
      <c r="C3" s="577">
        <f>C32</f>
        <v>520342400</v>
      </c>
      <c r="D3" s="577">
        <f>D32</f>
        <v>510422497</v>
      </c>
      <c r="E3" s="577"/>
      <c r="F3" s="577"/>
      <c r="G3" s="577"/>
      <c r="H3" s="577"/>
      <c r="I3" s="578"/>
    </row>
    <row r="4" spans="1:9" s="98" customFormat="1" ht="27" customHeight="1" x14ac:dyDescent="0.25">
      <c r="A4" s="579"/>
      <c r="B4" s="575" t="s">
        <v>10</v>
      </c>
      <c r="C4" s="577">
        <f>C65</f>
        <v>153980616.31999999</v>
      </c>
      <c r="D4" s="577">
        <f>D65</f>
        <v>146950833.17000002</v>
      </c>
      <c r="E4" s="577"/>
      <c r="F4" s="577"/>
      <c r="G4" s="577"/>
      <c r="H4" s="577"/>
    </row>
    <row r="5" spans="1:9" s="98" customFormat="1" ht="27" customHeight="1" x14ac:dyDescent="0.25">
      <c r="A5" s="579"/>
      <c r="B5" s="575" t="s">
        <v>11</v>
      </c>
      <c r="C5" s="577">
        <f>C159</f>
        <v>87239000</v>
      </c>
      <c r="D5" s="577">
        <f>D159</f>
        <v>87459000</v>
      </c>
      <c r="E5" s="577"/>
      <c r="F5" s="577"/>
      <c r="G5" s="577"/>
      <c r="H5" s="577"/>
    </row>
    <row r="6" spans="1:9" s="98" customFormat="1" ht="27" customHeight="1" x14ac:dyDescent="0.25">
      <c r="A6" s="579"/>
      <c r="B6" s="575" t="s">
        <v>196</v>
      </c>
      <c r="C6" s="577">
        <f>C183</f>
        <v>66897844.799999997</v>
      </c>
      <c r="D6" s="577">
        <f>D183</f>
        <v>100046471.61</v>
      </c>
      <c r="E6" s="577"/>
      <c r="F6" s="577"/>
      <c r="G6" s="577"/>
      <c r="H6" s="577"/>
    </row>
    <row r="7" spans="1:9" s="98" customFormat="1" ht="27" customHeight="1" x14ac:dyDescent="0.3">
      <c r="A7" s="581"/>
      <c r="B7" s="581" t="s">
        <v>13</v>
      </c>
      <c r="C7" s="582">
        <f>C250</f>
        <v>828459861.11999989</v>
      </c>
      <c r="D7" s="582">
        <f>D250</f>
        <v>844878801.78000009</v>
      </c>
      <c r="E7" s="582"/>
      <c r="F7" s="582"/>
      <c r="G7" s="582"/>
      <c r="H7" s="582"/>
    </row>
    <row r="8" spans="1:9" s="98" customFormat="1" ht="27" customHeight="1" x14ac:dyDescent="0.25">
      <c r="A8" s="583"/>
      <c r="B8" s="584" t="s">
        <v>14</v>
      </c>
      <c r="C8" s="585">
        <f>C252</f>
        <v>172017736.07999998</v>
      </c>
      <c r="D8" s="585">
        <f>D252</f>
        <v>172017736.07999998</v>
      </c>
      <c r="E8" s="585"/>
      <c r="F8" s="585"/>
      <c r="G8" s="585"/>
      <c r="H8" s="585"/>
    </row>
    <row r="9" spans="1:9" s="85" customFormat="1" ht="27" customHeight="1" x14ac:dyDescent="0.4">
      <c r="A9" s="586"/>
      <c r="B9" s="587" t="s">
        <v>15</v>
      </c>
      <c r="C9" s="588">
        <f>C260</f>
        <v>1000477597.1999998</v>
      </c>
      <c r="D9" s="588">
        <f>D260</f>
        <v>1016896537.8600001</v>
      </c>
      <c r="E9" s="588"/>
      <c r="F9" s="588"/>
      <c r="G9" s="588"/>
      <c r="H9" s="588"/>
    </row>
    <row r="10" spans="1:9" s="98" customFormat="1" ht="27" customHeight="1" x14ac:dyDescent="0.3">
      <c r="A10" s="589"/>
      <c r="B10" s="590" t="s">
        <v>257</v>
      </c>
      <c r="C10" s="591"/>
      <c r="D10" s="591"/>
      <c r="E10" s="592"/>
      <c r="F10" s="591"/>
      <c r="G10" s="591"/>
      <c r="H10" s="591"/>
    </row>
    <row r="11" spans="1:9" s="593" customFormat="1" ht="27" customHeight="1" x14ac:dyDescent="0.2">
      <c r="A11" s="594"/>
      <c r="B11" s="594" t="s">
        <v>17</v>
      </c>
      <c r="C11" s="595">
        <f>C30-C12</f>
        <v>760881693</v>
      </c>
      <c r="D11" s="595">
        <f>D30-D12</f>
        <v>777300633.65999985</v>
      </c>
      <c r="E11" s="595"/>
      <c r="F11" s="595"/>
      <c r="G11" s="595"/>
      <c r="H11" s="595"/>
    </row>
    <row r="12" spans="1:9" s="593" customFormat="1" ht="27" customHeight="1" x14ac:dyDescent="0.2">
      <c r="A12" s="596"/>
      <c r="B12" s="597" t="s">
        <v>18</v>
      </c>
      <c r="C12" s="598">
        <v>239595904.19999999</v>
      </c>
      <c r="D12" s="598">
        <v>239595904.19999999</v>
      </c>
      <c r="E12" s="598"/>
      <c r="F12" s="598"/>
      <c r="G12" s="598"/>
      <c r="H12" s="598"/>
    </row>
    <row r="13" spans="1:9" s="12" customFormat="1" ht="27" customHeight="1" x14ac:dyDescent="0.25">
      <c r="A13" s="599"/>
      <c r="B13" s="600" t="s">
        <v>258</v>
      </c>
      <c r="C13" s="601">
        <f>C262</f>
        <v>75934044.200000003</v>
      </c>
      <c r="D13" s="601">
        <f>D262</f>
        <v>76099081.200000003</v>
      </c>
      <c r="E13" s="601"/>
      <c r="F13" s="601"/>
      <c r="G13" s="601"/>
      <c r="H13" s="601"/>
    </row>
    <row r="14" spans="1:9" s="12" customFormat="1" ht="27" customHeight="1" x14ac:dyDescent="0.25">
      <c r="A14" s="599"/>
      <c r="B14" s="600" t="s">
        <v>1017</v>
      </c>
      <c r="C14" s="601">
        <f>C374</f>
        <v>196635250</v>
      </c>
      <c r="D14" s="601">
        <f>D374</f>
        <v>195707268</v>
      </c>
      <c r="E14" s="601"/>
      <c r="F14" s="601"/>
      <c r="G14" s="601"/>
      <c r="H14" s="601"/>
    </row>
    <row r="15" spans="1:9" s="12" customFormat="1" ht="27" customHeight="1" x14ac:dyDescent="0.25">
      <c r="A15" s="602"/>
      <c r="B15" s="600" t="s">
        <v>31</v>
      </c>
      <c r="C15" s="601">
        <f>C572</f>
        <v>15000</v>
      </c>
      <c r="D15" s="601">
        <f>D572</f>
        <v>15000</v>
      </c>
      <c r="E15" s="601"/>
      <c r="F15" s="601"/>
      <c r="G15" s="601"/>
      <c r="H15" s="601"/>
    </row>
    <row r="16" spans="1:9" s="603" customFormat="1" ht="27" customHeight="1" x14ac:dyDescent="0.25">
      <c r="A16" s="600"/>
      <c r="B16" s="600" t="s">
        <v>1018</v>
      </c>
      <c r="C16" s="604">
        <f>C575</f>
        <v>13200772</v>
      </c>
      <c r="D16" s="604">
        <f>D575</f>
        <v>13802650.27</v>
      </c>
      <c r="E16" s="604"/>
      <c r="F16" s="604"/>
      <c r="G16" s="604"/>
      <c r="H16" s="604"/>
    </row>
    <row r="17" spans="1:254" s="603" customFormat="1" ht="27" customHeight="1" x14ac:dyDescent="0.25">
      <c r="A17" s="602"/>
      <c r="B17" s="600" t="s">
        <v>33</v>
      </c>
      <c r="C17" s="601">
        <f>C581</f>
        <v>10220291</v>
      </c>
      <c r="D17" s="601">
        <f>D581</f>
        <v>10451291</v>
      </c>
      <c r="E17" s="601"/>
      <c r="F17" s="601"/>
      <c r="G17" s="601"/>
      <c r="H17" s="601"/>
    </row>
    <row r="18" spans="1:254" s="603" customFormat="1" ht="27" customHeight="1" x14ac:dyDescent="0.25">
      <c r="A18" s="602"/>
      <c r="B18" s="600" t="s">
        <v>34</v>
      </c>
      <c r="C18" s="601">
        <f>C590</f>
        <v>162000</v>
      </c>
      <c r="D18" s="601">
        <f>D590</f>
        <v>162000</v>
      </c>
      <c r="E18" s="601"/>
      <c r="F18" s="601"/>
      <c r="G18" s="601"/>
      <c r="H18" s="601"/>
    </row>
    <row r="19" spans="1:254" s="603" customFormat="1" ht="27" customHeight="1" x14ac:dyDescent="0.25">
      <c r="A19" s="605"/>
      <c r="B19" s="600" t="s">
        <v>624</v>
      </c>
      <c r="C19" s="601">
        <f>C594</f>
        <v>250000</v>
      </c>
      <c r="D19" s="601">
        <f>D594</f>
        <v>1114200</v>
      </c>
      <c r="E19" s="601"/>
      <c r="F19" s="601"/>
      <c r="G19" s="601"/>
      <c r="H19" s="601"/>
    </row>
    <row r="20" spans="1:254" s="606" customFormat="1" ht="27" customHeight="1" x14ac:dyDescent="0.25">
      <c r="A20" s="607"/>
      <c r="B20" s="608" t="s">
        <v>36</v>
      </c>
      <c r="C20" s="601">
        <f>C598</f>
        <v>117668120</v>
      </c>
      <c r="D20" s="601">
        <f>D598</f>
        <v>132562479.09999999</v>
      </c>
      <c r="E20" s="601"/>
      <c r="F20" s="601"/>
      <c r="G20" s="601"/>
      <c r="H20" s="601"/>
    </row>
    <row r="21" spans="1:254" s="12" customFormat="1" ht="27" customHeight="1" x14ac:dyDescent="0.25">
      <c r="A21" s="600"/>
      <c r="B21" s="600" t="s">
        <v>710</v>
      </c>
      <c r="C21" s="604">
        <f>C690</f>
        <v>28556700</v>
      </c>
      <c r="D21" s="604">
        <f>D690</f>
        <v>28556700</v>
      </c>
      <c r="E21" s="604"/>
      <c r="F21" s="604"/>
      <c r="G21" s="604"/>
      <c r="H21" s="604"/>
    </row>
    <row r="22" spans="1:254" s="12" customFormat="1" ht="27" customHeight="1" x14ac:dyDescent="0.25">
      <c r="A22" s="600"/>
      <c r="B22" s="600" t="s">
        <v>713</v>
      </c>
      <c r="C22" s="601">
        <f>C694</f>
        <v>31499210</v>
      </c>
      <c r="D22" s="601">
        <f>D694</f>
        <v>33098319.009999998</v>
      </c>
      <c r="E22" s="601"/>
      <c r="F22" s="601"/>
      <c r="G22" s="601"/>
      <c r="H22" s="601"/>
    </row>
    <row r="23" spans="1:254" s="12" customFormat="1" ht="27" customHeight="1" x14ac:dyDescent="0.25">
      <c r="A23" s="600"/>
      <c r="B23" s="600" t="s">
        <v>729</v>
      </c>
      <c r="C23" s="609">
        <f>C714</f>
        <v>166253060</v>
      </c>
      <c r="D23" s="609">
        <f>D714</f>
        <v>167777260</v>
      </c>
      <c r="E23" s="609"/>
      <c r="F23" s="609"/>
      <c r="G23" s="609"/>
      <c r="H23" s="609"/>
    </row>
    <row r="24" spans="1:254" s="12" customFormat="1" ht="27" customHeight="1" x14ac:dyDescent="0.25">
      <c r="A24" s="600"/>
      <c r="B24" s="600" t="s">
        <v>43</v>
      </c>
      <c r="C24" s="609">
        <f>C722</f>
        <v>15923250</v>
      </c>
      <c r="D24" s="609">
        <f>D722</f>
        <v>15923250</v>
      </c>
      <c r="E24" s="609"/>
      <c r="F24" s="609"/>
      <c r="G24" s="609"/>
      <c r="H24" s="609"/>
    </row>
    <row r="25" spans="1:254" s="12" customFormat="1" ht="27" customHeight="1" x14ac:dyDescent="0.25">
      <c r="A25" s="600"/>
      <c r="B25" s="600" t="s">
        <v>771</v>
      </c>
      <c r="C25" s="601">
        <f>C765</f>
        <v>18717400</v>
      </c>
      <c r="D25" s="601">
        <f>D765</f>
        <v>24729128</v>
      </c>
      <c r="E25" s="601"/>
      <c r="F25" s="601"/>
      <c r="G25" s="601"/>
      <c r="H25" s="601"/>
    </row>
    <row r="26" spans="1:254" s="12" customFormat="1" ht="27" customHeight="1" x14ac:dyDescent="0.25">
      <c r="A26" s="600"/>
      <c r="B26" s="600" t="s">
        <v>1871</v>
      </c>
      <c r="C26" s="604">
        <f>C772</f>
        <v>87547000</v>
      </c>
      <c r="D26" s="604">
        <f>D772</f>
        <v>92910285</v>
      </c>
      <c r="E26" s="604"/>
      <c r="F26" s="604"/>
      <c r="G26" s="604"/>
      <c r="H26" s="604"/>
    </row>
    <row r="27" spans="1:254" s="12" customFormat="1" ht="27" customHeight="1" x14ac:dyDescent="0.25">
      <c r="A27" s="600"/>
      <c r="B27" s="600" t="s">
        <v>797</v>
      </c>
      <c r="C27" s="601">
        <f>C799</f>
        <v>151698000</v>
      </c>
      <c r="D27" s="601">
        <f>D799</f>
        <v>144705227.56999999</v>
      </c>
      <c r="E27" s="601"/>
      <c r="F27" s="601"/>
      <c r="G27" s="601"/>
      <c r="H27" s="601"/>
    </row>
    <row r="28" spans="1:254" s="610" customFormat="1" ht="27" customHeight="1" x14ac:dyDescent="0.25">
      <c r="A28" s="600"/>
      <c r="B28" s="600" t="s">
        <v>1872</v>
      </c>
      <c r="C28" s="604">
        <f>C972</f>
        <v>1145000</v>
      </c>
      <c r="D28" s="604">
        <f>D972</f>
        <v>1145000</v>
      </c>
      <c r="E28" s="604"/>
      <c r="F28" s="604"/>
      <c r="G28" s="604"/>
      <c r="H28" s="604"/>
      <c r="IN28" s="603"/>
      <c r="IO28" s="603"/>
      <c r="IP28" s="603"/>
      <c r="IQ28" s="603"/>
      <c r="IR28" s="603"/>
      <c r="IS28" s="603"/>
      <c r="IT28" s="603"/>
    </row>
    <row r="29" spans="1:254" s="603" customFormat="1" ht="27" customHeight="1" x14ac:dyDescent="0.25">
      <c r="A29" s="611"/>
      <c r="B29" s="611" t="s">
        <v>54</v>
      </c>
      <c r="C29" s="612">
        <f>C983</f>
        <v>85052500</v>
      </c>
      <c r="D29" s="612">
        <f>D983</f>
        <v>78137398.710000008</v>
      </c>
      <c r="E29" s="612"/>
      <c r="F29" s="612"/>
      <c r="G29" s="612"/>
      <c r="H29" s="612"/>
    </row>
    <row r="30" spans="1:254" s="98" customFormat="1" ht="27" customHeight="1" x14ac:dyDescent="0.35">
      <c r="A30" s="613"/>
      <c r="B30" s="613" t="s">
        <v>55</v>
      </c>
      <c r="C30" s="614">
        <f>C1008</f>
        <v>1000477597.2</v>
      </c>
      <c r="D30" s="614">
        <f>D1008</f>
        <v>1016896537.8599999</v>
      </c>
      <c r="E30" s="614"/>
      <c r="F30" s="614"/>
      <c r="G30" s="614"/>
      <c r="H30" s="614"/>
    </row>
    <row r="31" spans="1:254" ht="30" customHeight="1" x14ac:dyDescent="0.3">
      <c r="A31" s="617"/>
      <c r="B31" s="618" t="s">
        <v>56</v>
      </c>
      <c r="C31" s="619"/>
      <c r="D31" s="619"/>
      <c r="E31" s="619"/>
      <c r="F31" s="619"/>
      <c r="G31" s="619"/>
      <c r="H31" s="620"/>
    </row>
    <row r="32" spans="1:254" s="244" customFormat="1" ht="30" customHeight="1" x14ac:dyDescent="0.25">
      <c r="A32" s="621"/>
      <c r="B32" s="622" t="s">
        <v>57</v>
      </c>
      <c r="C32" s="623">
        <f>SUM(C33:C44,C48:C53,C60:C63)</f>
        <v>520342400</v>
      </c>
      <c r="D32" s="623">
        <f>SUM(D33:D44,D48:D53,D60:D63)</f>
        <v>510422497</v>
      </c>
      <c r="E32" s="623"/>
      <c r="F32" s="623"/>
      <c r="G32" s="623"/>
      <c r="H32" s="624"/>
    </row>
    <row r="33" spans="1:8" s="98" customFormat="1" ht="30" customHeight="1" x14ac:dyDescent="0.2">
      <c r="A33" s="625">
        <v>1111</v>
      </c>
      <c r="B33" s="626" t="s">
        <v>1021</v>
      </c>
      <c r="C33" s="572">
        <f>(42800000*0.161362/100)*1000-4062936</f>
        <v>65000000</v>
      </c>
      <c r="D33" s="572">
        <f>(42800000*0.161362/100)*1000-4062936</f>
        <v>65000000</v>
      </c>
      <c r="E33" s="572"/>
      <c r="F33" s="572"/>
      <c r="G33" s="572"/>
      <c r="H33" s="627"/>
    </row>
    <row r="34" spans="1:8" s="98" customFormat="1" ht="30" customHeight="1" x14ac:dyDescent="0.2">
      <c r="A34" s="628">
        <v>1111</v>
      </c>
      <c r="B34" s="629" t="s">
        <v>1022</v>
      </c>
      <c r="C34" s="630">
        <f>(2500000*0.24754/100)*1000-188500</f>
        <v>6000000</v>
      </c>
      <c r="D34" s="630">
        <f>(2500000*0.24754/100)*1000-188500</f>
        <v>6000000</v>
      </c>
      <c r="E34" s="630"/>
      <c r="F34" s="630"/>
      <c r="G34" s="630"/>
      <c r="H34" s="631"/>
    </row>
    <row r="35" spans="1:8" s="98" customFormat="1" ht="30" customHeight="1" x14ac:dyDescent="0.2">
      <c r="A35" s="628">
        <v>1112</v>
      </c>
      <c r="B35" s="629" t="s">
        <v>1023</v>
      </c>
      <c r="C35" s="632">
        <f>(2800000*0.161362/100)*1000-518136</f>
        <v>4000000</v>
      </c>
      <c r="D35" s="632">
        <f>(2800000*0.161362/100)*1000-518136</f>
        <v>4000000</v>
      </c>
      <c r="E35" s="632"/>
      <c r="F35" s="632"/>
      <c r="G35" s="632"/>
      <c r="H35" s="633"/>
    </row>
    <row r="36" spans="1:8" s="98" customFormat="1" ht="30" customHeight="1" x14ac:dyDescent="0.2">
      <c r="A36" s="628">
        <v>1113</v>
      </c>
      <c r="B36" s="629" t="s">
        <v>1024</v>
      </c>
      <c r="C36" s="632">
        <f>(9000000*0.161362/100)*1000-1522580</f>
        <v>13000000</v>
      </c>
      <c r="D36" s="632">
        <f>(9000000*0.161362/100)*1000-1522580</f>
        <v>13000000</v>
      </c>
      <c r="E36" s="632"/>
      <c r="F36" s="632"/>
      <c r="G36" s="632"/>
      <c r="H36" s="633"/>
    </row>
    <row r="37" spans="1:8" s="98" customFormat="1" ht="30" customHeight="1" x14ac:dyDescent="0.2">
      <c r="A37" s="628">
        <v>1121</v>
      </c>
      <c r="B37" s="629" t="s">
        <v>1025</v>
      </c>
      <c r="C37" s="632">
        <f>(63100000*0.161362/100)*1000-1819422</f>
        <v>100000000</v>
      </c>
      <c r="D37" s="632">
        <f>(63100000*0.161362/100)*1000-1819422</f>
        <v>100000000</v>
      </c>
      <c r="E37" s="632"/>
      <c r="F37" s="632"/>
      <c r="G37" s="632"/>
      <c r="H37" s="633"/>
    </row>
    <row r="38" spans="1:8" s="98" customFormat="1" ht="30" customHeight="1" x14ac:dyDescent="0.2">
      <c r="A38" s="628">
        <v>1122</v>
      </c>
      <c r="B38" s="634" t="s">
        <v>1026</v>
      </c>
      <c r="C38" s="635">
        <v>40000000</v>
      </c>
      <c r="D38" s="635">
        <f>40000000-10050300</f>
        <v>29949700</v>
      </c>
      <c r="E38" s="635"/>
      <c r="F38" s="635"/>
      <c r="G38" s="635"/>
      <c r="H38" s="636"/>
    </row>
    <row r="39" spans="1:8" s="98" customFormat="1" ht="30" customHeight="1" x14ac:dyDescent="0.2">
      <c r="A39" s="628">
        <v>1211</v>
      </c>
      <c r="B39" s="629" t="s">
        <v>1027</v>
      </c>
      <c r="C39" s="632">
        <f>(152800000*0.161362/100)*1000-1561136</f>
        <v>245000000.00000003</v>
      </c>
      <c r="D39" s="632">
        <f>(152800000*0.161362/100)*1000-1561136</f>
        <v>245000000.00000003</v>
      </c>
      <c r="E39" s="632"/>
      <c r="F39" s="632"/>
      <c r="G39" s="632"/>
      <c r="H39" s="633"/>
    </row>
    <row r="40" spans="1:8" s="98" customFormat="1" ht="30" customHeight="1" x14ac:dyDescent="0.2">
      <c r="A40" s="628">
        <v>1334</v>
      </c>
      <c r="B40" s="634" t="s">
        <v>1028</v>
      </c>
      <c r="C40" s="637">
        <v>50000</v>
      </c>
      <c r="D40" s="637">
        <v>50000</v>
      </c>
      <c r="E40" s="637"/>
      <c r="F40" s="637"/>
      <c r="G40" s="637"/>
      <c r="H40" s="633"/>
    </row>
    <row r="41" spans="1:8" s="98" customFormat="1" ht="30" customHeight="1" x14ac:dyDescent="0.2">
      <c r="A41" s="628">
        <v>1335</v>
      </c>
      <c r="B41" s="629" t="s">
        <v>1029</v>
      </c>
      <c r="C41" s="637">
        <v>5000</v>
      </c>
      <c r="D41" s="637">
        <v>5000</v>
      </c>
      <c r="E41" s="637"/>
      <c r="F41" s="637"/>
      <c r="G41" s="637"/>
      <c r="H41" s="633"/>
    </row>
    <row r="42" spans="1:8" s="98" customFormat="1" ht="30" customHeight="1" x14ac:dyDescent="0.2">
      <c r="A42" s="628">
        <v>1336</v>
      </c>
      <c r="B42" s="629" t="s">
        <v>1030</v>
      </c>
      <c r="C42" s="637">
        <v>8400</v>
      </c>
      <c r="D42" s="637">
        <v>8400</v>
      </c>
      <c r="E42" s="637"/>
      <c r="F42" s="637"/>
      <c r="G42" s="637"/>
      <c r="H42" s="638"/>
    </row>
    <row r="43" spans="1:8" s="98" customFormat="1" ht="30" customHeight="1" x14ac:dyDescent="0.2">
      <c r="A43" s="628">
        <v>1341</v>
      </c>
      <c r="B43" s="629" t="s">
        <v>1031</v>
      </c>
      <c r="C43" s="637">
        <v>600000</v>
      </c>
      <c r="D43" s="637">
        <v>600000</v>
      </c>
      <c r="E43" s="637"/>
      <c r="F43" s="637"/>
      <c r="G43" s="637"/>
      <c r="H43" s="639"/>
    </row>
    <row r="44" spans="1:8" s="98" customFormat="1" ht="30" customHeight="1" x14ac:dyDescent="0.2">
      <c r="A44" s="628">
        <v>1343</v>
      </c>
      <c r="B44" s="629" t="s">
        <v>1032</v>
      </c>
      <c r="C44" s="640">
        <f t="shared" ref="C44:D44" si="0">SUM(C45:C47)</f>
        <v>270000</v>
      </c>
      <c r="D44" s="640">
        <f t="shared" si="0"/>
        <v>346497</v>
      </c>
      <c r="E44" s="640"/>
      <c r="F44" s="640"/>
      <c r="G44" s="640"/>
      <c r="H44" s="641"/>
    </row>
    <row r="45" spans="1:8" ht="30" customHeight="1" x14ac:dyDescent="0.2">
      <c r="A45" s="642"/>
      <c r="B45" s="643" t="s">
        <v>1034</v>
      </c>
      <c r="C45" s="644">
        <v>120000</v>
      </c>
      <c r="D45" s="644">
        <f>120000+76497</f>
        <v>196497</v>
      </c>
      <c r="E45" s="644"/>
      <c r="F45" s="644"/>
      <c r="G45" s="644"/>
      <c r="H45" s="645"/>
    </row>
    <row r="46" spans="1:8" ht="30" customHeight="1" x14ac:dyDescent="0.2">
      <c r="A46" s="646"/>
      <c r="B46" s="643" t="s">
        <v>1035</v>
      </c>
      <c r="C46" s="644">
        <v>65000</v>
      </c>
      <c r="D46" s="644">
        <v>65000</v>
      </c>
      <c r="E46" s="644"/>
      <c r="F46" s="644"/>
      <c r="G46" s="644"/>
      <c r="H46" s="645"/>
    </row>
    <row r="47" spans="1:8" ht="30" customHeight="1" x14ac:dyDescent="0.2">
      <c r="A47" s="646"/>
      <c r="B47" s="643" t="s">
        <v>1036</v>
      </c>
      <c r="C47" s="644">
        <v>85000</v>
      </c>
      <c r="D47" s="644">
        <v>85000</v>
      </c>
      <c r="E47" s="644"/>
      <c r="F47" s="644"/>
      <c r="G47" s="644"/>
      <c r="H47" s="647"/>
    </row>
    <row r="48" spans="1:8" ht="30" customHeight="1" x14ac:dyDescent="0.2">
      <c r="A48" s="648">
        <v>1345</v>
      </c>
      <c r="B48" s="634" t="s">
        <v>1037</v>
      </c>
      <c r="C48" s="637">
        <v>12500000</v>
      </c>
      <c r="D48" s="637">
        <v>12500000</v>
      </c>
      <c r="E48" s="637"/>
      <c r="F48" s="637"/>
      <c r="G48" s="637"/>
      <c r="H48" s="638"/>
    </row>
    <row r="49" spans="1:30" s="98" customFormat="1" ht="30" customHeight="1" x14ac:dyDescent="0.2">
      <c r="A49" s="628">
        <v>1346</v>
      </c>
      <c r="B49" s="634" t="s">
        <v>1038</v>
      </c>
      <c r="C49" s="637">
        <v>121000</v>
      </c>
      <c r="D49" s="637">
        <f>121000+33700+20200</f>
        <v>174900</v>
      </c>
      <c r="E49" s="637"/>
      <c r="F49" s="637"/>
      <c r="G49" s="637"/>
      <c r="H49" s="639"/>
    </row>
    <row r="50" spans="1:30" s="98" customFormat="1" ht="30" customHeight="1" x14ac:dyDescent="0.2">
      <c r="A50" s="628">
        <v>1353</v>
      </c>
      <c r="B50" s="629" t="s">
        <v>1039</v>
      </c>
      <c r="C50" s="637">
        <v>550000</v>
      </c>
      <c r="D50" s="637">
        <v>550000</v>
      </c>
      <c r="E50" s="637"/>
      <c r="F50" s="637"/>
      <c r="G50" s="637"/>
      <c r="H50" s="633"/>
    </row>
    <row r="51" spans="1:30" s="98" customFormat="1" ht="30" customHeight="1" x14ac:dyDescent="0.2">
      <c r="A51" s="628">
        <v>1356</v>
      </c>
      <c r="B51" s="629" t="s">
        <v>1040</v>
      </c>
      <c r="C51" s="635">
        <v>250000</v>
      </c>
      <c r="D51" s="635">
        <v>250000</v>
      </c>
      <c r="E51" s="635"/>
      <c r="F51" s="635"/>
      <c r="G51" s="635"/>
      <c r="H51" s="633"/>
    </row>
    <row r="52" spans="1:30" s="98" customFormat="1" ht="30" customHeight="1" x14ac:dyDescent="0.2">
      <c r="A52" s="628">
        <v>1359</v>
      </c>
      <c r="B52" s="629" t="s">
        <v>1041</v>
      </c>
      <c r="C52" s="635">
        <v>0</v>
      </c>
      <c r="D52" s="635">
        <v>0</v>
      </c>
      <c r="E52" s="635"/>
      <c r="F52" s="635"/>
      <c r="G52" s="635"/>
      <c r="H52" s="633"/>
    </row>
    <row r="53" spans="1:30" s="98" customFormat="1" ht="30" customHeight="1" x14ac:dyDescent="0.2">
      <c r="A53" s="628">
        <v>1361</v>
      </c>
      <c r="B53" s="629" t="s">
        <v>1042</v>
      </c>
      <c r="C53" s="640">
        <f t="shared" ref="C53:D53" si="1">SUM(C54:C59)</f>
        <v>8488000</v>
      </c>
      <c r="D53" s="640">
        <f t="shared" si="1"/>
        <v>8488000</v>
      </c>
      <c r="E53" s="640"/>
      <c r="F53" s="640"/>
      <c r="G53" s="640"/>
      <c r="H53" s="641"/>
    </row>
    <row r="54" spans="1:30" ht="30" customHeight="1" x14ac:dyDescent="0.2">
      <c r="A54" s="646"/>
      <c r="B54" s="643" t="s">
        <v>1043</v>
      </c>
      <c r="C54" s="644">
        <v>5400000</v>
      </c>
      <c r="D54" s="644">
        <v>5400000</v>
      </c>
      <c r="E54" s="644"/>
      <c r="F54" s="644"/>
      <c r="G54" s="644"/>
      <c r="H54" s="645"/>
    </row>
    <row r="55" spans="1:30" ht="30" customHeight="1" x14ac:dyDescent="0.2">
      <c r="A55" s="649" t="s">
        <v>1044</v>
      </c>
      <c r="B55" s="650" t="s">
        <v>1045</v>
      </c>
      <c r="C55" s="644">
        <v>400000</v>
      </c>
      <c r="D55" s="644">
        <v>400000</v>
      </c>
      <c r="E55" s="644"/>
      <c r="F55" s="644"/>
      <c r="G55" s="644"/>
      <c r="H55" s="651"/>
    </row>
    <row r="56" spans="1:30" ht="30" customHeight="1" x14ac:dyDescent="0.2">
      <c r="A56" s="646"/>
      <c r="B56" s="643" t="s">
        <v>1046</v>
      </c>
      <c r="C56" s="644">
        <v>1000000</v>
      </c>
      <c r="D56" s="644">
        <v>1000000</v>
      </c>
      <c r="E56" s="644"/>
      <c r="F56" s="644"/>
      <c r="G56" s="644"/>
      <c r="H56" s="645"/>
    </row>
    <row r="57" spans="1:30" s="126" customFormat="1" ht="30" customHeight="1" x14ac:dyDescent="0.2">
      <c r="A57" s="642" t="s">
        <v>1047</v>
      </c>
      <c r="B57" s="643" t="s">
        <v>1048</v>
      </c>
      <c r="C57" s="652">
        <v>1500000</v>
      </c>
      <c r="D57" s="652">
        <v>1500000</v>
      </c>
      <c r="E57" s="652"/>
      <c r="F57" s="652"/>
      <c r="G57" s="652"/>
      <c r="H57" s="651"/>
      <c r="I57" s="130"/>
      <c r="J57" s="130"/>
      <c r="K57" s="130"/>
      <c r="L57" s="130"/>
      <c r="M57" s="130"/>
      <c r="N57" s="130"/>
      <c r="O57" s="130"/>
      <c r="P57" s="130"/>
      <c r="Q57" s="130"/>
      <c r="R57" s="130"/>
      <c r="S57" s="130"/>
      <c r="T57" s="130"/>
      <c r="U57" s="130"/>
      <c r="V57" s="130"/>
      <c r="W57" s="130"/>
      <c r="X57" s="130"/>
      <c r="Y57" s="130"/>
      <c r="Z57" s="130"/>
      <c r="AA57" s="130"/>
      <c r="AB57" s="130"/>
      <c r="AC57" s="130"/>
      <c r="AD57" s="130"/>
    </row>
    <row r="58" spans="1:30" ht="30" customHeight="1" x14ac:dyDescent="0.2">
      <c r="A58" s="646"/>
      <c r="B58" s="643" t="s">
        <v>1049</v>
      </c>
      <c r="C58" s="652">
        <v>182000</v>
      </c>
      <c r="D58" s="652">
        <v>182000</v>
      </c>
      <c r="E58" s="652"/>
      <c r="F58" s="652"/>
      <c r="G58" s="652"/>
      <c r="H58" s="647"/>
    </row>
    <row r="59" spans="1:30" ht="30" customHeight="1" x14ac:dyDescent="0.2">
      <c r="A59" s="646"/>
      <c r="B59" s="643" t="s">
        <v>1050</v>
      </c>
      <c r="C59" s="644">
        <v>6000</v>
      </c>
      <c r="D59" s="644">
        <v>6000</v>
      </c>
      <c r="E59" s="644"/>
      <c r="F59" s="644"/>
      <c r="G59" s="644"/>
      <c r="H59" s="645"/>
    </row>
    <row r="60" spans="1:30" ht="30" customHeight="1" x14ac:dyDescent="0.2">
      <c r="A60" s="642" t="s">
        <v>1051</v>
      </c>
      <c r="B60" s="629" t="s">
        <v>1052</v>
      </c>
      <c r="C60" s="637">
        <v>2500000</v>
      </c>
      <c r="D60" s="637">
        <v>2500000</v>
      </c>
      <c r="E60" s="637"/>
      <c r="F60" s="637"/>
      <c r="G60" s="637"/>
      <c r="H60" s="633"/>
    </row>
    <row r="61" spans="1:30" ht="30" customHeight="1" x14ac:dyDescent="0.2">
      <c r="A61" s="642" t="s">
        <v>1053</v>
      </c>
      <c r="B61" s="629" t="s">
        <v>1054</v>
      </c>
      <c r="C61" s="637">
        <v>0</v>
      </c>
      <c r="D61" s="637">
        <v>0</v>
      </c>
      <c r="E61" s="637"/>
      <c r="F61" s="637"/>
      <c r="G61" s="637"/>
      <c r="H61" s="633"/>
    </row>
    <row r="62" spans="1:30" ht="30" customHeight="1" x14ac:dyDescent="0.2">
      <c r="A62" s="642" t="s">
        <v>1055</v>
      </c>
      <c r="B62" s="629" t="s">
        <v>1056</v>
      </c>
      <c r="C62" s="637">
        <v>11000000</v>
      </c>
      <c r="D62" s="637">
        <v>11000000</v>
      </c>
      <c r="E62" s="637"/>
      <c r="F62" s="637"/>
      <c r="G62" s="637"/>
      <c r="H62" s="633"/>
    </row>
    <row r="63" spans="1:30" s="98" customFormat="1" ht="30" customHeight="1" x14ac:dyDescent="0.2">
      <c r="A63" s="628">
        <v>1511</v>
      </c>
      <c r="B63" s="629" t="s">
        <v>1057</v>
      </c>
      <c r="C63" s="635">
        <v>11000000</v>
      </c>
      <c r="D63" s="635">
        <v>11000000</v>
      </c>
      <c r="E63" s="635"/>
      <c r="F63" s="635"/>
      <c r="G63" s="635"/>
      <c r="H63" s="633"/>
    </row>
    <row r="64" spans="1:30" s="98" customFormat="1" ht="30" customHeight="1" x14ac:dyDescent="0.2">
      <c r="A64" s="653"/>
      <c r="B64" s="654"/>
      <c r="C64" s="655"/>
      <c r="D64" s="655"/>
      <c r="E64" s="655"/>
      <c r="F64" s="655"/>
      <c r="G64" s="655"/>
      <c r="H64" s="656"/>
    </row>
    <row r="65" spans="1:59" s="244" customFormat="1" ht="30" customHeight="1" x14ac:dyDescent="0.25">
      <c r="A65" s="621"/>
      <c r="B65" s="657" t="s">
        <v>10</v>
      </c>
      <c r="C65" s="658">
        <f>SUM(C66,C77:C80,C92:C93,C105:C106,C123:C126,C141:C141)</f>
        <v>153980616.31999999</v>
      </c>
      <c r="D65" s="658">
        <f>SUM(D66,D77:D80,D92:D93,D105:D106,D123:D126,D141:D141)</f>
        <v>146950833.17000002</v>
      </c>
      <c r="E65" s="658"/>
      <c r="F65" s="658"/>
      <c r="G65" s="658"/>
      <c r="H65" s="659"/>
    </row>
    <row r="66" spans="1:59" s="98" customFormat="1" ht="30" customHeight="1" x14ac:dyDescent="0.2">
      <c r="A66" s="660">
        <v>2111</v>
      </c>
      <c r="B66" s="626" t="s">
        <v>1058</v>
      </c>
      <c r="C66" s="661">
        <f>SUM(C67:C76)</f>
        <v>14425500</v>
      </c>
      <c r="D66" s="661">
        <f>SUM(D67:D76)</f>
        <v>14532910</v>
      </c>
      <c r="E66" s="661"/>
      <c r="F66" s="661"/>
      <c r="G66" s="661"/>
      <c r="H66" s="662"/>
    </row>
    <row r="67" spans="1:59" ht="30" customHeight="1" x14ac:dyDescent="0.2">
      <c r="A67" s="663"/>
      <c r="B67" s="643" t="s">
        <v>1059</v>
      </c>
      <c r="C67" s="644">
        <v>800000</v>
      </c>
      <c r="D67" s="644">
        <v>800000</v>
      </c>
      <c r="E67" s="644"/>
      <c r="F67" s="644"/>
      <c r="G67" s="644"/>
      <c r="H67" s="645"/>
    </row>
    <row r="68" spans="1:59" ht="30" customHeight="1" x14ac:dyDescent="0.2">
      <c r="A68" s="664"/>
      <c r="B68" s="643" t="s">
        <v>1060</v>
      </c>
      <c r="C68" s="644">
        <v>869000</v>
      </c>
      <c r="D68" s="644">
        <v>869000</v>
      </c>
      <c r="E68" s="644"/>
      <c r="F68" s="644"/>
      <c r="G68" s="644"/>
      <c r="H68" s="645"/>
    </row>
    <row r="69" spans="1:59" s="665" customFormat="1" ht="30" customHeight="1" x14ac:dyDescent="0.2">
      <c r="A69" s="664"/>
      <c r="B69" s="643" t="s">
        <v>1876</v>
      </c>
      <c r="C69" s="644">
        <v>0</v>
      </c>
      <c r="D69" s="644">
        <v>20000</v>
      </c>
      <c r="E69" s="644"/>
      <c r="F69" s="644"/>
      <c r="G69" s="644"/>
      <c r="H69" s="645"/>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row>
    <row r="70" spans="1:59" s="665" customFormat="1" ht="30" customHeight="1" x14ac:dyDescent="0.2">
      <c r="A70" s="664"/>
      <c r="B70" s="643" t="s">
        <v>1877</v>
      </c>
      <c r="C70" s="644">
        <v>0</v>
      </c>
      <c r="D70" s="644">
        <v>87410</v>
      </c>
      <c r="E70" s="644"/>
      <c r="F70" s="644"/>
      <c r="G70" s="644"/>
      <c r="H70" s="645"/>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row>
    <row r="71" spans="1:59" s="665" customFormat="1" ht="30" customHeight="1" x14ac:dyDescent="0.2">
      <c r="A71" s="664"/>
      <c r="B71" s="643" t="s">
        <v>1061</v>
      </c>
      <c r="C71" s="644">
        <v>5555000</v>
      </c>
      <c r="D71" s="644">
        <v>5555000</v>
      </c>
      <c r="E71" s="644"/>
      <c r="F71" s="644"/>
      <c r="G71" s="644"/>
      <c r="H71" s="645"/>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row>
    <row r="72" spans="1:59" s="665" customFormat="1" ht="30" customHeight="1" x14ac:dyDescent="0.2">
      <c r="A72" s="664"/>
      <c r="B72" s="643" t="s">
        <v>1062</v>
      </c>
      <c r="C72" s="644">
        <v>1850000</v>
      </c>
      <c r="D72" s="644">
        <v>1850000</v>
      </c>
      <c r="E72" s="644"/>
      <c r="F72" s="644"/>
      <c r="G72" s="644"/>
      <c r="H72" s="645"/>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row>
    <row r="73" spans="1:59" s="665" customFormat="1" ht="30" customHeight="1" x14ac:dyDescent="0.2">
      <c r="A73" s="664"/>
      <c r="B73" s="643" t="s">
        <v>1063</v>
      </c>
      <c r="C73" s="644">
        <v>2600000</v>
      </c>
      <c r="D73" s="644">
        <v>2600000</v>
      </c>
      <c r="E73" s="644"/>
      <c r="F73" s="644"/>
      <c r="G73" s="644"/>
      <c r="H73" s="645"/>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row>
    <row r="74" spans="1:59" ht="30" customHeight="1" x14ac:dyDescent="0.2">
      <c r="A74" s="664"/>
      <c r="B74" s="643" t="s">
        <v>1064</v>
      </c>
      <c r="C74" s="644">
        <v>2700000</v>
      </c>
      <c r="D74" s="644">
        <v>2700000</v>
      </c>
      <c r="E74" s="644"/>
      <c r="F74" s="644"/>
      <c r="G74" s="644"/>
      <c r="H74" s="645"/>
    </row>
    <row r="75" spans="1:59" ht="30" customHeight="1" x14ac:dyDescent="0.2">
      <c r="A75" s="664"/>
      <c r="B75" s="643" t="s">
        <v>1065</v>
      </c>
      <c r="C75" s="644">
        <v>51000</v>
      </c>
      <c r="D75" s="644">
        <v>51000</v>
      </c>
      <c r="E75" s="644"/>
      <c r="F75" s="644"/>
      <c r="G75" s="644"/>
      <c r="H75" s="645"/>
    </row>
    <row r="76" spans="1:59" ht="30" customHeight="1" x14ac:dyDescent="0.2">
      <c r="A76" s="664"/>
      <c r="B76" s="643" t="s">
        <v>1066</v>
      </c>
      <c r="C76" s="644">
        <v>500</v>
      </c>
      <c r="D76" s="644">
        <v>500</v>
      </c>
      <c r="E76" s="644"/>
      <c r="F76" s="644"/>
      <c r="G76" s="644"/>
      <c r="H76" s="645"/>
    </row>
    <row r="77" spans="1:59" s="666" customFormat="1" ht="30" customHeight="1" x14ac:dyDescent="0.2">
      <c r="A77" s="663">
        <v>2119</v>
      </c>
      <c r="B77" s="634" t="s">
        <v>1067</v>
      </c>
      <c r="C77" s="637">
        <v>4041000</v>
      </c>
      <c r="D77" s="637">
        <v>4041000</v>
      </c>
      <c r="E77" s="637"/>
      <c r="F77" s="637"/>
      <c r="G77" s="637"/>
      <c r="H77" s="636"/>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c r="AL77" s="98"/>
      <c r="AM77" s="98"/>
      <c r="AN77" s="98"/>
      <c r="AO77" s="98"/>
      <c r="AP77" s="98"/>
      <c r="AQ77" s="98"/>
      <c r="AR77" s="98"/>
      <c r="AS77" s="98"/>
      <c r="AT77" s="98"/>
      <c r="AU77" s="98"/>
      <c r="AV77" s="98"/>
      <c r="AW77" s="98"/>
      <c r="AX77" s="98"/>
      <c r="AY77" s="98"/>
      <c r="AZ77" s="98"/>
      <c r="BA77" s="98"/>
      <c r="BB77" s="98"/>
      <c r="BC77" s="98"/>
      <c r="BD77" s="98"/>
      <c r="BE77" s="98"/>
      <c r="BF77" s="98"/>
      <c r="BG77" s="98"/>
    </row>
    <row r="78" spans="1:59" s="98" customFormat="1" ht="30" customHeight="1" x14ac:dyDescent="0.2">
      <c r="A78" s="663">
        <v>2122</v>
      </c>
      <c r="B78" s="629" t="s">
        <v>1068</v>
      </c>
      <c r="C78" s="667">
        <f>3482748.36+196380+4788</f>
        <v>3683916.36</v>
      </c>
      <c r="D78" s="667">
        <f>3482748.36+196380+4788+384+43797+270</f>
        <v>3728367.36</v>
      </c>
      <c r="E78" s="667"/>
      <c r="F78" s="667"/>
      <c r="G78" s="667"/>
      <c r="H78" s="633"/>
    </row>
    <row r="79" spans="1:59" s="98" customFormat="1" ht="30" customHeight="1" x14ac:dyDescent="0.2">
      <c r="A79" s="663">
        <v>2131</v>
      </c>
      <c r="B79" s="634" t="s">
        <v>1069</v>
      </c>
      <c r="C79" s="637">
        <v>1150000</v>
      </c>
      <c r="D79" s="637">
        <v>1150000</v>
      </c>
      <c r="E79" s="637"/>
      <c r="F79" s="637"/>
      <c r="G79" s="637"/>
      <c r="H79" s="639"/>
    </row>
    <row r="80" spans="1:59" s="98" customFormat="1" ht="30" customHeight="1" x14ac:dyDescent="0.2">
      <c r="A80" s="663">
        <v>2132</v>
      </c>
      <c r="B80" s="629" t="s">
        <v>1070</v>
      </c>
      <c r="C80" s="635">
        <f>SUM(C81:C91)</f>
        <v>98533661.960000008</v>
      </c>
      <c r="D80" s="635">
        <f>SUM(D81:D91)</f>
        <v>91152123.960000008</v>
      </c>
      <c r="E80" s="635"/>
      <c r="F80" s="635"/>
      <c r="G80" s="635"/>
      <c r="H80" s="636"/>
    </row>
    <row r="81" spans="1:59" ht="30" customHeight="1" x14ac:dyDescent="0.2">
      <c r="A81" s="664"/>
      <c r="B81" s="643" t="s">
        <v>1071</v>
      </c>
      <c r="C81" s="644">
        <v>750000</v>
      </c>
      <c r="D81" s="644">
        <v>750000</v>
      </c>
      <c r="E81" s="644"/>
      <c r="F81" s="644"/>
      <c r="G81" s="644"/>
      <c r="H81" s="645"/>
    </row>
    <row r="82" spans="1:59" ht="30" customHeight="1" x14ac:dyDescent="0.2">
      <c r="A82" s="664"/>
      <c r="B82" s="643" t="s">
        <v>1072</v>
      </c>
      <c r="C82" s="644">
        <v>0</v>
      </c>
      <c r="D82" s="644">
        <v>0</v>
      </c>
      <c r="E82" s="644"/>
      <c r="F82" s="644"/>
      <c r="G82" s="644"/>
      <c r="H82" s="645"/>
    </row>
    <row r="83" spans="1:59" ht="30" customHeight="1" x14ac:dyDescent="0.2">
      <c r="A83" s="664"/>
      <c r="B83" s="643" t="s">
        <v>1073</v>
      </c>
      <c r="C83" s="644">
        <v>600000</v>
      </c>
      <c r="D83" s="644">
        <v>600000</v>
      </c>
      <c r="E83" s="644"/>
      <c r="F83" s="644"/>
      <c r="G83" s="644"/>
      <c r="H83" s="645"/>
    </row>
    <row r="84" spans="1:59" s="665" customFormat="1" ht="30" customHeight="1" x14ac:dyDescent="0.2">
      <c r="A84" s="664"/>
      <c r="B84" s="643" t="s">
        <v>1074</v>
      </c>
      <c r="C84" s="644">
        <v>300000</v>
      </c>
      <c r="D84" s="644">
        <v>300000</v>
      </c>
      <c r="E84" s="644"/>
      <c r="F84" s="644"/>
      <c r="G84" s="644"/>
      <c r="H84" s="645"/>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row>
    <row r="85" spans="1:59" s="665" customFormat="1" ht="30" customHeight="1" x14ac:dyDescent="0.2">
      <c r="A85" s="664"/>
      <c r="B85" s="650" t="s">
        <v>1075</v>
      </c>
      <c r="C85" s="644">
        <v>60721000</v>
      </c>
      <c r="D85" s="644">
        <v>60721000</v>
      </c>
      <c r="E85" s="644"/>
      <c r="F85" s="644"/>
      <c r="G85" s="644"/>
      <c r="H85" s="645"/>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row>
    <row r="86" spans="1:59" ht="30" customHeight="1" x14ac:dyDescent="0.2">
      <c r="A86" s="664"/>
      <c r="B86" s="650" t="s">
        <v>1076</v>
      </c>
      <c r="C86" s="644">
        <v>110123.96</v>
      </c>
      <c r="D86" s="644">
        <v>110123.96</v>
      </c>
      <c r="E86" s="644"/>
      <c r="F86" s="644"/>
      <c r="G86" s="644"/>
      <c r="H86" s="645"/>
    </row>
    <row r="87" spans="1:59" ht="30" customHeight="1" x14ac:dyDescent="0.2">
      <c r="A87" s="664"/>
      <c r="B87" s="643" t="s">
        <v>1077</v>
      </c>
      <c r="C87" s="644">
        <v>470000</v>
      </c>
      <c r="D87" s="644">
        <v>470000</v>
      </c>
      <c r="E87" s="644"/>
      <c r="F87" s="644"/>
      <c r="G87" s="644"/>
      <c r="H87" s="645"/>
    </row>
    <row r="88" spans="1:59" s="665" customFormat="1" ht="30" customHeight="1" x14ac:dyDescent="0.2">
      <c r="A88" s="664"/>
      <c r="B88" s="668" t="s">
        <v>1078</v>
      </c>
      <c r="C88" s="644">
        <v>16666000</v>
      </c>
      <c r="D88" s="644">
        <v>16666000</v>
      </c>
      <c r="E88" s="644"/>
      <c r="F88" s="644"/>
      <c r="G88" s="644"/>
      <c r="H88" s="645"/>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row>
    <row r="89" spans="1:59" s="665" customFormat="1" ht="30" customHeight="1" x14ac:dyDescent="0.2">
      <c r="A89" s="664"/>
      <c r="B89" s="643" t="s">
        <v>1079</v>
      </c>
      <c r="C89" s="644">
        <v>18881538</v>
      </c>
      <c r="D89" s="644">
        <f>18881538-7381538</f>
        <v>11500000</v>
      </c>
      <c r="E89" s="644"/>
      <c r="F89" s="644"/>
      <c r="G89" s="644"/>
      <c r="H89" s="645"/>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row>
    <row r="90" spans="1:59" s="665" customFormat="1" ht="30" customHeight="1" x14ac:dyDescent="0.2">
      <c r="A90" s="664"/>
      <c r="B90" s="643" t="s">
        <v>1080</v>
      </c>
      <c r="C90" s="644">
        <v>20000</v>
      </c>
      <c r="D90" s="644">
        <v>20000</v>
      </c>
      <c r="E90" s="644"/>
      <c r="F90" s="644"/>
      <c r="G90" s="644"/>
      <c r="H90" s="645"/>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row>
    <row r="91" spans="1:59" ht="30" customHeight="1" x14ac:dyDescent="0.2">
      <c r="A91" s="664"/>
      <c r="B91" s="643" t="s">
        <v>1081</v>
      </c>
      <c r="C91" s="644">
        <v>15000</v>
      </c>
      <c r="D91" s="644">
        <v>15000</v>
      </c>
      <c r="E91" s="644"/>
      <c r="F91" s="644"/>
      <c r="G91" s="644"/>
      <c r="H91" s="645"/>
    </row>
    <row r="92" spans="1:59" s="98" customFormat="1" ht="30" customHeight="1" x14ac:dyDescent="0.2">
      <c r="A92" s="663">
        <v>2141</v>
      </c>
      <c r="B92" s="629" t="s">
        <v>118</v>
      </c>
      <c r="C92" s="637">
        <v>10000</v>
      </c>
      <c r="D92" s="637">
        <v>10000</v>
      </c>
      <c r="E92" s="637"/>
      <c r="F92" s="637"/>
      <c r="G92" s="637"/>
      <c r="H92" s="633"/>
    </row>
    <row r="93" spans="1:59" s="98" customFormat="1" ht="30" customHeight="1" x14ac:dyDescent="0.2">
      <c r="A93" s="663">
        <v>2212</v>
      </c>
      <c r="B93" s="629" t="s">
        <v>1082</v>
      </c>
      <c r="C93" s="635">
        <f>SUM(C94:C104)</f>
        <v>11537000</v>
      </c>
      <c r="D93" s="635">
        <f>SUM(D94:D104)</f>
        <v>11730189.67</v>
      </c>
      <c r="E93" s="635"/>
      <c r="F93" s="635"/>
      <c r="G93" s="635"/>
      <c r="H93" s="636"/>
    </row>
    <row r="94" spans="1:59" ht="30" customHeight="1" x14ac:dyDescent="0.2">
      <c r="A94" s="642" t="s">
        <v>1083</v>
      </c>
      <c r="B94" s="643" t="s">
        <v>1084</v>
      </c>
      <c r="C94" s="644">
        <v>12000</v>
      </c>
      <c r="D94" s="644">
        <v>12000</v>
      </c>
      <c r="E94" s="644"/>
      <c r="F94" s="644"/>
      <c r="G94" s="644"/>
      <c r="H94" s="645"/>
    </row>
    <row r="95" spans="1:59" ht="30" customHeight="1" x14ac:dyDescent="0.2">
      <c r="A95" s="664"/>
      <c r="B95" s="643" t="s">
        <v>121</v>
      </c>
      <c r="C95" s="644">
        <v>55000</v>
      </c>
      <c r="D95" s="644">
        <f>55000+36600</f>
        <v>91600</v>
      </c>
      <c r="E95" s="644"/>
      <c r="F95" s="644"/>
      <c r="G95" s="644"/>
      <c r="H95" s="645"/>
    </row>
    <row r="96" spans="1:59" ht="30" customHeight="1" x14ac:dyDescent="0.2">
      <c r="A96" s="664"/>
      <c r="B96" s="643" t="s">
        <v>1878</v>
      </c>
      <c r="C96" s="669">
        <v>0</v>
      </c>
      <c r="D96" s="669">
        <f>(144589.67+12000)</f>
        <v>156589.67000000001</v>
      </c>
      <c r="E96" s="669"/>
      <c r="F96" s="669"/>
      <c r="G96" s="669"/>
      <c r="H96" s="645"/>
    </row>
    <row r="97" spans="1:59" ht="30" customHeight="1" x14ac:dyDescent="0.2">
      <c r="A97" s="664"/>
      <c r="B97" s="643" t="s">
        <v>1085</v>
      </c>
      <c r="C97" s="669">
        <v>2500000</v>
      </c>
      <c r="D97" s="669">
        <v>2500000</v>
      </c>
      <c r="E97" s="669"/>
      <c r="F97" s="669"/>
      <c r="G97" s="669"/>
      <c r="H97" s="645"/>
    </row>
    <row r="98" spans="1:59" ht="30" customHeight="1" x14ac:dyDescent="0.2">
      <c r="A98" s="664"/>
      <c r="B98" s="643" t="s">
        <v>1086</v>
      </c>
      <c r="C98" s="669">
        <v>7500000</v>
      </c>
      <c r="D98" s="669">
        <v>7500000</v>
      </c>
      <c r="E98" s="669"/>
      <c r="F98" s="669"/>
      <c r="G98" s="669"/>
      <c r="H98" s="670"/>
    </row>
    <row r="99" spans="1:59" s="665" customFormat="1" ht="30" customHeight="1" x14ac:dyDescent="0.2">
      <c r="A99" s="664"/>
      <c r="B99" s="643" t="s">
        <v>1087</v>
      </c>
      <c r="C99" s="644">
        <v>400000</v>
      </c>
      <c r="D99" s="644">
        <v>400000</v>
      </c>
      <c r="E99" s="644"/>
      <c r="F99" s="644"/>
      <c r="G99" s="644"/>
      <c r="H99" s="670"/>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row>
    <row r="100" spans="1:59" s="665" customFormat="1" ht="30" customHeight="1" x14ac:dyDescent="0.2">
      <c r="A100" s="664"/>
      <c r="B100" s="643" t="s">
        <v>1088</v>
      </c>
      <c r="C100" s="644">
        <v>50000</v>
      </c>
      <c r="D100" s="644">
        <v>50000</v>
      </c>
      <c r="E100" s="644"/>
      <c r="F100" s="644"/>
      <c r="G100" s="644"/>
      <c r="H100" s="645"/>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row>
    <row r="101" spans="1:59" ht="30" customHeight="1" x14ac:dyDescent="0.2">
      <c r="A101" s="664"/>
      <c r="B101" s="643" t="s">
        <v>126</v>
      </c>
      <c r="C101" s="644">
        <v>0</v>
      </c>
      <c r="D101" s="644">
        <v>0</v>
      </c>
      <c r="E101" s="644"/>
      <c r="F101" s="644"/>
      <c r="G101" s="644"/>
      <c r="H101" s="645"/>
    </row>
    <row r="102" spans="1:59" ht="30" customHeight="1" x14ac:dyDescent="0.2">
      <c r="A102" s="664"/>
      <c r="B102" s="643" t="s">
        <v>1089</v>
      </c>
      <c r="C102" s="644">
        <v>650000</v>
      </c>
      <c r="D102" s="644">
        <v>650000</v>
      </c>
      <c r="E102" s="644"/>
      <c r="F102" s="644"/>
      <c r="G102" s="644"/>
      <c r="H102" s="645"/>
    </row>
    <row r="103" spans="1:59" ht="30" customHeight="1" x14ac:dyDescent="0.2">
      <c r="A103" s="664"/>
      <c r="B103" s="643" t="s">
        <v>1090</v>
      </c>
      <c r="C103" s="644">
        <v>350000</v>
      </c>
      <c r="D103" s="644">
        <v>350000</v>
      </c>
      <c r="E103" s="644"/>
      <c r="F103" s="644"/>
      <c r="G103" s="644"/>
      <c r="H103" s="670"/>
    </row>
    <row r="104" spans="1:59" s="126" customFormat="1" ht="30" customHeight="1" x14ac:dyDescent="0.2">
      <c r="A104" s="642" t="s">
        <v>1083</v>
      </c>
      <c r="B104" s="643" t="s">
        <v>1091</v>
      </c>
      <c r="C104" s="644">
        <v>20000</v>
      </c>
      <c r="D104" s="644">
        <v>20000</v>
      </c>
      <c r="E104" s="644"/>
      <c r="F104" s="644"/>
      <c r="G104" s="644"/>
      <c r="H104" s="645"/>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row>
    <row r="105" spans="1:59" s="98" customFormat="1" ht="30" customHeight="1" x14ac:dyDescent="0.2">
      <c r="A105" s="663">
        <v>2222</v>
      </c>
      <c r="B105" s="634" t="s">
        <v>1092</v>
      </c>
      <c r="C105" s="637">
        <v>0</v>
      </c>
      <c r="D105" s="637">
        <v>0</v>
      </c>
      <c r="E105" s="637"/>
      <c r="F105" s="637"/>
      <c r="G105" s="637"/>
      <c r="H105" s="633"/>
    </row>
    <row r="106" spans="1:59" ht="30" customHeight="1" x14ac:dyDescent="0.2">
      <c r="A106" s="663">
        <v>2229</v>
      </c>
      <c r="B106" s="629" t="s">
        <v>1093</v>
      </c>
      <c r="C106" s="635">
        <f>SUM(C107:C122)</f>
        <v>1000000</v>
      </c>
      <c r="D106" s="635">
        <f>SUM(D107:D122)</f>
        <v>8003718.1799999997</v>
      </c>
      <c r="E106" s="635"/>
      <c r="F106" s="635"/>
      <c r="G106" s="635"/>
      <c r="H106" s="645"/>
      <c r="J106" s="150"/>
    </row>
    <row r="107" spans="1:59" ht="30" customHeight="1" x14ac:dyDescent="0.2">
      <c r="A107" s="664"/>
      <c r="B107" s="643" t="s">
        <v>1883</v>
      </c>
      <c r="C107" s="644">
        <v>0</v>
      </c>
      <c r="D107" s="644">
        <f>(91051.59+159661.95)</f>
        <v>250713.54</v>
      </c>
      <c r="E107" s="644"/>
      <c r="F107" s="644"/>
      <c r="G107" s="644"/>
      <c r="H107" s="645"/>
      <c r="J107" s="150"/>
    </row>
    <row r="108" spans="1:59" ht="30" customHeight="1" x14ac:dyDescent="0.2">
      <c r="A108" s="664"/>
      <c r="B108" s="643" t="s">
        <v>2009</v>
      </c>
      <c r="C108" s="644">
        <v>0</v>
      </c>
      <c r="D108" s="644">
        <v>0</v>
      </c>
      <c r="E108" s="644"/>
      <c r="F108" s="644"/>
      <c r="G108" s="644"/>
      <c r="H108" s="645"/>
      <c r="J108" s="150"/>
    </row>
    <row r="109" spans="1:59" ht="30" customHeight="1" x14ac:dyDescent="0.2">
      <c r="A109" s="664"/>
      <c r="B109" s="643" t="s">
        <v>1096</v>
      </c>
      <c r="C109" s="644">
        <v>0</v>
      </c>
      <c r="D109" s="644">
        <v>29886.84</v>
      </c>
      <c r="E109" s="644"/>
      <c r="F109" s="644"/>
      <c r="G109" s="644"/>
      <c r="H109" s="645"/>
      <c r="J109" s="150"/>
    </row>
    <row r="110" spans="1:59" ht="30" customHeight="1" x14ac:dyDescent="0.2">
      <c r="A110" s="664"/>
      <c r="B110" s="643" t="s">
        <v>1097</v>
      </c>
      <c r="C110" s="644">
        <v>0</v>
      </c>
      <c r="D110" s="644">
        <v>305600.84999999998</v>
      </c>
      <c r="E110" s="644"/>
      <c r="F110" s="644"/>
      <c r="G110" s="644"/>
      <c r="H110" s="645"/>
      <c r="J110" s="150"/>
    </row>
    <row r="111" spans="1:59" ht="30" customHeight="1" x14ac:dyDescent="0.2">
      <c r="A111" s="664"/>
      <c r="B111" s="643" t="s">
        <v>1098</v>
      </c>
      <c r="C111" s="644">
        <v>0</v>
      </c>
      <c r="D111" s="644">
        <v>151277.28</v>
      </c>
      <c r="E111" s="644"/>
      <c r="F111" s="644"/>
      <c r="G111" s="644"/>
      <c r="H111" s="645"/>
      <c r="J111" s="150"/>
    </row>
    <row r="112" spans="1:59" ht="30" customHeight="1" x14ac:dyDescent="0.2">
      <c r="A112" s="664"/>
      <c r="B112" s="643" t="s">
        <v>1099</v>
      </c>
      <c r="C112" s="644">
        <v>1000000</v>
      </c>
      <c r="D112" s="644">
        <f>1000000+5706845.54</f>
        <v>6706845.54</v>
      </c>
      <c r="E112" s="644"/>
      <c r="F112" s="644"/>
      <c r="G112" s="644"/>
      <c r="H112" s="645"/>
      <c r="J112" s="150"/>
    </row>
    <row r="113" spans="1:59" ht="30" customHeight="1" x14ac:dyDescent="0.2">
      <c r="A113" s="664"/>
      <c r="B113" s="643" t="s">
        <v>1100</v>
      </c>
      <c r="C113" s="644">
        <v>0</v>
      </c>
      <c r="D113" s="644">
        <f>265673.13</f>
        <v>265673.13</v>
      </c>
      <c r="E113" s="644"/>
      <c r="F113" s="644"/>
      <c r="G113" s="644"/>
      <c r="H113" s="645"/>
      <c r="J113" s="150"/>
    </row>
    <row r="114" spans="1:59" ht="30" customHeight="1" x14ac:dyDescent="0.2">
      <c r="A114" s="664"/>
      <c r="B114" s="643" t="s">
        <v>1101</v>
      </c>
      <c r="C114" s="644">
        <v>0</v>
      </c>
      <c r="D114" s="644">
        <v>0</v>
      </c>
      <c r="E114" s="644"/>
      <c r="F114" s="644"/>
      <c r="G114" s="644"/>
      <c r="H114" s="645"/>
      <c r="J114" s="150"/>
    </row>
    <row r="115" spans="1:59" ht="30" customHeight="1" x14ac:dyDescent="0.2">
      <c r="A115" s="664"/>
      <c r="B115" s="643" t="s">
        <v>1102</v>
      </c>
      <c r="C115" s="644">
        <v>0</v>
      </c>
      <c r="D115" s="644">
        <v>0</v>
      </c>
      <c r="E115" s="644"/>
      <c r="F115" s="644"/>
      <c r="G115" s="644"/>
      <c r="H115" s="645"/>
      <c r="J115" s="150"/>
    </row>
    <row r="116" spans="1:59" ht="30" customHeight="1" x14ac:dyDescent="0.2">
      <c r="A116" s="664"/>
      <c r="B116" s="643" t="s">
        <v>1103</v>
      </c>
      <c r="C116" s="644">
        <v>0</v>
      </c>
      <c r="D116" s="644">
        <v>0</v>
      </c>
      <c r="E116" s="644"/>
      <c r="F116" s="644"/>
      <c r="G116" s="644"/>
      <c r="H116" s="645"/>
      <c r="J116" s="150"/>
    </row>
    <row r="117" spans="1:59" ht="30" customHeight="1" x14ac:dyDescent="0.2">
      <c r="A117" s="664"/>
      <c r="B117" s="643" t="s">
        <v>1104</v>
      </c>
      <c r="C117" s="644">
        <v>0</v>
      </c>
      <c r="D117" s="644">
        <f>(5360+147136)</f>
        <v>152496</v>
      </c>
      <c r="E117" s="644"/>
      <c r="F117" s="644"/>
      <c r="G117" s="644"/>
      <c r="H117" s="645"/>
      <c r="J117" s="150"/>
    </row>
    <row r="118" spans="1:59" ht="30" customHeight="1" x14ac:dyDescent="0.2">
      <c r="A118" s="664"/>
      <c r="B118" s="643" t="s">
        <v>2010</v>
      </c>
      <c r="C118" s="644">
        <v>0</v>
      </c>
      <c r="D118" s="644">
        <f>100000-100000</f>
        <v>0</v>
      </c>
      <c r="E118" s="644"/>
      <c r="F118" s="644"/>
      <c r="G118" s="644"/>
      <c r="H118" s="645"/>
      <c r="J118" s="150"/>
    </row>
    <row r="119" spans="1:59" ht="30" customHeight="1" x14ac:dyDescent="0.2">
      <c r="A119" s="664"/>
      <c r="B119" s="643" t="s">
        <v>1105</v>
      </c>
      <c r="C119" s="644">
        <v>0</v>
      </c>
      <c r="D119" s="644">
        <v>0</v>
      </c>
      <c r="E119" s="644"/>
      <c r="F119" s="644"/>
      <c r="G119" s="644"/>
      <c r="H119" s="645"/>
      <c r="J119" s="150"/>
    </row>
    <row r="120" spans="1:59" ht="30" customHeight="1" x14ac:dyDescent="0.2">
      <c r="A120" s="832"/>
      <c r="B120" s="832" t="s">
        <v>1885</v>
      </c>
      <c r="C120" s="816">
        <v>0</v>
      </c>
      <c r="D120" s="816">
        <v>8015</v>
      </c>
      <c r="E120" s="1061"/>
      <c r="F120" s="1153"/>
      <c r="G120" s="1154"/>
      <c r="H120" s="816"/>
      <c r="I120" s="1062"/>
      <c r="J120" s="29"/>
      <c r="K120" s="150"/>
    </row>
    <row r="121" spans="1:59" ht="30" customHeight="1" x14ac:dyDescent="0.2">
      <c r="A121" s="832"/>
      <c r="B121" s="832" t="s">
        <v>1886</v>
      </c>
      <c r="C121" s="816">
        <v>0</v>
      </c>
      <c r="D121" s="816">
        <v>33210</v>
      </c>
      <c r="E121" s="1061"/>
      <c r="F121" s="1153"/>
      <c r="G121" s="1154"/>
      <c r="H121" s="816"/>
      <c r="I121" s="1062"/>
      <c r="J121" s="29"/>
      <c r="K121" s="150"/>
    </row>
    <row r="122" spans="1:59" ht="30" customHeight="1" x14ac:dyDescent="0.2">
      <c r="A122" s="832"/>
      <c r="B122" s="832" t="s">
        <v>1887</v>
      </c>
      <c r="C122" s="816">
        <v>0</v>
      </c>
      <c r="D122" s="816">
        <v>100000</v>
      </c>
      <c r="E122" s="1061"/>
      <c r="F122" s="1153"/>
      <c r="G122" s="1154"/>
      <c r="H122" s="816"/>
      <c r="I122" s="1062"/>
      <c r="J122" s="29"/>
      <c r="K122" s="150"/>
    </row>
    <row r="123" spans="1:59" ht="30" customHeight="1" x14ac:dyDescent="0.2">
      <c r="A123" s="663">
        <v>2310</v>
      </c>
      <c r="B123" s="629" t="s">
        <v>1106</v>
      </c>
      <c r="C123" s="637">
        <v>0</v>
      </c>
      <c r="D123" s="637">
        <v>0</v>
      </c>
      <c r="E123" s="637"/>
      <c r="F123" s="637"/>
      <c r="G123" s="637"/>
      <c r="H123" s="633"/>
    </row>
    <row r="124" spans="1:59" ht="30" customHeight="1" x14ac:dyDescent="0.2">
      <c r="A124" s="663">
        <v>2321</v>
      </c>
      <c r="B124" s="629" t="s">
        <v>1107</v>
      </c>
      <c r="C124" s="637">
        <v>100000</v>
      </c>
      <c r="D124" s="637">
        <f>100000+5000</f>
        <v>105000</v>
      </c>
      <c r="E124" s="637"/>
      <c r="F124" s="637"/>
      <c r="G124" s="637"/>
      <c r="H124" s="671"/>
    </row>
    <row r="125" spans="1:59" s="665" customFormat="1" ht="30" customHeight="1" x14ac:dyDescent="0.2">
      <c r="A125" s="663">
        <v>2322</v>
      </c>
      <c r="B125" s="629" t="s">
        <v>146</v>
      </c>
      <c r="C125" s="637">
        <v>20000</v>
      </c>
      <c r="D125" s="637">
        <f>20000+59931+206193</f>
        <v>286124</v>
      </c>
      <c r="E125" s="637"/>
      <c r="F125" s="637"/>
      <c r="G125" s="637"/>
      <c r="H125" s="633"/>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row>
    <row r="126" spans="1:59" s="98" customFormat="1" ht="30" customHeight="1" x14ac:dyDescent="0.2">
      <c r="A126" s="663">
        <v>2324</v>
      </c>
      <c r="B126" s="629" t="s">
        <v>147</v>
      </c>
      <c r="C126" s="635">
        <f>SUM(C127:C140)</f>
        <v>4270000</v>
      </c>
      <c r="D126" s="635">
        <f>SUM(D127:D140)</f>
        <v>5646400</v>
      </c>
      <c r="E126" s="635"/>
      <c r="F126" s="635"/>
      <c r="G126" s="635"/>
      <c r="H126" s="636"/>
    </row>
    <row r="127" spans="1:59" s="98" customFormat="1" ht="30" customHeight="1" x14ac:dyDescent="0.2">
      <c r="A127" s="663"/>
      <c r="B127" s="629" t="s">
        <v>1108</v>
      </c>
      <c r="C127" s="644">
        <v>0</v>
      </c>
      <c r="D127" s="644">
        <v>0</v>
      </c>
      <c r="E127" s="644"/>
      <c r="F127" s="644"/>
      <c r="G127" s="644"/>
      <c r="H127" s="636"/>
    </row>
    <row r="128" spans="1:59" s="98" customFormat="1" ht="30" customHeight="1" x14ac:dyDescent="0.2">
      <c r="A128" s="642"/>
      <c r="B128" s="672" t="s">
        <v>1110</v>
      </c>
      <c r="C128" s="644">
        <v>12000</v>
      </c>
      <c r="D128" s="644">
        <v>12000</v>
      </c>
      <c r="E128" s="644"/>
      <c r="F128" s="644"/>
      <c r="G128" s="644"/>
      <c r="H128" s="633"/>
    </row>
    <row r="129" spans="1:47" s="98" customFormat="1" ht="30" customHeight="1" x14ac:dyDescent="0.2">
      <c r="A129" s="663"/>
      <c r="B129" s="672" t="s">
        <v>1111</v>
      </c>
      <c r="C129" s="644">
        <v>30000</v>
      </c>
      <c r="D129" s="644">
        <v>30000</v>
      </c>
      <c r="E129" s="644"/>
      <c r="F129" s="644"/>
      <c r="G129" s="644"/>
      <c r="H129" s="671"/>
    </row>
    <row r="130" spans="1:47" s="98" customFormat="1" ht="30" customHeight="1" x14ac:dyDescent="0.2">
      <c r="A130" s="663"/>
      <c r="B130" s="672" t="s">
        <v>1112</v>
      </c>
      <c r="C130" s="644">
        <v>200000</v>
      </c>
      <c r="D130" s="644">
        <v>200000</v>
      </c>
      <c r="E130" s="644"/>
      <c r="F130" s="644"/>
      <c r="G130" s="644"/>
      <c r="H130" s="670"/>
    </row>
    <row r="131" spans="1:47" s="666" customFormat="1" ht="30" customHeight="1" x14ac:dyDescent="0.2">
      <c r="A131" s="663"/>
      <c r="B131" s="672" t="s">
        <v>1113</v>
      </c>
      <c r="C131" s="644">
        <v>300000</v>
      </c>
      <c r="D131" s="644">
        <v>300000</v>
      </c>
      <c r="E131" s="644"/>
      <c r="F131" s="644"/>
      <c r="G131" s="644"/>
      <c r="H131" s="633"/>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row>
    <row r="132" spans="1:47" s="666" customFormat="1" ht="30" customHeight="1" x14ac:dyDescent="0.2">
      <c r="A132" s="663"/>
      <c r="B132" s="672" t="s">
        <v>1114</v>
      </c>
      <c r="C132" s="644">
        <v>15000</v>
      </c>
      <c r="D132" s="644">
        <v>15000</v>
      </c>
      <c r="E132" s="644"/>
      <c r="F132" s="644"/>
      <c r="G132" s="644"/>
      <c r="H132" s="633"/>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row>
    <row r="133" spans="1:47" ht="30" customHeight="1" x14ac:dyDescent="0.2">
      <c r="A133" s="673"/>
      <c r="B133" s="674" t="s">
        <v>1115</v>
      </c>
      <c r="C133" s="644">
        <v>25000</v>
      </c>
      <c r="D133" s="644">
        <v>25000</v>
      </c>
      <c r="E133" s="644"/>
      <c r="F133" s="644"/>
      <c r="G133" s="644"/>
      <c r="H133" s="645"/>
    </row>
    <row r="134" spans="1:47" s="158" customFormat="1" ht="30" customHeight="1" x14ac:dyDescent="0.2">
      <c r="A134" s="664"/>
      <c r="B134" s="643" t="s">
        <v>1116</v>
      </c>
      <c r="C134" s="644">
        <v>600000</v>
      </c>
      <c r="D134" s="644">
        <v>600000</v>
      </c>
      <c r="E134" s="644"/>
      <c r="F134" s="644"/>
      <c r="G134" s="644"/>
      <c r="H134" s="675"/>
    </row>
    <row r="135" spans="1:47" s="158" customFormat="1" ht="30" customHeight="1" x14ac:dyDescent="0.2">
      <c r="A135" s="664"/>
      <c r="B135" s="643" t="s">
        <v>1117</v>
      </c>
      <c r="C135" s="644">
        <v>3000000</v>
      </c>
      <c r="D135" s="644">
        <v>3000000</v>
      </c>
      <c r="E135" s="644"/>
      <c r="F135" s="644"/>
      <c r="G135" s="644"/>
      <c r="H135" s="675"/>
    </row>
    <row r="136" spans="1:47" s="158" customFormat="1" ht="30" customHeight="1" x14ac:dyDescent="0.2">
      <c r="A136" s="664"/>
      <c r="B136" s="643" t="s">
        <v>1118</v>
      </c>
      <c r="C136" s="644">
        <v>3000</v>
      </c>
      <c r="D136" s="644">
        <v>3000</v>
      </c>
      <c r="E136" s="644"/>
      <c r="F136" s="644"/>
      <c r="G136" s="644"/>
      <c r="H136" s="675"/>
    </row>
    <row r="137" spans="1:47" s="158" customFormat="1" ht="30" customHeight="1" x14ac:dyDescent="0.2">
      <c r="A137" s="664"/>
      <c r="B137" s="643" t="s">
        <v>1119</v>
      </c>
      <c r="C137" s="644">
        <v>70000</v>
      </c>
      <c r="D137" s="644">
        <v>70000</v>
      </c>
      <c r="E137" s="644"/>
      <c r="F137" s="644"/>
      <c r="G137" s="644"/>
      <c r="H137" s="670"/>
    </row>
    <row r="138" spans="1:47" s="158" customFormat="1" ht="30" customHeight="1" x14ac:dyDescent="0.2">
      <c r="A138" s="642"/>
      <c r="B138" s="643" t="s">
        <v>1121</v>
      </c>
      <c r="C138" s="644">
        <v>15000</v>
      </c>
      <c r="D138" s="644">
        <v>15000</v>
      </c>
      <c r="E138" s="644"/>
      <c r="F138" s="644"/>
      <c r="G138" s="644"/>
      <c r="H138" s="675"/>
    </row>
    <row r="139" spans="1:47" s="158" customFormat="1" ht="30" customHeight="1" x14ac:dyDescent="0.2">
      <c r="A139" s="1063"/>
      <c r="B139" s="1064" t="s">
        <v>2011</v>
      </c>
      <c r="C139" s="644">
        <v>0</v>
      </c>
      <c r="D139" s="644">
        <f>227100+232500+210000+231000+234000+241800</f>
        <v>1376400</v>
      </c>
      <c r="E139" s="695"/>
      <c r="F139" s="695"/>
      <c r="G139" s="1154"/>
      <c r="H139" s="816"/>
      <c r="I139" s="1062"/>
      <c r="J139" s="29"/>
    </row>
    <row r="140" spans="1:47" s="158" customFormat="1" ht="30" customHeight="1" x14ac:dyDescent="0.2">
      <c r="A140" s="664"/>
      <c r="B140" s="643" t="s">
        <v>1122</v>
      </c>
      <c r="C140" s="644">
        <v>0</v>
      </c>
      <c r="D140" s="644">
        <v>0</v>
      </c>
      <c r="E140" s="644"/>
      <c r="F140" s="644"/>
      <c r="G140" s="644"/>
      <c r="H140" s="675"/>
    </row>
    <row r="141" spans="1:47" s="98" customFormat="1" ht="30" customHeight="1" x14ac:dyDescent="0.2">
      <c r="A141" s="663">
        <v>2329</v>
      </c>
      <c r="B141" s="629" t="s">
        <v>164</v>
      </c>
      <c r="C141" s="635">
        <f>SUM(C142:C157)</f>
        <v>15209538</v>
      </c>
      <c r="D141" s="635">
        <f>SUM(D142:D157)</f>
        <v>6565000</v>
      </c>
      <c r="E141" s="635"/>
      <c r="F141" s="635"/>
      <c r="G141" s="635"/>
      <c r="H141" s="635"/>
    </row>
    <row r="142" spans="1:47" ht="30" customHeight="1" x14ac:dyDescent="0.2">
      <c r="A142" s="664"/>
      <c r="B142" s="643" t="s">
        <v>1123</v>
      </c>
      <c r="C142" s="644">
        <v>5000</v>
      </c>
      <c r="D142" s="644">
        <v>5000</v>
      </c>
      <c r="E142" s="644"/>
      <c r="F142" s="644"/>
      <c r="G142" s="644"/>
      <c r="H142" s="645"/>
    </row>
    <row r="143" spans="1:47" s="665" customFormat="1" ht="30" customHeight="1" x14ac:dyDescent="0.2">
      <c r="A143" s="664"/>
      <c r="B143" s="643" t="s">
        <v>1124</v>
      </c>
      <c r="C143" s="644">
        <v>500000</v>
      </c>
      <c r="D143" s="644">
        <v>500000</v>
      </c>
      <c r="E143" s="644"/>
      <c r="F143" s="644"/>
      <c r="G143" s="644"/>
      <c r="H143" s="645"/>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row>
    <row r="144" spans="1:47" s="665" customFormat="1" ht="30" customHeight="1" x14ac:dyDescent="0.2">
      <c r="A144" s="664"/>
      <c r="B144" s="643" t="s">
        <v>1126</v>
      </c>
      <c r="C144" s="644">
        <v>20000</v>
      </c>
      <c r="D144" s="644">
        <v>20000</v>
      </c>
      <c r="E144" s="644"/>
      <c r="F144" s="644"/>
      <c r="G144" s="644"/>
      <c r="H144" s="645"/>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row>
    <row r="145" spans="1:47" ht="30" customHeight="1" x14ac:dyDescent="0.2">
      <c r="A145" s="664"/>
      <c r="B145" s="643" t="s">
        <v>1127</v>
      </c>
      <c r="C145" s="644">
        <v>200000</v>
      </c>
      <c r="D145" s="644">
        <v>200000</v>
      </c>
      <c r="E145" s="644"/>
      <c r="F145" s="644"/>
      <c r="G145" s="644"/>
      <c r="H145" s="645"/>
    </row>
    <row r="146" spans="1:47" ht="30" customHeight="1" x14ac:dyDescent="0.2">
      <c r="A146" s="664"/>
      <c r="B146" s="643" t="s">
        <v>1128</v>
      </c>
      <c r="C146" s="644">
        <v>50000</v>
      </c>
      <c r="D146" s="644">
        <v>50000</v>
      </c>
      <c r="E146" s="644"/>
      <c r="F146" s="644"/>
      <c r="G146" s="644"/>
      <c r="H146" s="645"/>
    </row>
    <row r="147" spans="1:47" ht="30" customHeight="1" x14ac:dyDescent="0.2">
      <c r="A147" s="664"/>
      <c r="B147" s="643" t="s">
        <v>1129</v>
      </c>
      <c r="C147" s="644">
        <v>40000</v>
      </c>
      <c r="D147" s="644">
        <v>40000</v>
      </c>
      <c r="E147" s="644"/>
      <c r="F147" s="644"/>
      <c r="G147" s="644"/>
      <c r="H147" s="645"/>
    </row>
    <row r="148" spans="1:47" s="665" customFormat="1" ht="30" customHeight="1" x14ac:dyDescent="0.2">
      <c r="A148" s="664"/>
      <c r="B148" s="643" t="s">
        <v>1130</v>
      </c>
      <c r="C148" s="644">
        <v>0</v>
      </c>
      <c r="D148" s="644">
        <v>0</v>
      </c>
      <c r="E148" s="644"/>
      <c r="F148" s="644"/>
      <c r="G148" s="644"/>
      <c r="H148" s="645"/>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row>
    <row r="149" spans="1:47" ht="30" customHeight="1" x14ac:dyDescent="0.2">
      <c r="A149" s="664"/>
      <c r="B149" s="643" t="s">
        <v>1131</v>
      </c>
      <c r="C149" s="652">
        <v>5500000</v>
      </c>
      <c r="D149" s="652">
        <v>5500000</v>
      </c>
      <c r="E149" s="652"/>
      <c r="F149" s="652"/>
      <c r="G149" s="652"/>
      <c r="H149" s="645"/>
    </row>
    <row r="150" spans="1:47" ht="30" customHeight="1" x14ac:dyDescent="0.2">
      <c r="A150" s="664"/>
      <c r="B150" s="650" t="s">
        <v>1132</v>
      </c>
      <c r="C150" s="644">
        <v>7500000</v>
      </c>
      <c r="D150" s="644">
        <f>7500000-7500000</f>
        <v>0</v>
      </c>
      <c r="E150" s="644"/>
      <c r="F150" s="644"/>
      <c r="G150" s="644"/>
      <c r="H150" s="645"/>
    </row>
    <row r="151" spans="1:47" ht="30" customHeight="1" x14ac:dyDescent="0.2">
      <c r="A151" s="664"/>
      <c r="B151" s="650" t="s">
        <v>1133</v>
      </c>
      <c r="C151" s="652">
        <v>1144538</v>
      </c>
      <c r="D151" s="652">
        <f>1144538-1144538</f>
        <v>0</v>
      </c>
      <c r="E151" s="652"/>
      <c r="F151" s="652"/>
      <c r="G151" s="652"/>
      <c r="H151" s="645"/>
    </row>
    <row r="152" spans="1:47" ht="30" customHeight="1" x14ac:dyDescent="0.2">
      <c r="A152" s="676"/>
      <c r="B152" s="677" t="s">
        <v>1134</v>
      </c>
      <c r="C152" s="678">
        <v>0</v>
      </c>
      <c r="D152" s="678">
        <v>0</v>
      </c>
      <c r="E152" s="678"/>
      <c r="F152" s="678"/>
      <c r="G152" s="678"/>
      <c r="H152" s="645"/>
    </row>
    <row r="153" spans="1:47" ht="30" customHeight="1" x14ac:dyDescent="0.2">
      <c r="A153" s="660"/>
      <c r="B153" s="679" t="s">
        <v>1135</v>
      </c>
      <c r="C153" s="644">
        <v>0</v>
      </c>
      <c r="D153" s="644">
        <v>0</v>
      </c>
      <c r="E153" s="644"/>
      <c r="F153" s="644"/>
      <c r="G153" s="644"/>
      <c r="H153" s="645"/>
    </row>
    <row r="154" spans="1:47" ht="30" customHeight="1" x14ac:dyDescent="0.2">
      <c r="A154" s="663"/>
      <c r="B154" s="672" t="s">
        <v>1136</v>
      </c>
      <c r="C154" s="644">
        <v>250000</v>
      </c>
      <c r="D154" s="644">
        <v>250000</v>
      </c>
      <c r="E154" s="644"/>
      <c r="F154" s="644"/>
      <c r="G154" s="644"/>
      <c r="H154" s="645"/>
    </row>
    <row r="155" spans="1:47" ht="30" customHeight="1" x14ac:dyDescent="0.2">
      <c r="A155" s="664"/>
      <c r="B155" s="643" t="s">
        <v>1137</v>
      </c>
      <c r="C155" s="644">
        <v>0</v>
      </c>
      <c r="D155" s="644">
        <v>0</v>
      </c>
      <c r="E155" s="644"/>
      <c r="F155" s="644"/>
      <c r="G155" s="644"/>
      <c r="H155" s="645"/>
    </row>
    <row r="156" spans="1:47" ht="30" customHeight="1" x14ac:dyDescent="0.2">
      <c r="A156" s="664"/>
      <c r="B156" s="643" t="s">
        <v>1138</v>
      </c>
      <c r="C156" s="644">
        <v>0</v>
      </c>
      <c r="D156" s="644">
        <v>0</v>
      </c>
      <c r="E156" s="644"/>
      <c r="F156" s="644"/>
      <c r="G156" s="644"/>
      <c r="H156" s="645"/>
    </row>
    <row r="157" spans="1:47" ht="30" customHeight="1" x14ac:dyDescent="0.2">
      <c r="A157" s="664"/>
      <c r="B157" s="643" t="s">
        <v>1139</v>
      </c>
      <c r="C157" s="644">
        <v>0</v>
      </c>
      <c r="D157" s="644">
        <v>0</v>
      </c>
      <c r="E157" s="644"/>
      <c r="F157" s="644"/>
      <c r="G157" s="644"/>
      <c r="H157" s="645"/>
    </row>
    <row r="158" spans="1:47" ht="30" customHeight="1" x14ac:dyDescent="0.2">
      <c r="A158" s="680"/>
      <c r="B158" s="681"/>
      <c r="C158" s="682"/>
      <c r="D158" s="682"/>
      <c r="E158" s="682"/>
      <c r="F158" s="682"/>
      <c r="G158" s="682"/>
      <c r="H158" s="683"/>
    </row>
    <row r="159" spans="1:47" s="244" customFormat="1" ht="30" customHeight="1" x14ac:dyDescent="0.25">
      <c r="A159" s="1065"/>
      <c r="B159" s="1066" t="s">
        <v>11</v>
      </c>
      <c r="C159" s="840">
        <f>SUM(C160,C161,C162,C169:C171,C174)</f>
        <v>87239000</v>
      </c>
      <c r="D159" s="840">
        <f>SUM(D160,D161,D162,D169:D171,D174)</f>
        <v>87459000</v>
      </c>
      <c r="E159" s="840"/>
      <c r="F159" s="840"/>
      <c r="G159" s="840"/>
      <c r="H159" s="1155"/>
    </row>
    <row r="160" spans="1:47" s="98" customFormat="1" ht="30" customHeight="1" x14ac:dyDescent="0.2">
      <c r="A160" s="660">
        <v>3111</v>
      </c>
      <c r="B160" s="688" t="s">
        <v>1140</v>
      </c>
      <c r="C160" s="637">
        <v>69855000</v>
      </c>
      <c r="D160" s="637">
        <v>69855000</v>
      </c>
      <c r="E160" s="637"/>
      <c r="F160" s="637"/>
      <c r="G160" s="637"/>
      <c r="H160" s="639"/>
    </row>
    <row r="161" spans="1:47" s="98" customFormat="1" ht="30" customHeight="1" x14ac:dyDescent="0.2">
      <c r="A161" s="660">
        <v>3111</v>
      </c>
      <c r="B161" s="688" t="s">
        <v>1141</v>
      </c>
      <c r="C161" s="637">
        <v>600000</v>
      </c>
      <c r="D161" s="637">
        <v>600000</v>
      </c>
      <c r="E161" s="637"/>
      <c r="F161" s="637"/>
      <c r="G161" s="637"/>
      <c r="H161" s="639"/>
    </row>
    <row r="162" spans="1:47" s="98" customFormat="1" ht="30" customHeight="1" x14ac:dyDescent="0.2">
      <c r="A162" s="663">
        <v>3112</v>
      </c>
      <c r="B162" s="629" t="s">
        <v>178</v>
      </c>
      <c r="C162" s="635">
        <f>SUM(C163:C168)</f>
        <v>13384000</v>
      </c>
      <c r="D162" s="635">
        <f>SUM(D163:D168)</f>
        <v>13384000</v>
      </c>
      <c r="E162" s="635"/>
      <c r="F162" s="635"/>
      <c r="G162" s="635"/>
      <c r="H162" s="689"/>
    </row>
    <row r="163" spans="1:47" s="666" customFormat="1" ht="30" customHeight="1" x14ac:dyDescent="0.2">
      <c r="A163" s="663"/>
      <c r="B163" s="690" t="s">
        <v>1142</v>
      </c>
      <c r="C163" s="652">
        <v>4081000</v>
      </c>
      <c r="D163" s="652">
        <v>4081000</v>
      </c>
      <c r="E163" s="652"/>
      <c r="F163" s="652"/>
      <c r="G163" s="652"/>
      <c r="H163" s="689"/>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row>
    <row r="164" spans="1:47" s="666" customFormat="1" ht="30" customHeight="1" x14ac:dyDescent="0.2">
      <c r="A164" s="663"/>
      <c r="B164" s="643" t="s">
        <v>1143</v>
      </c>
      <c r="C164" s="644">
        <v>5103000</v>
      </c>
      <c r="D164" s="644">
        <v>5103000</v>
      </c>
      <c r="E164" s="644"/>
      <c r="F164" s="644"/>
      <c r="G164" s="644"/>
      <c r="H164" s="689"/>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row>
    <row r="165" spans="1:47" s="666" customFormat="1" ht="30" customHeight="1" x14ac:dyDescent="0.2">
      <c r="A165" s="663"/>
      <c r="B165" s="690" t="s">
        <v>1144</v>
      </c>
      <c r="C165" s="644">
        <v>0</v>
      </c>
      <c r="D165" s="644">
        <v>0</v>
      </c>
      <c r="E165" s="644"/>
      <c r="F165" s="644"/>
      <c r="G165" s="644"/>
      <c r="H165" s="689"/>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row>
    <row r="166" spans="1:47" s="666" customFormat="1" ht="30" customHeight="1" x14ac:dyDescent="0.2">
      <c r="A166" s="663"/>
      <c r="B166" s="690" t="s">
        <v>1145</v>
      </c>
      <c r="C166" s="644">
        <v>4200000</v>
      </c>
      <c r="D166" s="644">
        <v>4200000</v>
      </c>
      <c r="E166" s="644"/>
      <c r="F166" s="644"/>
      <c r="G166" s="644"/>
      <c r="H166" s="691"/>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row>
    <row r="167" spans="1:47" s="666" customFormat="1" ht="30" customHeight="1" x14ac:dyDescent="0.2">
      <c r="A167" s="663"/>
      <c r="B167" s="690" t="s">
        <v>1146</v>
      </c>
      <c r="C167" s="644">
        <v>0</v>
      </c>
      <c r="D167" s="644">
        <v>0</v>
      </c>
      <c r="E167" s="644"/>
      <c r="F167" s="644"/>
      <c r="G167" s="644"/>
      <c r="H167" s="691"/>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row>
    <row r="168" spans="1:47" s="666" customFormat="1" ht="30" customHeight="1" x14ac:dyDescent="0.2">
      <c r="A168" s="663"/>
      <c r="B168" s="690" t="s">
        <v>1147</v>
      </c>
      <c r="C168" s="644">
        <v>0</v>
      </c>
      <c r="D168" s="644">
        <v>0</v>
      </c>
      <c r="E168" s="644"/>
      <c r="F168" s="644"/>
      <c r="G168" s="644"/>
      <c r="H168" s="691"/>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row>
    <row r="169" spans="1:47" s="98" customFormat="1" ht="30" customHeight="1" x14ac:dyDescent="0.2">
      <c r="A169" s="663">
        <v>3113</v>
      </c>
      <c r="B169" s="629" t="s">
        <v>1148</v>
      </c>
      <c r="C169" s="637">
        <v>0</v>
      </c>
      <c r="D169" s="637">
        <v>0</v>
      </c>
      <c r="E169" s="637"/>
      <c r="F169" s="637"/>
      <c r="G169" s="637"/>
      <c r="H169" s="691"/>
    </row>
    <row r="170" spans="1:47" s="98" customFormat="1" ht="30" customHeight="1" x14ac:dyDescent="0.2">
      <c r="A170" s="663">
        <v>3119</v>
      </c>
      <c r="B170" s="629" t="s">
        <v>1149</v>
      </c>
      <c r="C170" s="637">
        <v>0</v>
      </c>
      <c r="D170" s="637">
        <v>0</v>
      </c>
      <c r="E170" s="637"/>
      <c r="F170" s="637"/>
      <c r="G170" s="637"/>
      <c r="H170" s="691"/>
    </row>
    <row r="171" spans="1:47" s="98" customFormat="1" ht="30" customHeight="1" x14ac:dyDescent="0.2">
      <c r="A171" s="663">
        <v>3121</v>
      </c>
      <c r="B171" s="634" t="s">
        <v>1150</v>
      </c>
      <c r="C171" s="637">
        <f>C172+C173</f>
        <v>0</v>
      </c>
      <c r="D171" s="637">
        <f>D172+D173</f>
        <v>220000</v>
      </c>
      <c r="E171" s="637"/>
      <c r="F171" s="637"/>
      <c r="G171" s="637"/>
      <c r="H171" s="633"/>
    </row>
    <row r="172" spans="1:47" s="98" customFormat="1" ht="30" customHeight="1" x14ac:dyDescent="0.2">
      <c r="A172" s="663"/>
      <c r="B172" s="634" t="s">
        <v>1894</v>
      </c>
      <c r="C172" s="644">
        <v>0</v>
      </c>
      <c r="D172" s="644">
        <v>220000</v>
      </c>
      <c r="E172" s="644"/>
      <c r="F172" s="644"/>
      <c r="G172" s="644"/>
      <c r="H172" s="633"/>
    </row>
    <row r="173" spans="1:47" s="98" customFormat="1" ht="30" customHeight="1" x14ac:dyDescent="0.2">
      <c r="A173" s="663"/>
      <c r="B173" s="634" t="s">
        <v>1152</v>
      </c>
      <c r="C173" s="644">
        <v>0</v>
      </c>
      <c r="D173" s="644">
        <v>0</v>
      </c>
      <c r="E173" s="644"/>
      <c r="F173" s="644"/>
      <c r="G173" s="644"/>
      <c r="H173" s="633"/>
    </row>
    <row r="174" spans="1:47" s="98" customFormat="1" ht="30" customHeight="1" x14ac:dyDescent="0.2">
      <c r="A174" s="663">
        <v>3129</v>
      </c>
      <c r="B174" s="629" t="s">
        <v>191</v>
      </c>
      <c r="C174" s="635">
        <f>SUM(C175:C181)</f>
        <v>3400000</v>
      </c>
      <c r="D174" s="635">
        <f>SUM(D175:D181)</f>
        <v>3400000</v>
      </c>
      <c r="E174" s="635"/>
      <c r="F174" s="635"/>
      <c r="G174" s="635"/>
      <c r="H174" s="689"/>
    </row>
    <row r="175" spans="1:47" s="98" customFormat="1" ht="30" customHeight="1" x14ac:dyDescent="0.2">
      <c r="A175" s="692"/>
      <c r="B175" s="690" t="s">
        <v>1153</v>
      </c>
      <c r="C175" s="644">
        <v>2200000</v>
      </c>
      <c r="D175" s="644">
        <v>2200000</v>
      </c>
      <c r="E175" s="644"/>
      <c r="F175" s="644"/>
      <c r="G175" s="644"/>
      <c r="H175" s="691"/>
      <c r="J175" s="150"/>
    </row>
    <row r="176" spans="1:47" s="98" customFormat="1" ht="30" customHeight="1" x14ac:dyDescent="0.2">
      <c r="A176" s="692"/>
      <c r="B176" s="693" t="s">
        <v>1154</v>
      </c>
      <c r="C176" s="644">
        <v>0</v>
      </c>
      <c r="D176" s="644">
        <v>0</v>
      </c>
      <c r="E176" s="644"/>
      <c r="F176" s="644"/>
      <c r="G176" s="644"/>
      <c r="H176" s="691"/>
      <c r="J176" s="150"/>
    </row>
    <row r="177" spans="1:10" s="98" customFormat="1" ht="30" customHeight="1" x14ac:dyDescent="0.2">
      <c r="A177" s="692"/>
      <c r="B177" s="693" t="s">
        <v>1155</v>
      </c>
      <c r="C177" s="644">
        <v>0</v>
      </c>
      <c r="D177" s="644">
        <v>0</v>
      </c>
      <c r="E177" s="644"/>
      <c r="F177" s="644"/>
      <c r="G177" s="644"/>
      <c r="H177" s="691"/>
      <c r="J177" s="150"/>
    </row>
    <row r="178" spans="1:10" s="98" customFormat="1" ht="30" customHeight="1" x14ac:dyDescent="0.2">
      <c r="A178" s="663"/>
      <c r="B178" s="643" t="s">
        <v>1156</v>
      </c>
      <c r="C178" s="652">
        <v>0</v>
      </c>
      <c r="D178" s="652">
        <v>0</v>
      </c>
      <c r="E178" s="652"/>
      <c r="F178" s="652"/>
      <c r="G178" s="652"/>
      <c r="H178" s="689"/>
    </row>
    <row r="179" spans="1:10" s="98" customFormat="1" ht="30" customHeight="1" x14ac:dyDescent="0.2">
      <c r="A179" s="692"/>
      <c r="B179" s="690" t="s">
        <v>1157</v>
      </c>
      <c r="C179" s="694">
        <v>0</v>
      </c>
      <c r="D179" s="694">
        <v>0</v>
      </c>
      <c r="E179" s="694"/>
      <c r="F179" s="694"/>
      <c r="G179" s="694"/>
      <c r="H179" s="689"/>
    </row>
    <row r="180" spans="1:10" s="98" customFormat="1" ht="30" customHeight="1" x14ac:dyDescent="0.2">
      <c r="A180" s="692"/>
      <c r="B180" s="643" t="s">
        <v>1158</v>
      </c>
      <c r="C180" s="695">
        <v>1200000</v>
      </c>
      <c r="D180" s="695">
        <v>1200000</v>
      </c>
      <c r="E180" s="695"/>
      <c r="F180" s="695"/>
      <c r="G180" s="695"/>
      <c r="H180" s="696"/>
    </row>
    <row r="181" spans="1:10" s="98" customFormat="1" ht="30" customHeight="1" x14ac:dyDescent="0.2">
      <c r="A181" s="697"/>
      <c r="B181" s="643" t="s">
        <v>1159</v>
      </c>
      <c r="C181" s="695">
        <v>0</v>
      </c>
      <c r="D181" s="695">
        <v>0</v>
      </c>
      <c r="E181" s="695"/>
      <c r="F181" s="695"/>
      <c r="G181" s="695"/>
      <c r="H181" s="698"/>
    </row>
    <row r="182" spans="1:10" s="98" customFormat="1" ht="30" customHeight="1" x14ac:dyDescent="0.2">
      <c r="A182" s="699"/>
      <c r="B182" s="700"/>
      <c r="C182" s="682"/>
      <c r="D182" s="682"/>
      <c r="E182" s="682"/>
      <c r="F182" s="682"/>
      <c r="G182" s="682"/>
      <c r="H182" s="583"/>
    </row>
    <row r="183" spans="1:10" s="244" customFormat="1" ht="30" customHeight="1" x14ac:dyDescent="0.25">
      <c r="A183" s="621"/>
      <c r="B183" s="701" t="s">
        <v>196</v>
      </c>
      <c r="C183" s="702">
        <f>SUM(C184,C189,C190,C205,C215,C225,C226,C229,C241)</f>
        <v>66897844.799999997</v>
      </c>
      <c r="D183" s="702">
        <f>SUM(D184,D189,D190,D205,D215,D225,D226,D229,D241)</f>
        <v>100046471.61</v>
      </c>
      <c r="E183" s="702"/>
      <c r="F183" s="702"/>
      <c r="G183" s="702"/>
      <c r="H183" s="702"/>
    </row>
    <row r="184" spans="1:10" s="98" customFormat="1" ht="30" customHeight="1" x14ac:dyDescent="0.2">
      <c r="A184" s="703">
        <v>4111</v>
      </c>
      <c r="B184" s="704" t="s">
        <v>197</v>
      </c>
      <c r="C184" s="705">
        <f>SUM(C185:C188)</f>
        <v>0</v>
      </c>
      <c r="D184" s="705">
        <f>SUM(D185:D188)</f>
        <v>867905.41</v>
      </c>
      <c r="E184" s="705"/>
      <c r="F184" s="705"/>
      <c r="G184" s="705"/>
      <c r="H184" s="706"/>
    </row>
    <row r="185" spans="1:10" s="98" customFormat="1" ht="30" customHeight="1" x14ac:dyDescent="0.2">
      <c r="A185" s="707"/>
      <c r="B185" s="708" t="s">
        <v>2012</v>
      </c>
      <c r="C185" s="709">
        <v>0</v>
      </c>
      <c r="D185" s="709">
        <v>0</v>
      </c>
      <c r="E185" s="709"/>
      <c r="F185" s="709"/>
      <c r="G185" s="709"/>
      <c r="H185" s="710"/>
    </row>
    <row r="186" spans="1:10" s="98" customFormat="1" ht="30" customHeight="1" x14ac:dyDescent="0.2">
      <c r="A186" s="707"/>
      <c r="B186" s="708" t="s">
        <v>2013</v>
      </c>
      <c r="C186" s="709">
        <v>0</v>
      </c>
      <c r="D186" s="709">
        <v>0</v>
      </c>
      <c r="E186" s="709"/>
      <c r="F186" s="709"/>
      <c r="G186" s="709"/>
      <c r="H186" s="710"/>
    </row>
    <row r="187" spans="1:10" s="98" customFormat="1" ht="30" customHeight="1" x14ac:dyDescent="0.2">
      <c r="A187" s="707"/>
      <c r="B187" s="708" t="s">
        <v>2014</v>
      </c>
      <c r="C187" s="709">
        <v>0</v>
      </c>
      <c r="D187" s="709">
        <v>864200</v>
      </c>
      <c r="E187" s="709"/>
      <c r="F187" s="709"/>
      <c r="G187" s="709"/>
      <c r="H187" s="710"/>
    </row>
    <row r="188" spans="1:10" s="98" customFormat="1" ht="30" customHeight="1" x14ac:dyDescent="0.2">
      <c r="A188" s="707"/>
      <c r="B188" s="708" t="s">
        <v>1896</v>
      </c>
      <c r="C188" s="709">
        <v>0</v>
      </c>
      <c r="D188" s="709">
        <v>3705.41</v>
      </c>
      <c r="E188" s="709"/>
      <c r="F188" s="709"/>
      <c r="G188" s="709"/>
      <c r="H188" s="710"/>
    </row>
    <row r="189" spans="1:10" ht="30" customHeight="1" x14ac:dyDescent="0.2">
      <c r="A189" s="660">
        <v>4112</v>
      </c>
      <c r="B189" s="688" t="s">
        <v>1166</v>
      </c>
      <c r="C189" s="637">
        <v>43668300</v>
      </c>
      <c r="D189" s="637">
        <f>43668300+2499800</f>
        <v>46168100</v>
      </c>
      <c r="E189" s="637"/>
      <c r="F189" s="637"/>
      <c r="G189" s="637"/>
      <c r="H189" s="673"/>
    </row>
    <row r="190" spans="1:10" s="98" customFormat="1" ht="30" customHeight="1" x14ac:dyDescent="0.2">
      <c r="A190" s="663">
        <v>4116</v>
      </c>
      <c r="B190" s="629" t="s">
        <v>201</v>
      </c>
      <c r="C190" s="635">
        <f>SUM(C191:C204)</f>
        <v>700000</v>
      </c>
      <c r="D190" s="635">
        <f>SUM(D191:D204)</f>
        <v>19167585.5</v>
      </c>
      <c r="E190" s="635"/>
      <c r="F190" s="635"/>
      <c r="G190" s="635"/>
      <c r="H190" s="710"/>
    </row>
    <row r="191" spans="1:10" ht="30" customHeight="1" x14ac:dyDescent="0.2">
      <c r="A191" s="664"/>
      <c r="B191" s="643" t="s">
        <v>1167</v>
      </c>
      <c r="C191" s="644">
        <v>0</v>
      </c>
      <c r="D191" s="644">
        <v>0</v>
      </c>
      <c r="E191" s="644"/>
      <c r="F191" s="644"/>
      <c r="G191" s="644"/>
      <c r="H191" s="673"/>
    </row>
    <row r="192" spans="1:10" ht="30" customHeight="1" x14ac:dyDescent="0.2">
      <c r="A192" s="664"/>
      <c r="B192" s="643" t="s">
        <v>1168</v>
      </c>
      <c r="C192" s="644">
        <v>0</v>
      </c>
      <c r="D192" s="644">
        <v>0</v>
      </c>
      <c r="E192" s="644"/>
      <c r="F192" s="644"/>
      <c r="G192" s="644"/>
      <c r="H192" s="673"/>
    </row>
    <row r="193" spans="1:11" s="2" customFormat="1" ht="30" customHeight="1" x14ac:dyDescent="0.2">
      <c r="A193" s="715"/>
      <c r="B193" s="693" t="s">
        <v>2015</v>
      </c>
      <c r="C193" s="652">
        <v>0</v>
      </c>
      <c r="D193" s="652">
        <f t="shared" ref="D193:D194" si="2">(635.25+12705)</f>
        <v>13340.25</v>
      </c>
      <c r="E193" s="652"/>
      <c r="F193" s="652"/>
      <c r="G193" s="652"/>
      <c r="H193" s="716"/>
    </row>
    <row r="194" spans="1:11" s="2" customFormat="1" ht="30" customHeight="1" x14ac:dyDescent="0.2">
      <c r="A194" s="715"/>
      <c r="B194" s="693" t="s">
        <v>2016</v>
      </c>
      <c r="C194" s="652">
        <v>0</v>
      </c>
      <c r="D194" s="652">
        <f t="shared" si="2"/>
        <v>13340.25</v>
      </c>
      <c r="E194" s="652"/>
      <c r="F194" s="652"/>
      <c r="G194" s="652"/>
      <c r="H194" s="717"/>
    </row>
    <row r="195" spans="1:11" ht="30" customHeight="1" x14ac:dyDescent="0.2">
      <c r="A195" s="664"/>
      <c r="B195" s="643" t="s">
        <v>1170</v>
      </c>
      <c r="C195" s="644">
        <v>0</v>
      </c>
      <c r="D195" s="644">
        <v>1059598</v>
      </c>
      <c r="E195" s="644"/>
      <c r="F195" s="644"/>
      <c r="G195" s="644"/>
      <c r="H195" s="711"/>
    </row>
    <row r="196" spans="1:11" ht="30" customHeight="1" x14ac:dyDescent="0.2">
      <c r="A196" s="663"/>
      <c r="B196" s="672" t="s">
        <v>1169</v>
      </c>
      <c r="C196" s="644">
        <v>0</v>
      </c>
      <c r="D196" s="644">
        <v>8304000</v>
      </c>
      <c r="E196" s="644"/>
      <c r="F196" s="644"/>
      <c r="G196" s="644"/>
      <c r="H196" s="673"/>
    </row>
    <row r="197" spans="1:11" s="98" customFormat="1" ht="30" customHeight="1" x14ac:dyDescent="0.2">
      <c r="A197" s="692"/>
      <c r="B197" s="643" t="s">
        <v>1902</v>
      </c>
      <c r="C197" s="644">
        <v>0</v>
      </c>
      <c r="D197" s="644">
        <v>14200</v>
      </c>
      <c r="E197" s="644"/>
      <c r="F197" s="644"/>
      <c r="G197" s="644"/>
      <c r="H197" s="710"/>
      <c r="J197" s="150"/>
    </row>
    <row r="198" spans="1:11" s="98" customFormat="1" ht="30" customHeight="1" x14ac:dyDescent="0.2">
      <c r="A198" s="692"/>
      <c r="B198" s="643" t="s">
        <v>1903</v>
      </c>
      <c r="C198" s="644">
        <v>200000</v>
      </c>
      <c r="D198" s="644">
        <f>200000+35205</f>
        <v>235205</v>
      </c>
      <c r="E198" s="644"/>
      <c r="F198" s="644"/>
      <c r="G198" s="644"/>
      <c r="H198" s="710"/>
      <c r="J198" s="150"/>
    </row>
    <row r="199" spans="1:11" s="98" customFormat="1" ht="30" customHeight="1" x14ac:dyDescent="0.2">
      <c r="A199" s="1070"/>
      <c r="B199" s="832" t="s">
        <v>1904</v>
      </c>
      <c r="C199" s="816">
        <v>0</v>
      </c>
      <c r="D199" s="816">
        <f>(1005316.48+3315837.52)</f>
        <v>4321154</v>
      </c>
      <c r="E199" s="1071"/>
      <c r="F199" s="678"/>
      <c r="G199" s="816"/>
      <c r="H199" s="816"/>
      <c r="I199" s="1072"/>
      <c r="J199" s="29"/>
      <c r="K199" s="150"/>
    </row>
    <row r="200" spans="1:11" s="98" customFormat="1" ht="30" customHeight="1" x14ac:dyDescent="0.2">
      <c r="A200" s="1070"/>
      <c r="B200" s="832" t="s">
        <v>1905</v>
      </c>
      <c r="C200" s="816">
        <v>0</v>
      </c>
      <c r="D200" s="816">
        <f>(519876.2+1714708.8)</f>
        <v>2234585</v>
      </c>
      <c r="E200" s="1071"/>
      <c r="F200" s="678"/>
      <c r="G200" s="816"/>
      <c r="H200" s="816"/>
      <c r="I200" s="1072"/>
      <c r="J200" s="29"/>
      <c r="K200" s="150"/>
    </row>
    <row r="201" spans="1:11" s="98" customFormat="1" ht="30" customHeight="1" x14ac:dyDescent="0.2">
      <c r="A201" s="1070"/>
      <c r="B201" s="832" t="s">
        <v>1906</v>
      </c>
      <c r="C201" s="816">
        <v>0</v>
      </c>
      <c r="D201" s="816">
        <f>(551883.72+1820279.28)</f>
        <v>2372163</v>
      </c>
      <c r="E201" s="1071"/>
      <c r="F201" s="678"/>
      <c r="G201" s="816"/>
      <c r="H201" s="816"/>
      <c r="I201" s="1072"/>
      <c r="J201" s="29"/>
      <c r="K201" s="150"/>
    </row>
    <row r="202" spans="1:11" s="98" customFormat="1" ht="30" customHeight="1" x14ac:dyDescent="0.2">
      <c r="A202" s="692"/>
      <c r="B202" s="643" t="s">
        <v>1907</v>
      </c>
      <c r="C202" s="644">
        <v>0</v>
      </c>
      <c r="D202" s="644">
        <v>100000</v>
      </c>
      <c r="E202" s="644"/>
      <c r="F202" s="644"/>
      <c r="G202" s="644"/>
      <c r="H202" s="710"/>
      <c r="J202" s="150"/>
    </row>
    <row r="203" spans="1:11" s="98" customFormat="1" ht="30" customHeight="1" x14ac:dyDescent="0.2">
      <c r="A203" s="692"/>
      <c r="B203" s="643" t="s">
        <v>2017</v>
      </c>
      <c r="C203" s="644">
        <v>0</v>
      </c>
      <c r="D203" s="644">
        <v>0</v>
      </c>
      <c r="E203" s="644"/>
      <c r="F203" s="644"/>
      <c r="G203" s="644"/>
      <c r="H203" s="710"/>
      <c r="J203" s="150"/>
    </row>
    <row r="204" spans="1:11" s="98" customFormat="1" ht="30" customHeight="1" x14ac:dyDescent="0.2">
      <c r="A204" s="692"/>
      <c r="B204" s="650" t="s">
        <v>1908</v>
      </c>
      <c r="C204" s="644">
        <v>500000</v>
      </c>
      <c r="D204" s="644">
        <v>500000</v>
      </c>
      <c r="E204" s="1073"/>
      <c r="F204" s="1073"/>
      <c r="G204" s="644"/>
      <c r="H204" s="710"/>
      <c r="J204" s="150"/>
    </row>
    <row r="205" spans="1:11" ht="30" customHeight="1" x14ac:dyDescent="0.2">
      <c r="A205" s="663">
        <v>4121</v>
      </c>
      <c r="B205" s="629" t="s">
        <v>213</v>
      </c>
      <c r="C205" s="635">
        <f>SUM(C206:C214)</f>
        <v>2109621</v>
      </c>
      <c r="D205" s="635">
        <f>SUM(D206:D214)</f>
        <v>2109621</v>
      </c>
      <c r="E205" s="635"/>
      <c r="F205" s="635"/>
      <c r="G205" s="635"/>
      <c r="H205" s="635"/>
    </row>
    <row r="206" spans="1:11" ht="30" customHeight="1" x14ac:dyDescent="0.2">
      <c r="A206" s="663"/>
      <c r="B206" s="643" t="s">
        <v>1175</v>
      </c>
      <c r="C206" s="644">
        <v>360000</v>
      </c>
      <c r="D206" s="644">
        <v>360000</v>
      </c>
      <c r="E206" s="644"/>
      <c r="F206" s="644"/>
      <c r="G206" s="644"/>
      <c r="H206" s="712"/>
    </row>
    <row r="207" spans="1:11" ht="30" customHeight="1" x14ac:dyDescent="0.2">
      <c r="A207" s="663"/>
      <c r="B207" s="643" t="s">
        <v>1176</v>
      </c>
      <c r="C207" s="644">
        <v>3000</v>
      </c>
      <c r="D207" s="644">
        <v>3000</v>
      </c>
      <c r="E207" s="644"/>
      <c r="F207" s="644"/>
      <c r="G207" s="644"/>
      <c r="H207" s="673"/>
    </row>
    <row r="208" spans="1:11" ht="30" customHeight="1" x14ac:dyDescent="0.2">
      <c r="A208" s="663"/>
      <c r="B208" s="643" t="s">
        <v>1177</v>
      </c>
      <c r="C208" s="644">
        <v>0</v>
      </c>
      <c r="D208" s="644">
        <v>0</v>
      </c>
      <c r="E208" s="644"/>
      <c r="F208" s="644"/>
      <c r="G208" s="644"/>
      <c r="H208" s="673"/>
      <c r="J208" s="150"/>
    </row>
    <row r="209" spans="1:16" ht="30" customHeight="1" x14ac:dyDescent="0.2">
      <c r="A209" s="663"/>
      <c r="B209" s="643" t="s">
        <v>1178</v>
      </c>
      <c r="C209" s="644">
        <v>918175</v>
      </c>
      <c r="D209" s="644">
        <v>918175</v>
      </c>
      <c r="E209" s="644"/>
      <c r="F209" s="644"/>
      <c r="G209" s="644"/>
      <c r="H209" s="673"/>
      <c r="J209" s="150"/>
    </row>
    <row r="210" spans="1:16" ht="30" customHeight="1" x14ac:dyDescent="0.2">
      <c r="A210" s="663"/>
      <c r="B210" s="643" t="s">
        <v>1179</v>
      </c>
      <c r="C210" s="644">
        <v>602075</v>
      </c>
      <c r="D210" s="644">
        <v>602075</v>
      </c>
      <c r="E210" s="644"/>
      <c r="F210" s="644"/>
      <c r="G210" s="644"/>
      <c r="H210" s="673"/>
      <c r="J210" s="150"/>
    </row>
    <row r="211" spans="1:16" ht="30" customHeight="1" x14ac:dyDescent="0.2">
      <c r="A211" s="663"/>
      <c r="B211" s="643" t="s">
        <v>1180</v>
      </c>
      <c r="C211" s="644">
        <v>126071</v>
      </c>
      <c r="D211" s="644">
        <v>126071</v>
      </c>
      <c r="E211" s="644"/>
      <c r="F211" s="644"/>
      <c r="G211" s="644"/>
      <c r="H211" s="673"/>
      <c r="J211" s="150"/>
    </row>
    <row r="212" spans="1:16" ht="30" customHeight="1" x14ac:dyDescent="0.2">
      <c r="A212" s="663"/>
      <c r="B212" s="643" t="s">
        <v>1181</v>
      </c>
      <c r="C212" s="644">
        <v>100000</v>
      </c>
      <c r="D212" s="644">
        <v>100000</v>
      </c>
      <c r="E212" s="644"/>
      <c r="F212" s="644"/>
      <c r="G212" s="644"/>
      <c r="H212" s="712"/>
    </row>
    <row r="213" spans="1:16" ht="30" customHeight="1" x14ac:dyDescent="0.2">
      <c r="A213" s="663"/>
      <c r="B213" s="643" t="s">
        <v>1182</v>
      </c>
      <c r="C213" s="644">
        <v>0</v>
      </c>
      <c r="D213" s="644">
        <v>0</v>
      </c>
      <c r="E213" s="644"/>
      <c r="F213" s="644"/>
      <c r="G213" s="644"/>
      <c r="H213" s="673"/>
    </row>
    <row r="214" spans="1:16" ht="30" customHeight="1" x14ac:dyDescent="0.2">
      <c r="A214" s="663"/>
      <c r="B214" s="672" t="s">
        <v>1183</v>
      </c>
      <c r="C214" s="644">
        <v>300</v>
      </c>
      <c r="D214" s="644">
        <v>300</v>
      </c>
      <c r="E214" s="644"/>
      <c r="F214" s="644"/>
      <c r="G214" s="644"/>
      <c r="H214" s="713"/>
    </row>
    <row r="215" spans="1:16" ht="30" customHeight="1" x14ac:dyDescent="0.2">
      <c r="A215" s="663">
        <v>4122</v>
      </c>
      <c r="B215" s="634" t="s">
        <v>221</v>
      </c>
      <c r="C215" s="635">
        <f>SUM(C216:C224)</f>
        <v>0</v>
      </c>
      <c r="D215" s="635">
        <f>SUM(D216:D224)</f>
        <v>10942247.370000001</v>
      </c>
      <c r="E215" s="635"/>
      <c r="F215" s="635"/>
      <c r="G215" s="635"/>
      <c r="H215" s="673"/>
      <c r="J215" s="150"/>
    </row>
    <row r="216" spans="1:16" s="98" customFormat="1" ht="30" customHeight="1" x14ac:dyDescent="0.2">
      <c r="A216" s="692"/>
      <c r="B216" s="690" t="s">
        <v>1909</v>
      </c>
      <c r="C216" s="644">
        <v>0</v>
      </c>
      <c r="D216" s="644">
        <v>4551000</v>
      </c>
      <c r="E216" s="644"/>
      <c r="F216" s="644"/>
      <c r="G216" s="644"/>
      <c r="H216" s="710"/>
      <c r="J216" s="150"/>
    </row>
    <row r="217" spans="1:16" s="98" customFormat="1" ht="30" customHeight="1" x14ac:dyDescent="0.2">
      <c r="A217" s="692"/>
      <c r="B217" s="690" t="s">
        <v>1910</v>
      </c>
      <c r="C217" s="644">
        <v>0</v>
      </c>
      <c r="D217" s="644">
        <v>80000</v>
      </c>
      <c r="E217" s="644"/>
      <c r="F217" s="644"/>
      <c r="G217" s="644"/>
      <c r="H217" s="710"/>
      <c r="J217" s="150"/>
    </row>
    <row r="218" spans="1:16" s="98" customFormat="1" ht="30" customHeight="1" x14ac:dyDescent="0.2">
      <c r="A218" s="692"/>
      <c r="B218" s="690" t="s">
        <v>1911</v>
      </c>
      <c r="C218" s="644">
        <v>0</v>
      </c>
      <c r="D218" s="644">
        <v>50000</v>
      </c>
      <c r="E218" s="644"/>
      <c r="F218" s="644"/>
      <c r="G218" s="644"/>
      <c r="H218" s="710"/>
      <c r="J218" s="150"/>
    </row>
    <row r="219" spans="1:16" s="98" customFormat="1" ht="30" customHeight="1" x14ac:dyDescent="0.2">
      <c r="A219" s="692"/>
      <c r="B219" s="643" t="s">
        <v>1912</v>
      </c>
      <c r="C219" s="644">
        <v>0</v>
      </c>
      <c r="D219" s="644">
        <v>9234</v>
      </c>
      <c r="E219" s="644"/>
      <c r="F219" s="644"/>
      <c r="G219" s="644"/>
      <c r="H219" s="709"/>
      <c r="J219" s="150"/>
    </row>
    <row r="220" spans="1:16" s="98" customFormat="1" ht="30" customHeight="1" x14ac:dyDescent="0.2">
      <c r="A220" s="692"/>
      <c r="B220" s="690" t="s">
        <v>1913</v>
      </c>
      <c r="C220" s="644">
        <v>0</v>
      </c>
      <c r="D220" s="644">
        <v>210200</v>
      </c>
      <c r="E220" s="644"/>
      <c r="F220" s="644"/>
      <c r="G220" s="644"/>
      <c r="H220" s="710"/>
      <c r="J220" s="150"/>
    </row>
    <row r="221" spans="1:16" s="98" customFormat="1" ht="30" customHeight="1" x14ac:dyDescent="0.2">
      <c r="A221" s="692"/>
      <c r="B221" s="690" t="s">
        <v>1914</v>
      </c>
      <c r="C221" s="644">
        <v>0</v>
      </c>
      <c r="D221" s="644">
        <v>0</v>
      </c>
      <c r="E221" s="644"/>
      <c r="F221" s="644"/>
      <c r="G221" s="644"/>
      <c r="H221" s="710"/>
      <c r="J221" s="150"/>
    </row>
    <row r="222" spans="1:16" ht="30" customHeight="1" x14ac:dyDescent="0.2">
      <c r="A222" s="1074"/>
      <c r="B222" s="832" t="s">
        <v>1915</v>
      </c>
      <c r="C222" s="1075">
        <v>0</v>
      </c>
      <c r="D222" s="1075">
        <f>(4752.88+26932.97)+(1806.05+10234.3)+(5713.08+32374.09)</f>
        <v>81813.37</v>
      </c>
      <c r="E222" s="1075"/>
      <c r="F222" s="1075"/>
      <c r="G222" s="816"/>
      <c r="H222" s="816"/>
      <c r="I222" s="1072"/>
      <c r="J222" s="29"/>
      <c r="P222" s="150"/>
    </row>
    <row r="223" spans="1:16" ht="30" customHeight="1" x14ac:dyDescent="0.2">
      <c r="A223" s="663"/>
      <c r="B223" s="643" t="s">
        <v>1916</v>
      </c>
      <c r="C223" s="644">
        <v>0</v>
      </c>
      <c r="D223" s="644">
        <v>5960000</v>
      </c>
      <c r="E223" s="644"/>
      <c r="F223" s="644"/>
      <c r="G223" s="644"/>
      <c r="H223" s="714"/>
      <c r="I223" s="1156"/>
      <c r="J223" s="150"/>
    </row>
    <row r="224" spans="1:16" s="98" customFormat="1" ht="30" customHeight="1" x14ac:dyDescent="0.2">
      <c r="A224" s="692"/>
      <c r="B224" s="690" t="s">
        <v>1186</v>
      </c>
      <c r="C224" s="644">
        <v>0</v>
      </c>
      <c r="D224" s="644">
        <v>0</v>
      </c>
      <c r="E224" s="644"/>
      <c r="F224" s="644"/>
      <c r="G224" s="644"/>
      <c r="H224" s="710"/>
      <c r="J224" s="150"/>
    </row>
    <row r="225" spans="1:10" s="98" customFormat="1" ht="30" customHeight="1" x14ac:dyDescent="0.2">
      <c r="A225" s="642" t="s">
        <v>1191</v>
      </c>
      <c r="B225" s="629" t="s">
        <v>1192</v>
      </c>
      <c r="C225" s="637">
        <v>6100000</v>
      </c>
      <c r="D225" s="637">
        <f>6100000-94000</f>
        <v>6006000</v>
      </c>
      <c r="E225" s="637"/>
      <c r="F225" s="637"/>
      <c r="G225" s="637"/>
      <c r="H225" s="710"/>
    </row>
    <row r="226" spans="1:10" s="98" customFormat="1" ht="30" customHeight="1" x14ac:dyDescent="0.2">
      <c r="A226" s="663">
        <v>4213</v>
      </c>
      <c r="B226" s="629" t="s">
        <v>229</v>
      </c>
      <c r="C226" s="635">
        <f>SUM(C227:C228)</f>
        <v>4269843.8</v>
      </c>
      <c r="D226" s="635">
        <f>SUM(D227:D228)</f>
        <v>4269843.8</v>
      </c>
      <c r="E226" s="635"/>
      <c r="F226" s="635"/>
      <c r="G226" s="635"/>
      <c r="H226" s="710"/>
    </row>
    <row r="227" spans="1:10" s="98" customFormat="1" ht="30" customHeight="1" x14ac:dyDescent="0.2">
      <c r="A227" s="663"/>
      <c r="B227" s="693" t="s">
        <v>1193</v>
      </c>
      <c r="C227" s="652">
        <v>2869843.8</v>
      </c>
      <c r="D227" s="652">
        <v>2869843.8</v>
      </c>
      <c r="E227" s="652"/>
      <c r="F227" s="652"/>
      <c r="G227" s="652"/>
      <c r="H227" s="710"/>
    </row>
    <row r="228" spans="1:10" s="2" customFormat="1" ht="30" customHeight="1" x14ac:dyDescent="0.2">
      <c r="A228" s="715"/>
      <c r="B228" s="672" t="s">
        <v>1196</v>
      </c>
      <c r="C228" s="652">
        <v>1400000</v>
      </c>
      <c r="D228" s="652">
        <v>1400000</v>
      </c>
      <c r="E228" s="652"/>
      <c r="F228" s="652"/>
      <c r="G228" s="652"/>
      <c r="H228" s="717"/>
    </row>
    <row r="229" spans="1:10" s="98" customFormat="1" ht="30" customHeight="1" x14ac:dyDescent="0.2">
      <c r="A229" s="663">
        <v>4216</v>
      </c>
      <c r="B229" s="634" t="s">
        <v>234</v>
      </c>
      <c r="C229" s="718">
        <f t="shared" ref="C229:D229" si="3">SUM(C230:C240)</f>
        <v>9550000</v>
      </c>
      <c r="D229" s="718">
        <f t="shared" si="3"/>
        <v>9852304.5299999993</v>
      </c>
      <c r="E229" s="718"/>
      <c r="F229" s="718"/>
      <c r="G229" s="718"/>
      <c r="H229" s="719"/>
      <c r="J229" s="150"/>
    </row>
    <row r="230" spans="1:10" s="2" customFormat="1" ht="30" customHeight="1" x14ac:dyDescent="0.2">
      <c r="A230" s="715"/>
      <c r="B230" s="672" t="s">
        <v>1197</v>
      </c>
      <c r="C230" s="644">
        <v>500000</v>
      </c>
      <c r="D230" s="644">
        <v>500000</v>
      </c>
      <c r="E230" s="644"/>
      <c r="F230" s="644"/>
      <c r="G230" s="644"/>
      <c r="H230" s="712"/>
    </row>
    <row r="231" spans="1:10" s="98" customFormat="1" ht="30" customHeight="1" x14ac:dyDescent="0.2">
      <c r="A231" s="692"/>
      <c r="B231" s="720" t="s">
        <v>1198</v>
      </c>
      <c r="C231" s="644">
        <v>0</v>
      </c>
      <c r="D231" s="644">
        <v>0</v>
      </c>
      <c r="E231" s="644"/>
      <c r="F231" s="644"/>
      <c r="G231" s="644"/>
      <c r="H231" s="721"/>
      <c r="J231" s="150"/>
    </row>
    <row r="232" spans="1:10" s="98" customFormat="1" ht="30" customHeight="1" x14ac:dyDescent="0.2">
      <c r="A232" s="692"/>
      <c r="B232" s="720" t="s">
        <v>1199</v>
      </c>
      <c r="C232" s="644">
        <v>0</v>
      </c>
      <c r="D232" s="644">
        <v>0</v>
      </c>
      <c r="E232" s="644"/>
      <c r="F232" s="644"/>
      <c r="G232" s="644"/>
      <c r="H232" s="721"/>
      <c r="J232" s="150"/>
    </row>
    <row r="233" spans="1:10" s="98" customFormat="1" ht="30" customHeight="1" x14ac:dyDescent="0.2">
      <c r="A233" s="692"/>
      <c r="B233" s="690" t="s">
        <v>1200</v>
      </c>
      <c r="C233" s="644">
        <v>0</v>
      </c>
      <c r="D233" s="644">
        <v>0</v>
      </c>
      <c r="E233" s="644"/>
      <c r="F233" s="644"/>
      <c r="G233" s="644"/>
      <c r="H233" s="722"/>
      <c r="J233" s="150"/>
    </row>
    <row r="234" spans="1:10" s="98" customFormat="1" ht="30" customHeight="1" x14ac:dyDescent="0.2">
      <c r="A234" s="692"/>
      <c r="B234" s="643" t="s">
        <v>1201</v>
      </c>
      <c r="C234" s="644">
        <v>0</v>
      </c>
      <c r="D234" s="644">
        <v>0</v>
      </c>
      <c r="E234" s="644"/>
      <c r="F234" s="644"/>
      <c r="G234" s="644"/>
      <c r="H234" s="722"/>
      <c r="J234" s="150"/>
    </row>
    <row r="235" spans="1:10" s="2" customFormat="1" ht="30" customHeight="1" x14ac:dyDescent="0.2">
      <c r="A235" s="715"/>
      <c r="B235" s="693" t="s">
        <v>2018</v>
      </c>
      <c r="C235" s="652">
        <v>4250000</v>
      </c>
      <c r="D235" s="652">
        <f>4250000+(-4250000+205587.45+4111749.01)</f>
        <v>4317336.46</v>
      </c>
      <c r="E235" s="652"/>
      <c r="F235" s="652"/>
      <c r="G235" s="652"/>
      <c r="H235" s="716"/>
    </row>
    <row r="236" spans="1:10" s="2" customFormat="1" ht="30" customHeight="1" x14ac:dyDescent="0.2">
      <c r="A236" s="715"/>
      <c r="B236" s="693" t="s">
        <v>2019</v>
      </c>
      <c r="C236" s="652">
        <v>4800000</v>
      </c>
      <c r="D236" s="652">
        <f>4800000+(-4800000+239760.39+4795207.68)</f>
        <v>5034968.0699999994</v>
      </c>
      <c r="E236" s="652"/>
      <c r="F236" s="652"/>
      <c r="G236" s="652"/>
      <c r="H236" s="717"/>
    </row>
    <row r="237" spans="1:10" s="98" customFormat="1" ht="30" customHeight="1" x14ac:dyDescent="0.2">
      <c r="A237" s="692"/>
      <c r="B237" s="720" t="s">
        <v>1202</v>
      </c>
      <c r="C237" s="644">
        <v>0</v>
      </c>
      <c r="D237" s="644">
        <v>0</v>
      </c>
      <c r="E237" s="644"/>
      <c r="F237" s="644"/>
      <c r="G237" s="644"/>
      <c r="H237" s="722"/>
      <c r="J237" s="150"/>
    </row>
    <row r="238" spans="1:10" s="98" customFormat="1" ht="30" customHeight="1" x14ac:dyDescent="0.2">
      <c r="A238" s="692"/>
      <c r="B238" s="643" t="s">
        <v>1203</v>
      </c>
      <c r="C238" s="644">
        <v>0</v>
      </c>
      <c r="D238" s="644">
        <v>0</v>
      </c>
      <c r="E238" s="644"/>
      <c r="F238" s="644"/>
      <c r="G238" s="644"/>
      <c r="H238" s="722"/>
      <c r="J238" s="150"/>
    </row>
    <row r="239" spans="1:10" s="98" customFormat="1" ht="30" customHeight="1" x14ac:dyDescent="0.2">
      <c r="A239" s="692"/>
      <c r="B239" s="723" t="s">
        <v>1204</v>
      </c>
      <c r="C239" s="724">
        <v>0</v>
      </c>
      <c r="D239" s="724">
        <v>0</v>
      </c>
      <c r="E239" s="724"/>
      <c r="F239" s="724"/>
      <c r="G239" s="724"/>
      <c r="H239" s="725"/>
    </row>
    <row r="240" spans="1:10" ht="30" customHeight="1" x14ac:dyDescent="0.2">
      <c r="A240" s="664"/>
      <c r="B240" s="720" t="s">
        <v>1205</v>
      </c>
      <c r="C240" s="644">
        <v>0</v>
      </c>
      <c r="D240" s="644">
        <v>0</v>
      </c>
      <c r="E240" s="644"/>
      <c r="F240" s="644"/>
      <c r="G240" s="644"/>
      <c r="H240" s="726"/>
      <c r="J240" s="150"/>
    </row>
    <row r="241" spans="1:10" s="98" customFormat="1" ht="30" customHeight="1" x14ac:dyDescent="0.2">
      <c r="A241" s="663">
        <v>4222</v>
      </c>
      <c r="B241" s="634" t="s">
        <v>245</v>
      </c>
      <c r="C241" s="718">
        <f>SUM(C242:C248)</f>
        <v>500080</v>
      </c>
      <c r="D241" s="718">
        <f>SUM(D242:D248)</f>
        <v>662864</v>
      </c>
      <c r="E241" s="718"/>
      <c r="F241" s="718"/>
      <c r="G241" s="718"/>
      <c r="H241" s="718"/>
    </row>
    <row r="242" spans="1:10" s="98" customFormat="1" ht="30" customHeight="1" x14ac:dyDescent="0.2">
      <c r="A242" s="692"/>
      <c r="B242" s="690" t="s">
        <v>1923</v>
      </c>
      <c r="C242" s="644">
        <v>0</v>
      </c>
      <c r="D242" s="644">
        <v>150000</v>
      </c>
      <c r="E242" s="644"/>
      <c r="F242" s="644"/>
      <c r="G242" s="644"/>
      <c r="H242" s="722"/>
      <c r="J242" s="150"/>
    </row>
    <row r="243" spans="1:10" s="98" customFormat="1" ht="30" customHeight="1" x14ac:dyDescent="0.2">
      <c r="A243" s="692"/>
      <c r="B243" s="690" t="s">
        <v>1207</v>
      </c>
      <c r="C243" s="644">
        <v>0</v>
      </c>
      <c r="D243" s="644">
        <v>0</v>
      </c>
      <c r="E243" s="644"/>
      <c r="F243" s="644"/>
      <c r="G243" s="644"/>
      <c r="H243" s="722"/>
      <c r="J243" s="150"/>
    </row>
    <row r="244" spans="1:10" s="98" customFormat="1" ht="30" customHeight="1" x14ac:dyDescent="0.2">
      <c r="A244" s="692"/>
      <c r="B244" s="690" t="s">
        <v>1924</v>
      </c>
      <c r="C244" s="644">
        <v>0</v>
      </c>
      <c r="D244" s="644">
        <v>22018</v>
      </c>
      <c r="E244" s="644"/>
      <c r="F244" s="644"/>
      <c r="G244" s="644"/>
      <c r="H244" s="722"/>
      <c r="J244" s="150"/>
    </row>
    <row r="245" spans="1:10" s="98" customFormat="1" ht="30" customHeight="1" x14ac:dyDescent="0.2">
      <c r="A245" s="692"/>
      <c r="B245" s="643" t="s">
        <v>1912</v>
      </c>
      <c r="C245" s="644">
        <v>212100</v>
      </c>
      <c r="D245" s="644">
        <f>212100-9234</f>
        <v>202866</v>
      </c>
      <c r="E245" s="644"/>
      <c r="F245" s="644"/>
      <c r="G245" s="644"/>
      <c r="H245" s="709"/>
      <c r="J245" s="150"/>
    </row>
    <row r="246" spans="1:10" s="98" customFormat="1" ht="30" customHeight="1" x14ac:dyDescent="0.2">
      <c r="A246" s="692"/>
      <c r="B246" s="643" t="s">
        <v>1209</v>
      </c>
      <c r="C246" s="644">
        <v>0</v>
      </c>
      <c r="D246" s="644">
        <v>0</v>
      </c>
      <c r="E246" s="644"/>
      <c r="F246" s="644"/>
      <c r="G246" s="644"/>
      <c r="H246" s="709"/>
      <c r="J246" s="150"/>
    </row>
    <row r="247" spans="1:10" s="98" customFormat="1" ht="30" customHeight="1" x14ac:dyDescent="0.2">
      <c r="A247" s="692"/>
      <c r="B247" s="727" t="s">
        <v>1210</v>
      </c>
      <c r="C247" s="728">
        <v>0</v>
      </c>
      <c r="D247" s="728">
        <v>0</v>
      </c>
      <c r="E247" s="728"/>
      <c r="F247" s="728"/>
      <c r="G247" s="728"/>
      <c r="H247" s="729"/>
    </row>
    <row r="248" spans="1:10" s="98" customFormat="1" ht="30" customHeight="1" x14ac:dyDescent="0.2">
      <c r="A248" s="730"/>
      <c r="B248" s="731" t="s">
        <v>1211</v>
      </c>
      <c r="C248" s="695">
        <v>287980</v>
      </c>
      <c r="D248" s="695">
        <v>287980</v>
      </c>
      <c r="E248" s="695"/>
      <c r="F248" s="695"/>
      <c r="G248" s="695"/>
      <c r="H248" s="579"/>
    </row>
    <row r="249" spans="1:10" s="98" customFormat="1" ht="30" customHeight="1" x14ac:dyDescent="0.2">
      <c r="A249" s="732"/>
      <c r="B249" s="733"/>
      <c r="C249" s="682"/>
      <c r="D249" s="682"/>
      <c r="E249" s="682"/>
      <c r="F249" s="682"/>
      <c r="G249" s="682"/>
      <c r="H249" s="583"/>
    </row>
    <row r="250" spans="1:10" s="98" customFormat="1" ht="30" customHeight="1" x14ac:dyDescent="0.3">
      <c r="A250" s="734"/>
      <c r="B250" s="618" t="s">
        <v>13</v>
      </c>
      <c r="C250" s="735">
        <f>SUM(C32+C65+C159+C183)</f>
        <v>828459861.11999989</v>
      </c>
      <c r="D250" s="735">
        <f>SUM(D32+D65+D159+D183)</f>
        <v>844878801.78000009</v>
      </c>
      <c r="E250" s="735"/>
      <c r="F250" s="735"/>
      <c r="G250" s="735"/>
      <c r="H250" s="736"/>
    </row>
    <row r="251" spans="1:10" s="98" customFormat="1" ht="30" customHeight="1" x14ac:dyDescent="0.25">
      <c r="A251" s="737"/>
      <c r="B251" s="738"/>
      <c r="C251" s="739"/>
      <c r="D251" s="739"/>
      <c r="E251" s="739"/>
      <c r="F251" s="739"/>
      <c r="G251" s="739"/>
      <c r="H251" s="740"/>
    </row>
    <row r="252" spans="1:10" s="244" customFormat="1" ht="30" customHeight="1" x14ac:dyDescent="0.25">
      <c r="A252" s="621"/>
      <c r="B252" s="657" t="s">
        <v>14</v>
      </c>
      <c r="C252" s="741">
        <f t="shared" ref="C252:D252" si="4">SUM(C253:C257)</f>
        <v>172017736.07999998</v>
      </c>
      <c r="D252" s="741">
        <f t="shared" si="4"/>
        <v>172017736.07999998</v>
      </c>
      <c r="E252" s="741"/>
      <c r="F252" s="741"/>
      <c r="G252" s="741"/>
      <c r="H252" s="742"/>
    </row>
    <row r="253" spans="1:10" ht="30" customHeight="1" x14ac:dyDescent="0.2">
      <c r="A253" s="660">
        <v>8115</v>
      </c>
      <c r="B253" s="743" t="s">
        <v>1212</v>
      </c>
      <c r="C253" s="637">
        <f>100000000-11315591.92</f>
        <v>88684408.079999998</v>
      </c>
      <c r="D253" s="637">
        <f>100000000-11315591.92</f>
        <v>88684408.079999998</v>
      </c>
      <c r="E253" s="637"/>
      <c r="F253" s="637"/>
      <c r="G253" s="637"/>
      <c r="H253" s="744"/>
    </row>
    <row r="254" spans="1:10" ht="30" customHeight="1" x14ac:dyDescent="0.2">
      <c r="A254" s="660">
        <v>8123</v>
      </c>
      <c r="B254" s="745" t="s">
        <v>1213</v>
      </c>
      <c r="C254" s="637">
        <v>0</v>
      </c>
      <c r="D254" s="637">
        <v>0</v>
      </c>
      <c r="E254" s="637"/>
      <c r="F254" s="637"/>
      <c r="G254" s="637"/>
      <c r="H254" s="746"/>
    </row>
    <row r="255" spans="1:10" ht="30" customHeight="1" x14ac:dyDescent="0.2">
      <c r="A255" s="660">
        <v>8124</v>
      </c>
      <c r="B255" s="745" t="s">
        <v>1214</v>
      </c>
      <c r="C255" s="637">
        <f>-(555556*12)</f>
        <v>-6666672</v>
      </c>
      <c r="D255" s="637">
        <f>-(555556*12)</f>
        <v>-6666672</v>
      </c>
      <c r="E255" s="637"/>
      <c r="F255" s="637"/>
      <c r="G255" s="637"/>
      <c r="H255" s="746"/>
    </row>
    <row r="256" spans="1:10" ht="30" customHeight="1" x14ac:dyDescent="0.2">
      <c r="A256" s="660">
        <v>8125</v>
      </c>
      <c r="B256" s="745" t="s">
        <v>1215</v>
      </c>
      <c r="C256" s="637">
        <v>90000000</v>
      </c>
      <c r="D256" s="637">
        <v>90000000</v>
      </c>
      <c r="E256" s="637"/>
      <c r="F256" s="637"/>
      <c r="G256" s="637"/>
      <c r="H256" s="746"/>
    </row>
    <row r="257" spans="1:8" s="235" customFormat="1" ht="30" customHeight="1" x14ac:dyDescent="0.4">
      <c r="A257" s="663">
        <v>8901</v>
      </c>
      <c r="B257" s="634" t="s">
        <v>254</v>
      </c>
      <c r="C257" s="635">
        <f>SUM(C258:C258)</f>
        <v>0</v>
      </c>
      <c r="D257" s="635">
        <f>SUM(D258:D258)</f>
        <v>0</v>
      </c>
      <c r="E257" s="635"/>
      <c r="F257" s="635"/>
      <c r="G257" s="635"/>
      <c r="H257" s="747"/>
    </row>
    <row r="258" spans="1:8" s="236" customFormat="1" ht="30" customHeight="1" x14ac:dyDescent="0.35">
      <c r="A258" s="715"/>
      <c r="B258" s="668" t="s">
        <v>255</v>
      </c>
      <c r="C258" s="652">
        <v>0</v>
      </c>
      <c r="D258" s="652">
        <v>0</v>
      </c>
      <c r="E258" s="652"/>
      <c r="F258" s="652"/>
      <c r="G258" s="652"/>
      <c r="H258" s="748"/>
    </row>
    <row r="259" spans="1:8" ht="30" customHeight="1" x14ac:dyDescent="0.2">
      <c r="A259" s="749"/>
      <c r="B259" s="700"/>
      <c r="C259" s="750"/>
      <c r="D259" s="750"/>
      <c r="E259" s="750"/>
      <c r="F259" s="750"/>
      <c r="G259" s="750"/>
      <c r="H259" s="751"/>
    </row>
    <row r="260" spans="1:8" s="33" customFormat="1" ht="30" customHeight="1" x14ac:dyDescent="0.35">
      <c r="A260" s="752"/>
      <c r="B260" s="753" t="s">
        <v>15</v>
      </c>
      <c r="C260" s="754">
        <f t="shared" ref="C260:D260" si="5">SUM(C250+C252)</f>
        <v>1000477597.1999998</v>
      </c>
      <c r="D260" s="754">
        <f t="shared" si="5"/>
        <v>1016896537.8600001</v>
      </c>
      <c r="E260" s="754"/>
      <c r="F260" s="754"/>
      <c r="G260" s="754"/>
      <c r="H260" s="755"/>
    </row>
    <row r="261" spans="1:8" s="98" customFormat="1" ht="30" customHeight="1" x14ac:dyDescent="0.3">
      <c r="A261" s="756"/>
      <c r="B261" s="757" t="s">
        <v>257</v>
      </c>
      <c r="C261" s="758"/>
      <c r="D261" s="758"/>
      <c r="E261" s="758"/>
      <c r="F261" s="758"/>
      <c r="G261" s="758"/>
      <c r="H261" s="740"/>
    </row>
    <row r="262" spans="1:8" s="85" customFormat="1" ht="30" customHeight="1" x14ac:dyDescent="0.3">
      <c r="A262" s="759"/>
      <c r="B262" s="757" t="s">
        <v>258</v>
      </c>
      <c r="C262" s="760">
        <f t="shared" ref="C262:D262" si="6">C263+C277+C309+C319</f>
        <v>75934044.200000003</v>
      </c>
      <c r="D262" s="760">
        <f t="shared" si="6"/>
        <v>76099081.200000003</v>
      </c>
      <c r="E262" s="760"/>
      <c r="F262" s="760"/>
      <c r="G262" s="760"/>
      <c r="H262" s="761"/>
    </row>
    <row r="263" spans="1:8" ht="30" customHeight="1" x14ac:dyDescent="0.2">
      <c r="A263" s="762"/>
      <c r="B263" s="763" t="s">
        <v>259</v>
      </c>
      <c r="C263" s="764">
        <f t="shared" ref="C263:D263" si="7">SUM(C264+C269+C274)</f>
        <v>2095000</v>
      </c>
      <c r="D263" s="764">
        <f t="shared" si="7"/>
        <v>2337676</v>
      </c>
      <c r="E263" s="764"/>
      <c r="F263" s="764"/>
      <c r="G263" s="764"/>
      <c r="H263" s="765"/>
    </row>
    <row r="264" spans="1:8" ht="30" customHeight="1" x14ac:dyDescent="0.2">
      <c r="A264" s="766">
        <v>2310</v>
      </c>
      <c r="B264" s="767" t="s">
        <v>1216</v>
      </c>
      <c r="C264" s="768">
        <f>SUM(C265:C268)</f>
        <v>315000</v>
      </c>
      <c r="D264" s="768">
        <f>SUM(D265:D268)</f>
        <v>315000</v>
      </c>
      <c r="E264" s="768"/>
      <c r="F264" s="768"/>
      <c r="G264" s="768"/>
      <c r="H264" s="639"/>
    </row>
    <row r="265" spans="1:8" ht="30" customHeight="1" x14ac:dyDescent="0.2">
      <c r="A265" s="769" t="s">
        <v>261</v>
      </c>
      <c r="B265" s="643" t="s">
        <v>262</v>
      </c>
      <c r="C265" s="644">
        <v>15000</v>
      </c>
      <c r="D265" s="644">
        <f>15000-13240</f>
        <v>1760</v>
      </c>
      <c r="E265" s="644"/>
      <c r="F265" s="644"/>
      <c r="G265" s="644"/>
      <c r="H265" s="670"/>
    </row>
    <row r="266" spans="1:8" ht="30" customHeight="1" x14ac:dyDescent="0.2">
      <c r="A266" s="769" t="s">
        <v>263</v>
      </c>
      <c r="B266" s="643" t="s">
        <v>1217</v>
      </c>
      <c r="C266" s="644">
        <v>150000</v>
      </c>
      <c r="D266" s="644">
        <v>150000</v>
      </c>
      <c r="E266" s="644"/>
      <c r="F266" s="644"/>
      <c r="G266" s="644"/>
      <c r="H266" s="670"/>
    </row>
    <row r="267" spans="1:8" ht="30" customHeight="1" x14ac:dyDescent="0.2">
      <c r="A267" s="769" t="s">
        <v>265</v>
      </c>
      <c r="B267" s="643" t="s">
        <v>1218</v>
      </c>
      <c r="C267" s="644">
        <v>150000</v>
      </c>
      <c r="D267" s="644">
        <v>150000</v>
      </c>
      <c r="E267" s="644"/>
      <c r="F267" s="644"/>
      <c r="G267" s="644"/>
      <c r="H267" s="670"/>
    </row>
    <row r="268" spans="1:8" ht="30" customHeight="1" x14ac:dyDescent="0.2">
      <c r="A268" s="769" t="s">
        <v>1925</v>
      </c>
      <c r="B268" s="643" t="s">
        <v>1926</v>
      </c>
      <c r="C268" s="644">
        <v>0</v>
      </c>
      <c r="D268" s="644">
        <v>13240</v>
      </c>
      <c r="E268" s="644"/>
      <c r="F268" s="644"/>
      <c r="G268" s="644"/>
      <c r="H268" s="670"/>
    </row>
    <row r="269" spans="1:8" ht="30" customHeight="1" x14ac:dyDescent="0.2">
      <c r="A269" s="663">
        <v>2321</v>
      </c>
      <c r="B269" s="629" t="s">
        <v>1219</v>
      </c>
      <c r="C269" s="635">
        <f>SUM(C270:C273)</f>
        <v>1600000</v>
      </c>
      <c r="D269" s="635">
        <f>SUM(D270:D273)</f>
        <v>1842676</v>
      </c>
      <c r="E269" s="635"/>
      <c r="F269" s="635"/>
      <c r="G269" s="635"/>
      <c r="H269" s="639"/>
    </row>
    <row r="270" spans="1:8" ht="30" customHeight="1" x14ac:dyDescent="0.2">
      <c r="A270" s="769" t="s">
        <v>268</v>
      </c>
      <c r="B270" s="643" t="s">
        <v>269</v>
      </c>
      <c r="C270" s="644">
        <v>200000</v>
      </c>
      <c r="D270" s="644">
        <v>200000</v>
      </c>
      <c r="E270" s="644"/>
      <c r="F270" s="644"/>
      <c r="G270" s="644"/>
      <c r="H270" s="670"/>
    </row>
    <row r="271" spans="1:8" ht="30" customHeight="1" x14ac:dyDescent="0.2">
      <c r="A271" s="769" t="s">
        <v>270</v>
      </c>
      <c r="B271" s="770" t="s">
        <v>1927</v>
      </c>
      <c r="C271" s="644">
        <v>500000</v>
      </c>
      <c r="D271" s="644">
        <f>500000+242676</f>
        <v>742676</v>
      </c>
      <c r="E271" s="644"/>
      <c r="F271" s="644"/>
      <c r="G271" s="644"/>
      <c r="H271" s="670"/>
    </row>
    <row r="272" spans="1:8" ht="30" customHeight="1" x14ac:dyDescent="0.2">
      <c r="A272" s="769" t="s">
        <v>272</v>
      </c>
      <c r="B272" s="643" t="s">
        <v>1221</v>
      </c>
      <c r="C272" s="644">
        <v>700000</v>
      </c>
      <c r="D272" s="644">
        <v>700000</v>
      </c>
      <c r="E272" s="644"/>
      <c r="F272" s="644"/>
      <c r="G272" s="644"/>
      <c r="H272" s="670"/>
    </row>
    <row r="273" spans="1:8" s="2" customFormat="1" ht="30" customHeight="1" x14ac:dyDescent="0.2">
      <c r="A273" s="769" t="s">
        <v>272</v>
      </c>
      <c r="B273" s="668" t="s">
        <v>1222</v>
      </c>
      <c r="C273" s="644">
        <v>200000</v>
      </c>
      <c r="D273" s="644">
        <v>200000</v>
      </c>
      <c r="E273" s="644"/>
      <c r="F273" s="644"/>
      <c r="G273" s="644"/>
      <c r="H273" s="670"/>
    </row>
    <row r="274" spans="1:8" ht="30" customHeight="1" x14ac:dyDescent="0.2">
      <c r="A274" s="660">
        <v>2333</v>
      </c>
      <c r="B274" s="626" t="s">
        <v>1223</v>
      </c>
      <c r="C274" s="771">
        <f>SUM(C275:C276)</f>
        <v>180000</v>
      </c>
      <c r="D274" s="771">
        <f>SUM(D275:D276)</f>
        <v>180000</v>
      </c>
      <c r="E274" s="771"/>
      <c r="F274" s="771"/>
      <c r="G274" s="771"/>
      <c r="H274" s="639"/>
    </row>
    <row r="275" spans="1:8" ht="30" customHeight="1" x14ac:dyDescent="0.2">
      <c r="A275" s="769" t="s">
        <v>276</v>
      </c>
      <c r="B275" s="643" t="s">
        <v>1224</v>
      </c>
      <c r="C275" s="644">
        <v>80000</v>
      </c>
      <c r="D275" s="644">
        <v>80000</v>
      </c>
      <c r="E275" s="644"/>
      <c r="F275" s="644"/>
      <c r="G275" s="644"/>
      <c r="H275" s="670"/>
    </row>
    <row r="276" spans="1:8" ht="30" customHeight="1" x14ac:dyDescent="0.2">
      <c r="A276" s="769" t="s">
        <v>278</v>
      </c>
      <c r="B276" s="643" t="s">
        <v>1225</v>
      </c>
      <c r="C276" s="694">
        <v>100000</v>
      </c>
      <c r="D276" s="694">
        <v>100000</v>
      </c>
      <c r="E276" s="694"/>
      <c r="F276" s="694"/>
      <c r="G276" s="694"/>
      <c r="H276" s="670"/>
    </row>
    <row r="277" spans="1:8" s="98" customFormat="1" ht="30" customHeight="1" x14ac:dyDescent="0.25">
      <c r="A277" s="621"/>
      <c r="B277" s="657" t="s">
        <v>279</v>
      </c>
      <c r="C277" s="772">
        <f t="shared" ref="C277:D277" si="8">SUM(C278+C291+C304)</f>
        <v>47752000</v>
      </c>
      <c r="D277" s="772">
        <f t="shared" si="8"/>
        <v>47114797</v>
      </c>
      <c r="E277" s="772"/>
      <c r="F277" s="772"/>
      <c r="G277" s="772"/>
      <c r="H277" s="765"/>
    </row>
    <row r="278" spans="1:8" s="98" customFormat="1" ht="30" customHeight="1" x14ac:dyDescent="0.2">
      <c r="A278" s="699">
        <v>2212</v>
      </c>
      <c r="B278" s="767" t="s">
        <v>1226</v>
      </c>
      <c r="C278" s="661">
        <f t="shared" ref="C278:D278" si="9">SUM(C280:C290)</f>
        <v>45642000</v>
      </c>
      <c r="D278" s="661">
        <f t="shared" si="9"/>
        <v>45703673</v>
      </c>
      <c r="E278" s="661"/>
      <c r="F278" s="661"/>
      <c r="G278" s="661"/>
      <c r="H278" s="639"/>
    </row>
    <row r="279" spans="1:8" s="2" customFormat="1" ht="30" customHeight="1" x14ac:dyDescent="0.2">
      <c r="A279" s="715"/>
      <c r="B279" s="679" t="s">
        <v>1227</v>
      </c>
      <c r="C279" s="652">
        <f>SUM(C280:C282)</f>
        <v>11467000</v>
      </c>
      <c r="D279" s="652">
        <f>SUM(D280:D282)</f>
        <v>11467000</v>
      </c>
      <c r="E279" s="652"/>
      <c r="F279" s="652"/>
      <c r="G279" s="652"/>
      <c r="H279" s="670"/>
    </row>
    <row r="280" spans="1:8" s="98" customFormat="1" ht="30" customHeight="1" x14ac:dyDescent="0.2">
      <c r="A280" s="769" t="s">
        <v>282</v>
      </c>
      <c r="B280" s="773" t="s">
        <v>1228</v>
      </c>
      <c r="C280" s="644">
        <v>30000</v>
      </c>
      <c r="D280" s="644">
        <v>30000</v>
      </c>
      <c r="E280" s="644"/>
      <c r="F280" s="644"/>
      <c r="G280" s="644"/>
      <c r="H280" s="670"/>
    </row>
    <row r="281" spans="1:8" s="98" customFormat="1" ht="30" customHeight="1" x14ac:dyDescent="0.2">
      <c r="A281" s="769" t="s">
        <v>282</v>
      </c>
      <c r="B281" s="773" t="s">
        <v>1229</v>
      </c>
      <c r="C281" s="644">
        <v>10637000</v>
      </c>
      <c r="D281" s="644">
        <v>10637000</v>
      </c>
      <c r="E281" s="644"/>
      <c r="F281" s="644"/>
      <c r="G281" s="644"/>
      <c r="H281" s="670"/>
    </row>
    <row r="282" spans="1:8" s="98" customFormat="1" ht="30" customHeight="1" x14ac:dyDescent="0.2">
      <c r="A282" s="769" t="s">
        <v>282</v>
      </c>
      <c r="B282" s="773" t="s">
        <v>1230</v>
      </c>
      <c r="C282" s="644">
        <v>800000</v>
      </c>
      <c r="D282" s="644">
        <v>800000</v>
      </c>
      <c r="E282" s="644"/>
      <c r="F282" s="644"/>
      <c r="G282" s="644"/>
      <c r="H282" s="670"/>
    </row>
    <row r="283" spans="1:8" s="98" customFormat="1" ht="30" customHeight="1" x14ac:dyDescent="0.2">
      <c r="A283" s="769" t="s">
        <v>286</v>
      </c>
      <c r="B283" s="643" t="s">
        <v>1231</v>
      </c>
      <c r="C283" s="644">
        <v>4440000</v>
      </c>
      <c r="D283" s="644">
        <v>4440000</v>
      </c>
      <c r="E283" s="644"/>
      <c r="F283" s="644"/>
      <c r="G283" s="644"/>
      <c r="H283" s="670"/>
    </row>
    <row r="284" spans="1:8" s="98" customFormat="1" ht="30" customHeight="1" x14ac:dyDescent="0.2">
      <c r="A284" s="769" t="s">
        <v>286</v>
      </c>
      <c r="B284" s="643" t="s">
        <v>1232</v>
      </c>
      <c r="C284" s="644">
        <v>23730000</v>
      </c>
      <c r="D284" s="644">
        <v>23730000</v>
      </c>
      <c r="E284" s="644"/>
      <c r="F284" s="644"/>
      <c r="G284" s="644"/>
      <c r="H284" s="670"/>
    </row>
    <row r="285" spans="1:8" s="98" customFormat="1" ht="30" customHeight="1" x14ac:dyDescent="0.2">
      <c r="A285" s="769" t="s">
        <v>291</v>
      </c>
      <c r="B285" s="643" t="s">
        <v>1233</v>
      </c>
      <c r="C285" s="644">
        <v>2000000</v>
      </c>
      <c r="D285" s="644">
        <f>2000000+61673</f>
        <v>2061673</v>
      </c>
      <c r="E285" s="644"/>
      <c r="F285" s="644"/>
      <c r="G285" s="644"/>
      <c r="H285" s="670"/>
    </row>
    <row r="286" spans="1:8" s="98" customFormat="1" ht="30" customHeight="1" x14ac:dyDescent="0.2">
      <c r="A286" s="769" t="s">
        <v>291</v>
      </c>
      <c r="B286" s="643" t="s">
        <v>1234</v>
      </c>
      <c r="C286" s="644">
        <v>1000000</v>
      </c>
      <c r="D286" s="644">
        <v>1000000</v>
      </c>
      <c r="E286" s="644"/>
      <c r="F286" s="644"/>
      <c r="G286" s="644"/>
      <c r="H286" s="670"/>
    </row>
    <row r="287" spans="1:8" s="98" customFormat="1" ht="30" customHeight="1" x14ac:dyDescent="0.2">
      <c r="A287" s="769" t="s">
        <v>293</v>
      </c>
      <c r="B287" s="643" t="s">
        <v>1235</v>
      </c>
      <c r="C287" s="644">
        <v>2050000</v>
      </c>
      <c r="D287" s="644">
        <v>2050000</v>
      </c>
      <c r="E287" s="644"/>
      <c r="F287" s="644"/>
      <c r="G287" s="644"/>
      <c r="H287" s="670"/>
    </row>
    <row r="288" spans="1:8" s="98" customFormat="1" ht="30" customHeight="1" x14ac:dyDescent="0.2">
      <c r="A288" s="769" t="s">
        <v>293</v>
      </c>
      <c r="B288" s="643" t="s">
        <v>1236</v>
      </c>
      <c r="C288" s="644">
        <v>350000</v>
      </c>
      <c r="D288" s="644">
        <v>350000</v>
      </c>
      <c r="E288" s="644"/>
      <c r="F288" s="644"/>
      <c r="G288" s="644"/>
      <c r="H288" s="670"/>
    </row>
    <row r="289" spans="1:8" s="98" customFormat="1" ht="30" customHeight="1" x14ac:dyDescent="0.2">
      <c r="A289" s="769" t="s">
        <v>1237</v>
      </c>
      <c r="B289" s="643" t="s">
        <v>1238</v>
      </c>
      <c r="C289" s="644">
        <v>605000</v>
      </c>
      <c r="D289" s="644">
        <v>605000</v>
      </c>
      <c r="E289" s="644"/>
      <c r="F289" s="644"/>
      <c r="G289" s="644"/>
      <c r="H289" s="670"/>
    </row>
    <row r="290" spans="1:8" s="98" customFormat="1" ht="30" customHeight="1" x14ac:dyDescent="0.2">
      <c r="A290" s="769" t="s">
        <v>1239</v>
      </c>
      <c r="B290" s="643" t="s">
        <v>1240</v>
      </c>
      <c r="C290" s="644">
        <v>0</v>
      </c>
      <c r="D290" s="644">
        <v>0</v>
      </c>
      <c r="E290" s="644"/>
      <c r="F290" s="644"/>
      <c r="G290" s="644"/>
      <c r="H290" s="670"/>
    </row>
    <row r="291" spans="1:8" s="98" customFormat="1" ht="30" customHeight="1" x14ac:dyDescent="0.2">
      <c r="A291" s="663">
        <v>2219</v>
      </c>
      <c r="B291" s="629" t="s">
        <v>1241</v>
      </c>
      <c r="C291" s="635">
        <f>SUM(C293+C294+C296+C297+C298+C300+C301+C302+C299+C303)</f>
        <v>1960000</v>
      </c>
      <c r="D291" s="635">
        <f>SUM(D293+D294+D296+D297+D298+D300+D301+D302+D299+D303)</f>
        <v>1260000</v>
      </c>
      <c r="E291" s="635"/>
      <c r="F291" s="635"/>
      <c r="G291" s="635"/>
      <c r="H291" s="639"/>
    </row>
    <row r="292" spans="1:8" s="2" customFormat="1" ht="30" customHeight="1" x14ac:dyDescent="0.2">
      <c r="A292" s="715"/>
      <c r="B292" s="679" t="s">
        <v>1242</v>
      </c>
      <c r="C292" s="652">
        <f>SUM(C293:C294)</f>
        <v>0</v>
      </c>
      <c r="D292" s="652">
        <f>SUM(D293:D294)</f>
        <v>0</v>
      </c>
      <c r="E292" s="652"/>
      <c r="F292" s="652"/>
      <c r="G292" s="652"/>
      <c r="H292" s="670"/>
    </row>
    <row r="293" spans="1:8" s="98" customFormat="1" ht="30" customHeight="1" x14ac:dyDescent="0.2">
      <c r="A293" s="769" t="s">
        <v>1243</v>
      </c>
      <c r="B293" s="643" t="s">
        <v>1244</v>
      </c>
      <c r="C293" s="644">
        <v>0</v>
      </c>
      <c r="D293" s="644">
        <v>0</v>
      </c>
      <c r="E293" s="644"/>
      <c r="F293" s="644"/>
      <c r="G293" s="644"/>
      <c r="H293" s="670"/>
    </row>
    <row r="294" spans="1:8" s="98" customFormat="1" ht="30" customHeight="1" x14ac:dyDescent="0.2">
      <c r="A294" s="769" t="s">
        <v>305</v>
      </c>
      <c r="B294" s="643" t="s">
        <v>1245</v>
      </c>
      <c r="C294" s="644">
        <v>0</v>
      </c>
      <c r="D294" s="644">
        <v>0</v>
      </c>
      <c r="E294" s="644"/>
      <c r="F294" s="644"/>
      <c r="G294" s="644"/>
      <c r="H294" s="670"/>
    </row>
    <row r="295" spans="1:8" s="98" customFormat="1" ht="30" customHeight="1" x14ac:dyDescent="0.2">
      <c r="A295" s="769"/>
      <c r="B295" s="679" t="s">
        <v>281</v>
      </c>
      <c r="C295" s="652">
        <f>SUM(C296:C300)</f>
        <v>1300000</v>
      </c>
      <c r="D295" s="652">
        <f>SUM(D296:D300)</f>
        <v>600000</v>
      </c>
      <c r="E295" s="652"/>
      <c r="F295" s="652"/>
      <c r="G295" s="652"/>
      <c r="H295" s="670"/>
    </row>
    <row r="296" spans="1:8" s="98" customFormat="1" ht="30" customHeight="1" x14ac:dyDescent="0.2">
      <c r="A296" s="769" t="s">
        <v>1246</v>
      </c>
      <c r="B296" s="643" t="s">
        <v>1247</v>
      </c>
      <c r="C296" s="644">
        <v>0</v>
      </c>
      <c r="D296" s="644">
        <v>0</v>
      </c>
      <c r="E296" s="644"/>
      <c r="F296" s="644"/>
      <c r="G296" s="644"/>
      <c r="H296" s="670"/>
    </row>
    <row r="297" spans="1:8" s="98" customFormat="1" ht="30" customHeight="1" x14ac:dyDescent="0.2">
      <c r="A297" s="769" t="s">
        <v>474</v>
      </c>
      <c r="B297" s="643" t="s">
        <v>1248</v>
      </c>
      <c r="C297" s="644">
        <v>700000</v>
      </c>
      <c r="D297" s="644">
        <f>700000-700000</f>
        <v>0</v>
      </c>
      <c r="E297" s="644"/>
      <c r="F297" s="644"/>
      <c r="G297" s="644"/>
      <c r="H297" s="670"/>
    </row>
    <row r="298" spans="1:8" s="98" customFormat="1" ht="30" customHeight="1" x14ac:dyDescent="0.2">
      <c r="A298" s="769" t="s">
        <v>1249</v>
      </c>
      <c r="B298" s="643" t="s">
        <v>1250</v>
      </c>
      <c r="C298" s="644">
        <v>0</v>
      </c>
      <c r="D298" s="644">
        <v>0</v>
      </c>
      <c r="E298" s="644"/>
      <c r="F298" s="644"/>
      <c r="G298" s="644"/>
      <c r="H298" s="670"/>
    </row>
    <row r="299" spans="1:8" s="98" customFormat="1" ht="30" customHeight="1" x14ac:dyDescent="0.2">
      <c r="A299" s="769" t="s">
        <v>1251</v>
      </c>
      <c r="B299" s="643" t="s">
        <v>1252</v>
      </c>
      <c r="C299" s="644">
        <v>500000</v>
      </c>
      <c r="D299" s="644">
        <v>500000</v>
      </c>
      <c r="E299" s="644"/>
      <c r="F299" s="644"/>
      <c r="G299" s="644"/>
      <c r="H299" s="670"/>
    </row>
    <row r="300" spans="1:8" s="98" customFormat="1" ht="30" customHeight="1" x14ac:dyDescent="0.2">
      <c r="A300" s="769" t="s">
        <v>498</v>
      </c>
      <c r="B300" s="643" t="s">
        <v>1253</v>
      </c>
      <c r="C300" s="644">
        <v>100000</v>
      </c>
      <c r="D300" s="644">
        <v>100000</v>
      </c>
      <c r="E300" s="644"/>
      <c r="F300" s="644"/>
      <c r="G300" s="644"/>
      <c r="H300" s="670"/>
    </row>
    <row r="301" spans="1:8" s="98" customFormat="1" ht="30" customHeight="1" x14ac:dyDescent="0.2">
      <c r="A301" s="769" t="s">
        <v>1254</v>
      </c>
      <c r="B301" s="643" t="s">
        <v>1255</v>
      </c>
      <c r="C301" s="644">
        <v>10000</v>
      </c>
      <c r="D301" s="644">
        <v>10000</v>
      </c>
      <c r="E301" s="644"/>
      <c r="F301" s="644"/>
      <c r="G301" s="644"/>
      <c r="H301" s="670"/>
    </row>
    <row r="302" spans="1:8" s="98" customFormat="1" ht="30" customHeight="1" x14ac:dyDescent="0.2">
      <c r="A302" s="774" t="s">
        <v>299</v>
      </c>
      <c r="B302" s="690" t="s">
        <v>1256</v>
      </c>
      <c r="C302" s="644">
        <v>100000</v>
      </c>
      <c r="D302" s="644">
        <v>100000</v>
      </c>
      <c r="E302" s="644"/>
      <c r="F302" s="644"/>
      <c r="G302" s="644"/>
      <c r="H302" s="670"/>
    </row>
    <row r="303" spans="1:8" s="98" customFormat="1" ht="30" customHeight="1" x14ac:dyDescent="0.2">
      <c r="A303" s="774" t="s">
        <v>301</v>
      </c>
      <c r="B303" s="690" t="s">
        <v>1257</v>
      </c>
      <c r="C303" s="644">
        <v>550000</v>
      </c>
      <c r="D303" s="644">
        <v>550000</v>
      </c>
      <c r="E303" s="644"/>
      <c r="F303" s="644"/>
      <c r="G303" s="644"/>
      <c r="H303" s="670"/>
    </row>
    <row r="304" spans="1:8" ht="30" customHeight="1" x14ac:dyDescent="0.2">
      <c r="A304" s="663">
        <v>2221</v>
      </c>
      <c r="B304" s="629" t="s">
        <v>1258</v>
      </c>
      <c r="C304" s="635">
        <f>SUM(C306:C308)</f>
        <v>150000</v>
      </c>
      <c r="D304" s="635">
        <f>SUM(D306:D308)</f>
        <v>151124</v>
      </c>
      <c r="E304" s="635"/>
      <c r="F304" s="635"/>
      <c r="G304" s="635"/>
      <c r="H304" s="639"/>
    </row>
    <row r="305" spans="1:8" s="2" customFormat="1" ht="30" customHeight="1" x14ac:dyDescent="0.2">
      <c r="A305" s="715"/>
      <c r="B305" s="679" t="s">
        <v>281</v>
      </c>
      <c r="C305" s="652">
        <v>0</v>
      </c>
      <c r="D305" s="652">
        <v>0</v>
      </c>
      <c r="E305" s="652"/>
      <c r="F305" s="652"/>
      <c r="G305" s="652"/>
      <c r="H305" s="670"/>
    </row>
    <row r="306" spans="1:8" ht="30" customHeight="1" x14ac:dyDescent="0.2">
      <c r="A306" s="769" t="s">
        <v>1259</v>
      </c>
      <c r="B306" s="672" t="s">
        <v>1260</v>
      </c>
      <c r="C306" s="644">
        <v>0</v>
      </c>
      <c r="D306" s="644">
        <v>29498.59</v>
      </c>
      <c r="E306" s="644"/>
      <c r="F306" s="644"/>
      <c r="G306" s="644"/>
      <c r="H306" s="670"/>
    </row>
    <row r="307" spans="1:8" ht="30" customHeight="1" x14ac:dyDescent="0.2">
      <c r="A307" s="775" t="s">
        <v>308</v>
      </c>
      <c r="B307" s="679" t="s">
        <v>1261</v>
      </c>
      <c r="C307" s="644">
        <v>60000</v>
      </c>
      <c r="D307" s="644">
        <v>60000</v>
      </c>
      <c r="E307" s="644"/>
      <c r="F307" s="644"/>
      <c r="G307" s="644"/>
      <c r="H307" s="670"/>
    </row>
    <row r="308" spans="1:8" ht="30" customHeight="1" x14ac:dyDescent="0.2">
      <c r="A308" s="775" t="s">
        <v>310</v>
      </c>
      <c r="B308" s="776" t="s">
        <v>1262</v>
      </c>
      <c r="C308" s="644">
        <v>90000</v>
      </c>
      <c r="D308" s="644">
        <f>90000-29498.59+1124</f>
        <v>61625.41</v>
      </c>
      <c r="E308" s="644"/>
      <c r="F308" s="644"/>
      <c r="G308" s="644"/>
      <c r="H308" s="670"/>
    </row>
    <row r="309" spans="1:8" ht="30" customHeight="1" x14ac:dyDescent="0.25">
      <c r="A309" s="621"/>
      <c r="B309" s="657" t="s">
        <v>312</v>
      </c>
      <c r="C309" s="777">
        <f t="shared" ref="C309:D309" si="10">C310</f>
        <v>1050000</v>
      </c>
      <c r="D309" s="777">
        <f t="shared" si="10"/>
        <v>1050000</v>
      </c>
      <c r="E309" s="777"/>
      <c r="F309" s="777"/>
      <c r="G309" s="777"/>
      <c r="H309" s="685"/>
    </row>
    <row r="310" spans="1:8" ht="30" customHeight="1" x14ac:dyDescent="0.2">
      <c r="A310" s="766">
        <v>3639</v>
      </c>
      <c r="B310" s="767" t="s">
        <v>313</v>
      </c>
      <c r="C310" s="661">
        <f>SUM(C311:C318)</f>
        <v>1050000</v>
      </c>
      <c r="D310" s="661">
        <f>SUM(D311:D318)</f>
        <v>1050000</v>
      </c>
      <c r="E310" s="661"/>
      <c r="F310" s="661"/>
      <c r="G310" s="661"/>
      <c r="H310" s="639"/>
    </row>
    <row r="311" spans="1:8" ht="30" customHeight="1" x14ac:dyDescent="0.2">
      <c r="A311" s="769" t="s">
        <v>314</v>
      </c>
      <c r="B311" s="672" t="s">
        <v>1263</v>
      </c>
      <c r="C311" s="644">
        <v>500000</v>
      </c>
      <c r="D311" s="644">
        <v>500000</v>
      </c>
      <c r="E311" s="644"/>
      <c r="F311" s="644"/>
      <c r="G311" s="644"/>
      <c r="H311" s="670"/>
    </row>
    <row r="312" spans="1:8" ht="30" customHeight="1" x14ac:dyDescent="0.2">
      <c r="A312" s="769" t="s">
        <v>316</v>
      </c>
      <c r="B312" s="643" t="s">
        <v>1264</v>
      </c>
      <c r="C312" s="644">
        <v>50000</v>
      </c>
      <c r="D312" s="644">
        <v>50000</v>
      </c>
      <c r="E312" s="644"/>
      <c r="F312" s="644"/>
      <c r="G312" s="644"/>
      <c r="H312" s="670"/>
    </row>
    <row r="313" spans="1:8" ht="30" customHeight="1" x14ac:dyDescent="0.2">
      <c r="A313" s="778" t="s">
        <v>316</v>
      </c>
      <c r="B313" s="690" t="s">
        <v>1265</v>
      </c>
      <c r="C313" s="644">
        <v>50000</v>
      </c>
      <c r="D313" s="644">
        <v>50000</v>
      </c>
      <c r="E313" s="644"/>
      <c r="F313" s="644"/>
      <c r="G313" s="644"/>
      <c r="H313" s="670"/>
    </row>
    <row r="314" spans="1:8" ht="30" customHeight="1" x14ac:dyDescent="0.2">
      <c r="A314" s="769" t="s">
        <v>325</v>
      </c>
      <c r="B314" s="643" t="s">
        <v>1266</v>
      </c>
      <c r="C314" s="644">
        <v>50000</v>
      </c>
      <c r="D314" s="644">
        <v>50000</v>
      </c>
      <c r="E314" s="644"/>
      <c r="F314" s="644"/>
      <c r="G314" s="644"/>
      <c r="H314" s="670"/>
    </row>
    <row r="315" spans="1:8" ht="30" customHeight="1" x14ac:dyDescent="0.2">
      <c r="A315" s="769" t="s">
        <v>321</v>
      </c>
      <c r="B315" s="643" t="s">
        <v>1267</v>
      </c>
      <c r="C315" s="644">
        <v>150000</v>
      </c>
      <c r="D315" s="644">
        <v>150000</v>
      </c>
      <c r="E315" s="644"/>
      <c r="F315" s="644"/>
      <c r="G315" s="644"/>
      <c r="H315" s="670"/>
    </row>
    <row r="316" spans="1:8" ht="30" customHeight="1" x14ac:dyDescent="0.2">
      <c r="A316" s="769" t="s">
        <v>323</v>
      </c>
      <c r="B316" s="643" t="s">
        <v>1268</v>
      </c>
      <c r="C316" s="644">
        <v>210000</v>
      </c>
      <c r="D316" s="644">
        <v>210000</v>
      </c>
      <c r="E316" s="644"/>
      <c r="F316" s="644"/>
      <c r="G316" s="644"/>
      <c r="H316" s="670"/>
    </row>
    <row r="317" spans="1:8" ht="30" customHeight="1" x14ac:dyDescent="0.2">
      <c r="A317" s="775" t="s">
        <v>331</v>
      </c>
      <c r="B317" s="643" t="s">
        <v>1269</v>
      </c>
      <c r="C317" s="644">
        <v>10000</v>
      </c>
      <c r="D317" s="644">
        <v>10000</v>
      </c>
      <c r="E317" s="644"/>
      <c r="F317" s="644"/>
      <c r="G317" s="644"/>
      <c r="H317" s="670"/>
    </row>
    <row r="318" spans="1:8" ht="30" customHeight="1" x14ac:dyDescent="0.2">
      <c r="A318" s="775" t="s">
        <v>333</v>
      </c>
      <c r="B318" s="779" t="s">
        <v>1270</v>
      </c>
      <c r="C318" s="644">
        <v>30000</v>
      </c>
      <c r="D318" s="644">
        <v>30000</v>
      </c>
      <c r="E318" s="644"/>
      <c r="F318" s="644"/>
      <c r="G318" s="644"/>
      <c r="H318" s="670"/>
    </row>
    <row r="319" spans="1:8" ht="30" customHeight="1" x14ac:dyDescent="0.25">
      <c r="A319" s="621"/>
      <c r="B319" s="657" t="s">
        <v>335</v>
      </c>
      <c r="C319" s="780">
        <f>SUM(C320,C324,C326,C333,C342,C357,C365,C367,C370)</f>
        <v>25037044.199999999</v>
      </c>
      <c r="D319" s="780">
        <f>SUM(D320,D324,D326,D333,D342,D357,D365,D367,D370)</f>
        <v>25596608.199999999</v>
      </c>
      <c r="E319" s="780"/>
      <c r="F319" s="780"/>
      <c r="G319" s="780"/>
      <c r="H319" s="781"/>
    </row>
    <row r="320" spans="1:8" ht="30" customHeight="1" x14ac:dyDescent="0.2">
      <c r="A320" s="766">
        <v>3341</v>
      </c>
      <c r="B320" s="767" t="s">
        <v>1271</v>
      </c>
      <c r="C320" s="687">
        <f>SUM(C321:C323)</f>
        <v>225000</v>
      </c>
      <c r="D320" s="687">
        <f>SUM(D321:D323)</f>
        <v>225000</v>
      </c>
      <c r="E320" s="687"/>
      <c r="F320" s="687"/>
      <c r="G320" s="687"/>
      <c r="H320" s="639"/>
    </row>
    <row r="321" spans="1:8" ht="30" customHeight="1" x14ac:dyDescent="0.2">
      <c r="A321" s="769" t="s">
        <v>337</v>
      </c>
      <c r="B321" s="672" t="s">
        <v>338</v>
      </c>
      <c r="C321" s="644">
        <v>145000</v>
      </c>
      <c r="D321" s="644">
        <v>145000</v>
      </c>
      <c r="E321" s="644"/>
      <c r="F321" s="644"/>
      <c r="G321" s="644"/>
      <c r="H321" s="670"/>
    </row>
    <row r="322" spans="1:8" ht="30" customHeight="1" x14ac:dyDescent="0.2">
      <c r="A322" s="769" t="s">
        <v>339</v>
      </c>
      <c r="B322" s="672" t="s">
        <v>1272</v>
      </c>
      <c r="C322" s="644">
        <v>5000</v>
      </c>
      <c r="D322" s="644">
        <v>5000</v>
      </c>
      <c r="E322" s="644"/>
      <c r="F322" s="644"/>
      <c r="G322" s="644"/>
      <c r="H322" s="670"/>
    </row>
    <row r="323" spans="1:8" ht="30" customHeight="1" x14ac:dyDescent="0.2">
      <c r="A323" s="769" t="s">
        <v>1273</v>
      </c>
      <c r="B323" s="672" t="s">
        <v>1274</v>
      </c>
      <c r="C323" s="644">
        <v>75000</v>
      </c>
      <c r="D323" s="644">
        <v>75000</v>
      </c>
      <c r="E323" s="644"/>
      <c r="F323" s="644"/>
      <c r="G323" s="644"/>
      <c r="H323" s="670"/>
    </row>
    <row r="324" spans="1:8" ht="30" customHeight="1" x14ac:dyDescent="0.2">
      <c r="A324" s="660">
        <v>3412</v>
      </c>
      <c r="B324" s="629" t="s">
        <v>1931</v>
      </c>
      <c r="C324" s="635">
        <f>SUM(C325)</f>
        <v>0</v>
      </c>
      <c r="D324" s="635">
        <f>SUM(D325)</f>
        <v>494029.69</v>
      </c>
      <c r="E324" s="635"/>
      <c r="F324" s="635"/>
      <c r="G324" s="635"/>
      <c r="H324" s="639"/>
    </row>
    <row r="325" spans="1:8" ht="30" customHeight="1" x14ac:dyDescent="0.2">
      <c r="A325" s="769" t="s">
        <v>1932</v>
      </c>
      <c r="B325" s="782" t="s">
        <v>1933</v>
      </c>
      <c r="C325" s="678">
        <v>0</v>
      </c>
      <c r="D325" s="678">
        <f>274029.69+220000</f>
        <v>494029.69</v>
      </c>
      <c r="E325" s="678"/>
      <c r="F325" s="678"/>
      <c r="G325" s="678"/>
      <c r="H325" s="670"/>
    </row>
    <row r="326" spans="1:8" ht="30" customHeight="1" x14ac:dyDescent="0.2">
      <c r="A326" s="660">
        <v>3421</v>
      </c>
      <c r="B326" s="629" t="s">
        <v>1275</v>
      </c>
      <c r="C326" s="635">
        <f>SUM(C327:C332)</f>
        <v>1740000</v>
      </c>
      <c r="D326" s="635">
        <f>SUM(D327:D332)</f>
        <v>1565970.31</v>
      </c>
      <c r="E326" s="635"/>
      <c r="F326" s="635"/>
      <c r="G326" s="635"/>
      <c r="H326" s="639"/>
    </row>
    <row r="327" spans="1:8" ht="30" customHeight="1" x14ac:dyDescent="0.2">
      <c r="A327" s="769" t="s">
        <v>350</v>
      </c>
      <c r="B327" s="782" t="s">
        <v>1276</v>
      </c>
      <c r="C327" s="678">
        <v>500000</v>
      </c>
      <c r="D327" s="678">
        <v>500000</v>
      </c>
      <c r="E327" s="678"/>
      <c r="F327" s="678"/>
      <c r="G327" s="678"/>
      <c r="H327" s="670"/>
    </row>
    <row r="328" spans="1:8" ht="30" customHeight="1" x14ac:dyDescent="0.2">
      <c r="A328" s="769" t="s">
        <v>342</v>
      </c>
      <c r="B328" s="783" t="s">
        <v>1277</v>
      </c>
      <c r="C328" s="644">
        <v>600000</v>
      </c>
      <c r="D328" s="644">
        <f>600000+100000-274029.69</f>
        <v>425970.31</v>
      </c>
      <c r="E328" s="644"/>
      <c r="F328" s="644"/>
      <c r="G328" s="644"/>
      <c r="H328" s="670"/>
    </row>
    <row r="329" spans="1:8" ht="30" customHeight="1" x14ac:dyDescent="0.2">
      <c r="A329" s="769" t="s">
        <v>344</v>
      </c>
      <c r="B329" s="783" t="s">
        <v>1278</v>
      </c>
      <c r="C329" s="644">
        <v>60000</v>
      </c>
      <c r="D329" s="644">
        <v>60000</v>
      </c>
      <c r="E329" s="644"/>
      <c r="F329" s="644"/>
      <c r="G329" s="644"/>
      <c r="H329" s="670"/>
    </row>
    <row r="330" spans="1:8" ht="30" customHeight="1" x14ac:dyDescent="0.2">
      <c r="A330" s="769" t="s">
        <v>346</v>
      </c>
      <c r="B330" s="783" t="s">
        <v>1279</v>
      </c>
      <c r="C330" s="644">
        <v>80000</v>
      </c>
      <c r="D330" s="644">
        <v>80000</v>
      </c>
      <c r="E330" s="644"/>
      <c r="F330" s="644"/>
      <c r="G330" s="644"/>
      <c r="H330" s="670"/>
    </row>
    <row r="331" spans="1:8" ht="30" customHeight="1" x14ac:dyDescent="0.2">
      <c r="A331" s="769" t="s">
        <v>348</v>
      </c>
      <c r="B331" s="782" t="s">
        <v>1280</v>
      </c>
      <c r="C331" s="644">
        <v>500000</v>
      </c>
      <c r="D331" s="644">
        <v>500000</v>
      </c>
      <c r="E331" s="644"/>
      <c r="F331" s="644"/>
      <c r="G331" s="644"/>
      <c r="H331" s="670"/>
    </row>
    <row r="332" spans="1:8" ht="30" customHeight="1" x14ac:dyDescent="0.2">
      <c r="A332" s="769" t="s">
        <v>1281</v>
      </c>
      <c r="B332" s="783" t="s">
        <v>1282</v>
      </c>
      <c r="C332" s="644">
        <v>0</v>
      </c>
      <c r="D332" s="644">
        <v>0</v>
      </c>
      <c r="E332" s="644"/>
      <c r="F332" s="644"/>
      <c r="G332" s="644"/>
      <c r="H332" s="670"/>
    </row>
    <row r="333" spans="1:8" ht="30" customHeight="1" x14ac:dyDescent="0.2">
      <c r="A333" s="663">
        <v>3613</v>
      </c>
      <c r="B333" s="629" t="s">
        <v>1283</v>
      </c>
      <c r="C333" s="635">
        <f>SUM(C334:C341)</f>
        <v>1870000</v>
      </c>
      <c r="D333" s="635">
        <f>SUM(D334:D341)</f>
        <v>1826077</v>
      </c>
      <c r="E333" s="635"/>
      <c r="F333" s="635"/>
      <c r="G333" s="635"/>
      <c r="H333" s="639"/>
    </row>
    <row r="334" spans="1:8" ht="30" customHeight="1" x14ac:dyDescent="0.2">
      <c r="A334" s="769" t="s">
        <v>1284</v>
      </c>
      <c r="B334" s="782" t="s">
        <v>1285</v>
      </c>
      <c r="C334" s="644">
        <v>350000</v>
      </c>
      <c r="D334" s="644">
        <v>350000</v>
      </c>
      <c r="E334" s="644"/>
      <c r="F334" s="644"/>
      <c r="G334" s="644"/>
      <c r="H334" s="639"/>
    </row>
    <row r="335" spans="1:8" ht="30" customHeight="1" x14ac:dyDescent="0.2">
      <c r="A335" s="775" t="s">
        <v>353</v>
      </c>
      <c r="B335" s="773" t="s">
        <v>1286</v>
      </c>
      <c r="C335" s="644">
        <v>5000</v>
      </c>
      <c r="D335" s="644">
        <v>5000</v>
      </c>
      <c r="E335" s="644"/>
      <c r="F335" s="644"/>
      <c r="G335" s="644"/>
      <c r="H335" s="670"/>
    </row>
    <row r="336" spans="1:8" ht="30" customHeight="1" x14ac:dyDescent="0.2">
      <c r="A336" s="775" t="s">
        <v>355</v>
      </c>
      <c r="B336" s="773" t="s">
        <v>1287</v>
      </c>
      <c r="C336" s="644">
        <v>15000</v>
      </c>
      <c r="D336" s="644">
        <v>15000</v>
      </c>
      <c r="E336" s="644"/>
      <c r="F336" s="644"/>
      <c r="G336" s="644"/>
      <c r="H336" s="670"/>
    </row>
    <row r="337" spans="1:8" ht="30" customHeight="1" x14ac:dyDescent="0.2">
      <c r="A337" s="775" t="s">
        <v>357</v>
      </c>
      <c r="B337" s="643" t="s">
        <v>1288</v>
      </c>
      <c r="C337" s="644">
        <v>200000</v>
      </c>
      <c r="D337" s="644">
        <v>200000</v>
      </c>
      <c r="E337" s="644"/>
      <c r="F337" s="644"/>
      <c r="G337" s="644"/>
      <c r="H337" s="670"/>
    </row>
    <row r="338" spans="1:8" ht="30" customHeight="1" x14ac:dyDescent="0.2">
      <c r="A338" s="775" t="s">
        <v>359</v>
      </c>
      <c r="B338" s="643" t="s">
        <v>1289</v>
      </c>
      <c r="C338" s="644">
        <v>640000</v>
      </c>
      <c r="D338" s="644">
        <v>640000</v>
      </c>
      <c r="E338" s="644"/>
      <c r="F338" s="644"/>
      <c r="G338" s="644"/>
      <c r="H338" s="670"/>
    </row>
    <row r="339" spans="1:8" ht="30" customHeight="1" x14ac:dyDescent="0.2">
      <c r="A339" s="775" t="s">
        <v>361</v>
      </c>
      <c r="B339" s="643" t="s">
        <v>1290</v>
      </c>
      <c r="C339" s="644">
        <v>100000</v>
      </c>
      <c r="D339" s="644">
        <f>100000-43923</f>
        <v>56077</v>
      </c>
      <c r="E339" s="644"/>
      <c r="F339" s="644"/>
      <c r="G339" s="644"/>
      <c r="H339" s="670"/>
    </row>
    <row r="340" spans="1:8" ht="30" customHeight="1" x14ac:dyDescent="0.2">
      <c r="A340" s="775" t="s">
        <v>364</v>
      </c>
      <c r="B340" s="672" t="s">
        <v>1291</v>
      </c>
      <c r="C340" s="644">
        <v>260000</v>
      </c>
      <c r="D340" s="644">
        <v>260000</v>
      </c>
      <c r="E340" s="644"/>
      <c r="F340" s="644"/>
      <c r="G340" s="644"/>
      <c r="H340" s="670"/>
    </row>
    <row r="341" spans="1:8" ht="30" customHeight="1" x14ac:dyDescent="0.2">
      <c r="A341" s="769" t="s">
        <v>1292</v>
      </c>
      <c r="B341" s="783" t="s">
        <v>1293</v>
      </c>
      <c r="C341" s="644">
        <v>300000</v>
      </c>
      <c r="D341" s="644">
        <v>300000</v>
      </c>
      <c r="E341" s="644"/>
      <c r="F341" s="644"/>
      <c r="G341" s="644"/>
      <c r="H341" s="670"/>
    </row>
    <row r="342" spans="1:8" ht="30" customHeight="1" x14ac:dyDescent="0.2">
      <c r="A342" s="663">
        <v>3631</v>
      </c>
      <c r="B342" s="629" t="s">
        <v>1294</v>
      </c>
      <c r="C342" s="635">
        <f>SUM(C343:C348)</f>
        <v>14990000</v>
      </c>
      <c r="D342" s="635">
        <f>SUM(D343:D348)</f>
        <v>14991858</v>
      </c>
      <c r="E342" s="635"/>
      <c r="F342" s="635"/>
      <c r="G342" s="635"/>
      <c r="H342" s="639"/>
    </row>
    <row r="343" spans="1:8" ht="30" customHeight="1" x14ac:dyDescent="0.2">
      <c r="A343" s="769" t="s">
        <v>371</v>
      </c>
      <c r="B343" s="643" t="s">
        <v>1295</v>
      </c>
      <c r="C343" s="644">
        <v>4800000</v>
      </c>
      <c r="D343" s="644">
        <v>4800000</v>
      </c>
      <c r="E343" s="644"/>
      <c r="F343" s="644"/>
      <c r="G343" s="644"/>
      <c r="H343" s="670"/>
    </row>
    <row r="344" spans="1:8" ht="30" customHeight="1" x14ac:dyDescent="0.2">
      <c r="A344" s="775" t="s">
        <v>367</v>
      </c>
      <c r="B344" s="643" t="s">
        <v>1296</v>
      </c>
      <c r="C344" s="644">
        <v>50000</v>
      </c>
      <c r="D344" s="644">
        <v>50000</v>
      </c>
      <c r="E344" s="644"/>
      <c r="F344" s="644"/>
      <c r="G344" s="644"/>
      <c r="H344" s="670"/>
    </row>
    <row r="345" spans="1:8" ht="30" customHeight="1" x14ac:dyDescent="0.2">
      <c r="A345" s="775" t="s">
        <v>369</v>
      </c>
      <c r="B345" s="643" t="s">
        <v>1297</v>
      </c>
      <c r="C345" s="644">
        <v>250000</v>
      </c>
      <c r="D345" s="644">
        <v>250000</v>
      </c>
      <c r="E345" s="644"/>
      <c r="F345" s="644"/>
      <c r="G345" s="644"/>
      <c r="H345" s="670"/>
    </row>
    <row r="346" spans="1:8" ht="30" customHeight="1" x14ac:dyDescent="0.2">
      <c r="A346" s="775" t="s">
        <v>369</v>
      </c>
      <c r="B346" s="643" t="s">
        <v>1298</v>
      </c>
      <c r="C346" s="644">
        <v>300000</v>
      </c>
      <c r="D346" s="644">
        <f>300000+1858</f>
        <v>301858</v>
      </c>
      <c r="E346" s="644"/>
      <c r="F346" s="644"/>
      <c r="G346" s="644"/>
      <c r="H346" s="670"/>
    </row>
    <row r="347" spans="1:8" ht="30" customHeight="1" x14ac:dyDescent="0.2">
      <c r="A347" s="769" t="s">
        <v>373</v>
      </c>
      <c r="B347" s="643" t="s">
        <v>374</v>
      </c>
      <c r="C347" s="644">
        <v>7200000</v>
      </c>
      <c r="D347" s="644">
        <v>7200000</v>
      </c>
      <c r="E347" s="644"/>
      <c r="F347" s="644"/>
      <c r="G347" s="644"/>
      <c r="H347" s="670"/>
    </row>
    <row r="348" spans="1:8" ht="30" customHeight="1" x14ac:dyDescent="0.2">
      <c r="A348" s="769"/>
      <c r="B348" s="679" t="s">
        <v>281</v>
      </c>
      <c r="C348" s="652">
        <f>SUM(C349:C356)</f>
        <v>2390000</v>
      </c>
      <c r="D348" s="652">
        <f>SUM(D349:D356)</f>
        <v>2390000</v>
      </c>
      <c r="E348" s="652"/>
      <c r="F348" s="652"/>
      <c r="G348" s="652"/>
      <c r="H348" s="670"/>
    </row>
    <row r="349" spans="1:8" ht="30" customHeight="1" x14ac:dyDescent="0.2">
      <c r="A349" s="769" t="s">
        <v>1935</v>
      </c>
      <c r="B349" s="783" t="s">
        <v>1936</v>
      </c>
      <c r="C349" s="644">
        <v>0</v>
      </c>
      <c r="D349" s="644">
        <v>70301</v>
      </c>
      <c r="E349" s="644"/>
      <c r="F349" s="644"/>
      <c r="G349" s="644"/>
      <c r="H349" s="670"/>
    </row>
    <row r="350" spans="1:8" ht="30" customHeight="1" x14ac:dyDescent="0.2">
      <c r="A350" s="769" t="s">
        <v>579</v>
      </c>
      <c r="B350" s="783" t="s">
        <v>1299</v>
      </c>
      <c r="C350" s="644">
        <v>650000</v>
      </c>
      <c r="D350" s="644">
        <v>650000</v>
      </c>
      <c r="E350" s="644"/>
      <c r="F350" s="644"/>
      <c r="G350" s="644"/>
      <c r="H350" s="670"/>
    </row>
    <row r="351" spans="1:8" ht="30" customHeight="1" x14ac:dyDescent="0.2">
      <c r="A351" s="769" t="s">
        <v>571</v>
      </c>
      <c r="B351" s="783" t="s">
        <v>1937</v>
      </c>
      <c r="C351" s="644">
        <v>0</v>
      </c>
      <c r="D351" s="644">
        <v>26257</v>
      </c>
      <c r="E351" s="644"/>
      <c r="F351" s="644"/>
      <c r="G351" s="644"/>
      <c r="H351" s="670"/>
    </row>
    <row r="352" spans="1:8" ht="30" customHeight="1" x14ac:dyDescent="0.2">
      <c r="A352" s="769" t="s">
        <v>1300</v>
      </c>
      <c r="B352" s="783" t="s">
        <v>1301</v>
      </c>
      <c r="C352" s="644">
        <v>80000</v>
      </c>
      <c r="D352" s="644">
        <v>80000</v>
      </c>
      <c r="E352" s="644"/>
      <c r="F352" s="644"/>
      <c r="G352" s="644"/>
      <c r="H352" s="670"/>
    </row>
    <row r="353" spans="1:8" ht="30" customHeight="1" x14ac:dyDescent="0.2">
      <c r="A353" s="769" t="s">
        <v>1302</v>
      </c>
      <c r="B353" s="783" t="s">
        <v>1303</v>
      </c>
      <c r="C353" s="644">
        <v>550000</v>
      </c>
      <c r="D353" s="644">
        <f>550000-124482</f>
        <v>425518</v>
      </c>
      <c r="E353" s="644"/>
      <c r="F353" s="644"/>
      <c r="G353" s="644"/>
      <c r="H353" s="670"/>
    </row>
    <row r="354" spans="1:8" ht="30" customHeight="1" x14ac:dyDescent="0.2">
      <c r="A354" s="769" t="s">
        <v>1304</v>
      </c>
      <c r="B354" s="783" t="s">
        <v>1305</v>
      </c>
      <c r="C354" s="644">
        <v>50000</v>
      </c>
      <c r="D354" s="644">
        <f>50000+27924</f>
        <v>77924</v>
      </c>
      <c r="E354" s="644"/>
      <c r="F354" s="644"/>
      <c r="G354" s="644"/>
      <c r="H354" s="670"/>
    </row>
    <row r="355" spans="1:8" ht="30" customHeight="1" x14ac:dyDescent="0.2">
      <c r="A355" s="769" t="s">
        <v>1306</v>
      </c>
      <c r="B355" s="783" t="s">
        <v>1307</v>
      </c>
      <c r="C355" s="644">
        <v>60000</v>
      </c>
      <c r="D355" s="644">
        <v>60000</v>
      </c>
      <c r="E355" s="644"/>
      <c r="F355" s="644"/>
      <c r="G355" s="644"/>
      <c r="H355" s="670"/>
    </row>
    <row r="356" spans="1:8" ht="30" customHeight="1" x14ac:dyDescent="0.2">
      <c r="A356" s="769" t="s">
        <v>585</v>
      </c>
      <c r="B356" s="783" t="s">
        <v>1308</v>
      </c>
      <c r="C356" s="644">
        <v>1000000</v>
      </c>
      <c r="D356" s="644">
        <v>1000000</v>
      </c>
      <c r="E356" s="644"/>
      <c r="F356" s="644"/>
      <c r="G356" s="644"/>
      <c r="H356" s="670"/>
    </row>
    <row r="357" spans="1:8" ht="30" customHeight="1" x14ac:dyDescent="0.2">
      <c r="A357" s="663">
        <v>3632</v>
      </c>
      <c r="B357" s="629" t="s">
        <v>1309</v>
      </c>
      <c r="C357" s="635">
        <f>SUM(C359:C364)</f>
        <v>4142630</v>
      </c>
      <c r="D357" s="635">
        <f>SUM(D359:D364)</f>
        <v>4351328</v>
      </c>
      <c r="E357" s="635"/>
      <c r="F357" s="635"/>
      <c r="G357" s="635"/>
      <c r="H357" s="639"/>
    </row>
    <row r="358" spans="1:8" s="2" customFormat="1" ht="30" customHeight="1" x14ac:dyDescent="0.2">
      <c r="A358" s="715"/>
      <c r="B358" s="672" t="s">
        <v>1310</v>
      </c>
      <c r="C358" s="652">
        <f>SUM(C359:C361)</f>
        <v>366630</v>
      </c>
      <c r="D358" s="652">
        <f>SUM(D359:D361)</f>
        <v>575328</v>
      </c>
      <c r="E358" s="652"/>
      <c r="F358" s="652"/>
      <c r="G358" s="652"/>
      <c r="H358" s="670"/>
    </row>
    <row r="359" spans="1:8" s="98" customFormat="1" ht="30" customHeight="1" x14ac:dyDescent="0.2">
      <c r="A359" s="769" t="s">
        <v>377</v>
      </c>
      <c r="B359" s="643" t="s">
        <v>1311</v>
      </c>
      <c r="C359" s="644">
        <v>366630</v>
      </c>
      <c r="D359" s="644">
        <f>366630+33698</f>
        <v>400328</v>
      </c>
      <c r="E359" s="644"/>
      <c r="F359" s="644"/>
      <c r="G359" s="644"/>
      <c r="H359" s="670"/>
    </row>
    <row r="360" spans="1:8" s="98" customFormat="1" ht="30" customHeight="1" x14ac:dyDescent="0.2">
      <c r="A360" s="769" t="s">
        <v>377</v>
      </c>
      <c r="B360" s="643" t="s">
        <v>1312</v>
      </c>
      <c r="C360" s="644">
        <v>0</v>
      </c>
      <c r="D360" s="644">
        <f>175000</f>
        <v>175000</v>
      </c>
      <c r="E360" s="644"/>
      <c r="F360" s="644"/>
      <c r="G360" s="644"/>
      <c r="H360" s="670"/>
    </row>
    <row r="361" spans="1:8" s="98" customFormat="1" ht="30" customHeight="1" x14ac:dyDescent="0.2">
      <c r="A361" s="769" t="s">
        <v>377</v>
      </c>
      <c r="B361" s="643" t="s">
        <v>1313</v>
      </c>
      <c r="C361" s="644">
        <v>0</v>
      </c>
      <c r="D361" s="644">
        <v>0</v>
      </c>
      <c r="E361" s="644"/>
      <c r="F361" s="644"/>
      <c r="G361" s="644"/>
      <c r="H361" s="670"/>
    </row>
    <row r="362" spans="1:8" s="98" customFormat="1" ht="30" customHeight="1" x14ac:dyDescent="0.2">
      <c r="A362" s="769" t="s">
        <v>383</v>
      </c>
      <c r="B362" s="643" t="s">
        <v>1314</v>
      </c>
      <c r="C362" s="644">
        <v>3400000</v>
      </c>
      <c r="D362" s="644">
        <v>3400000</v>
      </c>
      <c r="E362" s="644"/>
      <c r="F362" s="644"/>
      <c r="G362" s="644"/>
      <c r="H362" s="670"/>
    </row>
    <row r="363" spans="1:8" s="98" customFormat="1" ht="30" customHeight="1" x14ac:dyDescent="0.2">
      <c r="A363" s="769" t="s">
        <v>383</v>
      </c>
      <c r="B363" s="643" t="s">
        <v>1315</v>
      </c>
      <c r="C363" s="644">
        <v>276000</v>
      </c>
      <c r="D363" s="644">
        <v>276000</v>
      </c>
      <c r="E363" s="644"/>
      <c r="F363" s="644"/>
      <c r="G363" s="644"/>
      <c r="H363" s="670"/>
    </row>
    <row r="364" spans="1:8" s="98" customFormat="1" ht="30" customHeight="1" x14ac:dyDescent="0.2">
      <c r="A364" s="769" t="s">
        <v>387</v>
      </c>
      <c r="B364" s="643" t="s">
        <v>1316</v>
      </c>
      <c r="C364" s="644">
        <v>100000</v>
      </c>
      <c r="D364" s="644">
        <v>100000</v>
      </c>
      <c r="E364" s="644"/>
      <c r="F364" s="644"/>
      <c r="G364" s="644"/>
      <c r="H364" s="670"/>
    </row>
    <row r="365" spans="1:8" s="98" customFormat="1" ht="30" customHeight="1" x14ac:dyDescent="0.2">
      <c r="A365" s="663">
        <v>3633</v>
      </c>
      <c r="B365" s="629" t="s">
        <v>1317</v>
      </c>
      <c r="C365" s="635">
        <f>SUM(C366)</f>
        <v>1780000</v>
      </c>
      <c r="D365" s="635">
        <f>SUM(D366)</f>
        <v>1780000</v>
      </c>
      <c r="E365" s="635"/>
      <c r="F365" s="635"/>
      <c r="G365" s="635"/>
      <c r="H365" s="670"/>
    </row>
    <row r="366" spans="1:8" s="98" customFormat="1" ht="30" customHeight="1" x14ac:dyDescent="0.2">
      <c r="A366" s="769"/>
      <c r="B366" s="650" t="s">
        <v>1318</v>
      </c>
      <c r="C366" s="644">
        <v>1780000</v>
      </c>
      <c r="D366" s="644">
        <v>1780000</v>
      </c>
      <c r="E366" s="644"/>
      <c r="F366" s="644"/>
      <c r="G366" s="644"/>
      <c r="H366" s="670"/>
    </row>
    <row r="367" spans="1:8" s="98" customFormat="1" ht="30" customHeight="1" x14ac:dyDescent="0.2">
      <c r="A367" s="663">
        <v>3639</v>
      </c>
      <c r="B367" s="629" t="s">
        <v>1319</v>
      </c>
      <c r="C367" s="635">
        <f>SUM(C368:C369)</f>
        <v>14414.2</v>
      </c>
      <c r="D367" s="635">
        <f>SUM(D368:D369)</f>
        <v>14414.2</v>
      </c>
      <c r="E367" s="635"/>
      <c r="F367" s="635"/>
      <c r="G367" s="635"/>
      <c r="H367" s="639"/>
    </row>
    <row r="368" spans="1:8" s="98" customFormat="1" ht="30" customHeight="1" x14ac:dyDescent="0.2">
      <c r="A368" s="769" t="s">
        <v>390</v>
      </c>
      <c r="B368" s="773" t="s">
        <v>1320</v>
      </c>
      <c r="C368" s="644">
        <v>9414.2000000000007</v>
      </c>
      <c r="D368" s="644">
        <v>9414.2000000000007</v>
      </c>
      <c r="E368" s="644"/>
      <c r="F368" s="644"/>
      <c r="G368" s="644"/>
      <c r="H368" s="670"/>
    </row>
    <row r="369" spans="1:8" s="98" customFormat="1" ht="30" customHeight="1" x14ac:dyDescent="0.2">
      <c r="A369" s="775" t="s">
        <v>392</v>
      </c>
      <c r="B369" s="643" t="s">
        <v>1321</v>
      </c>
      <c r="C369" s="644">
        <v>5000</v>
      </c>
      <c r="D369" s="644">
        <v>5000</v>
      </c>
      <c r="E369" s="644"/>
      <c r="F369" s="644"/>
      <c r="G369" s="644"/>
      <c r="H369" s="670"/>
    </row>
    <row r="370" spans="1:8" s="98" customFormat="1" ht="30" customHeight="1" x14ac:dyDescent="0.2">
      <c r="A370" s="663">
        <v>3699</v>
      </c>
      <c r="B370" s="629" t="s">
        <v>1322</v>
      </c>
      <c r="C370" s="635">
        <f>SUM(C371:C373)</f>
        <v>275000</v>
      </c>
      <c r="D370" s="635">
        <f>SUM(D371:D373)</f>
        <v>347931</v>
      </c>
      <c r="E370" s="635"/>
      <c r="F370" s="635"/>
      <c r="G370" s="635"/>
      <c r="H370" s="639"/>
    </row>
    <row r="371" spans="1:8" s="98" customFormat="1" ht="30" customHeight="1" x14ac:dyDescent="0.2">
      <c r="A371" s="774" t="s">
        <v>1323</v>
      </c>
      <c r="B371" s="700" t="s">
        <v>1324</v>
      </c>
      <c r="C371" s="694">
        <v>0</v>
      </c>
      <c r="D371" s="694">
        <v>0</v>
      </c>
      <c r="E371" s="694"/>
      <c r="F371" s="694"/>
      <c r="G371" s="694"/>
      <c r="H371" s="784"/>
    </row>
    <row r="372" spans="1:8" s="98" customFormat="1" ht="30" customHeight="1" x14ac:dyDescent="0.2">
      <c r="A372" s="774" t="s">
        <v>395</v>
      </c>
      <c r="B372" s="690" t="s">
        <v>1325</v>
      </c>
      <c r="C372" s="785">
        <v>275000</v>
      </c>
      <c r="D372" s="785">
        <f>275000+29008</f>
        <v>304008</v>
      </c>
      <c r="E372" s="785"/>
      <c r="F372" s="785"/>
      <c r="G372" s="785"/>
      <c r="H372" s="651"/>
    </row>
    <row r="373" spans="1:8" s="98" customFormat="1" ht="30" customHeight="1" x14ac:dyDescent="0.2">
      <c r="A373" s="774" t="s">
        <v>1938</v>
      </c>
      <c r="B373" s="690" t="s">
        <v>1939</v>
      </c>
      <c r="C373" s="785">
        <v>0</v>
      </c>
      <c r="D373" s="785">
        <v>43923</v>
      </c>
      <c r="E373" s="785"/>
      <c r="F373" s="785"/>
      <c r="G373" s="785"/>
      <c r="H373" s="651"/>
    </row>
    <row r="374" spans="1:8" s="85" customFormat="1" ht="30" customHeight="1" x14ac:dyDescent="0.3">
      <c r="A374" s="786"/>
      <c r="B374" s="787" t="s">
        <v>1017</v>
      </c>
      <c r="C374" s="788">
        <f>C375+C389+C460+C481+C488+C495+C499+C472+C541+C569</f>
        <v>196635250</v>
      </c>
      <c r="D374" s="788">
        <f>D375+D389+D460+D481+D488+D495+D499+D472+D541+D569</f>
        <v>195707268</v>
      </c>
      <c r="E374" s="788"/>
      <c r="F374" s="788"/>
      <c r="G374" s="788"/>
      <c r="H374" s="789"/>
    </row>
    <row r="375" spans="1:8" s="98" customFormat="1" ht="30" customHeight="1" x14ac:dyDescent="0.2">
      <c r="A375" s="790"/>
      <c r="B375" s="791" t="s">
        <v>398</v>
      </c>
      <c r="C375" s="792">
        <f>SUM(C376+C380)</f>
        <v>4800000</v>
      </c>
      <c r="D375" s="792">
        <f>SUM(D376+D380)</f>
        <v>4800000</v>
      </c>
      <c r="E375" s="792"/>
      <c r="F375" s="792"/>
      <c r="G375" s="792"/>
      <c r="H375" s="772"/>
    </row>
    <row r="376" spans="1:8" s="98" customFormat="1" ht="30" customHeight="1" x14ac:dyDescent="0.2">
      <c r="A376" s="793">
        <v>2310</v>
      </c>
      <c r="B376" s="794" t="s">
        <v>1216</v>
      </c>
      <c r="C376" s="795">
        <f>SUM(C377:C379)</f>
        <v>1010000</v>
      </c>
      <c r="D376" s="795">
        <f>SUM(D377:D379)</f>
        <v>1010000</v>
      </c>
      <c r="E376" s="795"/>
      <c r="F376" s="795"/>
      <c r="G376" s="795"/>
      <c r="H376" s="768"/>
    </row>
    <row r="377" spans="1:8" s="98" customFormat="1" ht="30" customHeight="1" x14ac:dyDescent="0.2">
      <c r="A377" s="796" t="s">
        <v>403</v>
      </c>
      <c r="B377" s="731" t="s">
        <v>404</v>
      </c>
      <c r="C377" s="695">
        <v>10000</v>
      </c>
      <c r="D377" s="695">
        <v>10000</v>
      </c>
      <c r="E377" s="695"/>
      <c r="F377" s="695"/>
      <c r="G377" s="695"/>
      <c r="H377" s="695"/>
    </row>
    <row r="378" spans="1:8" s="98" customFormat="1" ht="30" customHeight="1" x14ac:dyDescent="0.2">
      <c r="A378" s="796" t="s">
        <v>405</v>
      </c>
      <c r="B378" s="731" t="s">
        <v>1326</v>
      </c>
      <c r="C378" s="695">
        <v>0</v>
      </c>
      <c r="D378" s="695">
        <v>0</v>
      </c>
      <c r="E378" s="695"/>
      <c r="F378" s="695"/>
      <c r="G378" s="695"/>
      <c r="H378" s="695"/>
    </row>
    <row r="379" spans="1:8" s="98" customFormat="1" ht="30" customHeight="1" x14ac:dyDescent="0.2">
      <c r="A379" s="796" t="s">
        <v>1327</v>
      </c>
      <c r="B379" s="731" t="s">
        <v>1328</v>
      </c>
      <c r="C379" s="695">
        <v>1000000</v>
      </c>
      <c r="D379" s="695">
        <v>1000000</v>
      </c>
      <c r="E379" s="695"/>
      <c r="F379" s="695"/>
      <c r="G379" s="695"/>
      <c r="H379" s="695"/>
    </row>
    <row r="380" spans="1:8" s="98" customFormat="1" ht="30" customHeight="1" x14ac:dyDescent="0.2">
      <c r="A380" s="730">
        <v>2321</v>
      </c>
      <c r="B380" s="797" t="s">
        <v>1219</v>
      </c>
      <c r="C380" s="798">
        <f>SUM(C381:C388)</f>
        <v>3790000</v>
      </c>
      <c r="D380" s="798">
        <f>SUM(D381:D388)</f>
        <v>3790000</v>
      </c>
      <c r="E380" s="798"/>
      <c r="F380" s="798"/>
      <c r="G380" s="798"/>
      <c r="H380" s="798"/>
    </row>
    <row r="381" spans="1:8" s="98" customFormat="1" ht="30" customHeight="1" x14ac:dyDescent="0.2">
      <c r="A381" s="796" t="s">
        <v>1329</v>
      </c>
      <c r="B381" s="731" t="s">
        <v>1330</v>
      </c>
      <c r="C381" s="695">
        <v>300000</v>
      </c>
      <c r="D381" s="695">
        <v>300000</v>
      </c>
      <c r="E381" s="695"/>
      <c r="F381" s="695"/>
      <c r="G381" s="695"/>
      <c r="H381" s="695"/>
    </row>
    <row r="382" spans="1:8" s="98" customFormat="1" ht="30" customHeight="1" x14ac:dyDescent="0.2">
      <c r="A382" s="796" t="s">
        <v>1331</v>
      </c>
      <c r="B382" s="731" t="s">
        <v>1332</v>
      </c>
      <c r="C382" s="695">
        <v>1500000</v>
      </c>
      <c r="D382" s="695">
        <v>1500000</v>
      </c>
      <c r="E382" s="695"/>
      <c r="F382" s="695"/>
      <c r="G382" s="695"/>
      <c r="H382" s="695"/>
    </row>
    <row r="383" spans="1:8" s="98" customFormat="1" ht="30" customHeight="1" x14ac:dyDescent="0.2">
      <c r="A383" s="796" t="s">
        <v>1333</v>
      </c>
      <c r="B383" s="731" t="s">
        <v>1334</v>
      </c>
      <c r="C383" s="695">
        <v>1000000</v>
      </c>
      <c r="D383" s="695">
        <v>1000000</v>
      </c>
      <c r="E383" s="695"/>
      <c r="F383" s="695"/>
      <c r="G383" s="695"/>
      <c r="H383" s="695"/>
    </row>
    <row r="384" spans="1:8" s="98" customFormat="1" ht="30" customHeight="1" x14ac:dyDescent="0.2">
      <c r="A384" s="796" t="s">
        <v>1335</v>
      </c>
      <c r="B384" s="731" t="s">
        <v>1336</v>
      </c>
      <c r="C384" s="695">
        <v>500000</v>
      </c>
      <c r="D384" s="695">
        <v>500000</v>
      </c>
      <c r="E384" s="695"/>
      <c r="F384" s="695"/>
      <c r="G384" s="695"/>
      <c r="H384" s="695"/>
    </row>
    <row r="385" spans="1:8" s="98" customFormat="1" ht="30" customHeight="1" x14ac:dyDescent="0.2">
      <c r="A385" s="796" t="s">
        <v>411</v>
      </c>
      <c r="B385" s="731" t="s">
        <v>1337</v>
      </c>
      <c r="C385" s="695">
        <v>230000</v>
      </c>
      <c r="D385" s="695">
        <v>230000</v>
      </c>
      <c r="E385" s="695"/>
      <c r="F385" s="695"/>
      <c r="G385" s="695"/>
      <c r="H385" s="695"/>
    </row>
    <row r="386" spans="1:8" s="98" customFormat="1" ht="30" customHeight="1" x14ac:dyDescent="0.2">
      <c r="A386" s="796" t="s">
        <v>413</v>
      </c>
      <c r="B386" s="731" t="s">
        <v>1338</v>
      </c>
      <c r="C386" s="695">
        <v>250000</v>
      </c>
      <c r="D386" s="695">
        <v>250000</v>
      </c>
      <c r="E386" s="695"/>
      <c r="F386" s="695"/>
      <c r="G386" s="695"/>
      <c r="H386" s="695"/>
    </row>
    <row r="387" spans="1:8" ht="30" customHeight="1" x14ac:dyDescent="0.2">
      <c r="A387" s="799" t="s">
        <v>415</v>
      </c>
      <c r="B387" s="800" t="s">
        <v>416</v>
      </c>
      <c r="C387" s="728">
        <v>10000</v>
      </c>
      <c r="D387" s="728">
        <v>10000</v>
      </c>
      <c r="E387" s="728"/>
      <c r="F387" s="728"/>
      <c r="G387" s="728"/>
      <c r="H387" s="1157"/>
    </row>
    <row r="388" spans="1:8" s="98" customFormat="1" ht="30" customHeight="1" x14ac:dyDescent="0.2">
      <c r="A388" s="796" t="s">
        <v>2020</v>
      </c>
      <c r="B388" s="731" t="s">
        <v>2021</v>
      </c>
      <c r="C388" s="695">
        <v>0</v>
      </c>
      <c r="D388" s="695">
        <f>1500000-1500000</f>
        <v>0</v>
      </c>
      <c r="E388" s="695"/>
      <c r="F388" s="695"/>
      <c r="G388" s="695"/>
      <c r="H388" s="1020"/>
    </row>
    <row r="389" spans="1:8" ht="30" customHeight="1" x14ac:dyDescent="0.25">
      <c r="A389" s="802"/>
      <c r="B389" s="803" t="s">
        <v>422</v>
      </c>
      <c r="C389" s="792">
        <f>SUM(C390+C410+C455)</f>
        <v>57873000</v>
      </c>
      <c r="D389" s="792">
        <f>SUM(D390+D410+D455)</f>
        <v>62858018</v>
      </c>
      <c r="E389" s="792"/>
      <c r="F389" s="792"/>
      <c r="G389" s="792"/>
      <c r="H389" s="804"/>
    </row>
    <row r="390" spans="1:8" ht="30" customHeight="1" x14ac:dyDescent="0.2">
      <c r="A390" s="805">
        <v>2212</v>
      </c>
      <c r="B390" s="806" t="s">
        <v>1339</v>
      </c>
      <c r="C390" s="807">
        <f>SUM(C391:C409)</f>
        <v>10770000</v>
      </c>
      <c r="D390" s="807">
        <f>SUM(D391:D409)</f>
        <v>13220000</v>
      </c>
      <c r="E390" s="807"/>
      <c r="F390" s="807"/>
      <c r="G390" s="807"/>
      <c r="H390" s="808"/>
    </row>
    <row r="391" spans="1:8" ht="30" customHeight="1" x14ac:dyDescent="0.2">
      <c r="A391" s="796" t="s">
        <v>293</v>
      </c>
      <c r="B391" s="731" t="s">
        <v>424</v>
      </c>
      <c r="C391" s="695">
        <v>300000</v>
      </c>
      <c r="D391" s="695">
        <f>300000-13500+(700000+1250000)</f>
        <v>2236500</v>
      </c>
      <c r="E391" s="695"/>
      <c r="F391" s="695"/>
      <c r="G391" s="695"/>
      <c r="H391" s="695"/>
    </row>
    <row r="392" spans="1:8" ht="30" customHeight="1" x14ac:dyDescent="0.2">
      <c r="A392" s="796" t="s">
        <v>291</v>
      </c>
      <c r="B392" s="731" t="s">
        <v>425</v>
      </c>
      <c r="C392" s="695">
        <v>5000000</v>
      </c>
      <c r="D392" s="695">
        <v>5000000</v>
      </c>
      <c r="E392" s="695"/>
      <c r="F392" s="695"/>
      <c r="G392" s="695"/>
      <c r="H392" s="695"/>
    </row>
    <row r="393" spans="1:8" ht="30" customHeight="1" x14ac:dyDescent="0.2">
      <c r="A393" s="796" t="s">
        <v>426</v>
      </c>
      <c r="B393" s="731" t="s">
        <v>1340</v>
      </c>
      <c r="C393" s="695">
        <v>0</v>
      </c>
      <c r="D393" s="695">
        <v>0</v>
      </c>
      <c r="E393" s="695"/>
      <c r="F393" s="695"/>
      <c r="G393" s="695"/>
      <c r="H393" s="695"/>
    </row>
    <row r="394" spans="1:8" ht="30" customHeight="1" x14ac:dyDescent="0.2">
      <c r="A394" s="796" t="s">
        <v>436</v>
      </c>
      <c r="B394" s="731" t="s">
        <v>1341</v>
      </c>
      <c r="C394" s="695">
        <v>0</v>
      </c>
      <c r="D394" s="695">
        <v>0</v>
      </c>
      <c r="E394" s="695"/>
      <c r="F394" s="695"/>
      <c r="G394" s="695"/>
      <c r="H394" s="695"/>
    </row>
    <row r="395" spans="1:8" ht="30" customHeight="1" x14ac:dyDescent="0.2">
      <c r="A395" s="796" t="s">
        <v>438</v>
      </c>
      <c r="B395" s="731" t="s">
        <v>1342</v>
      </c>
      <c r="C395" s="695">
        <v>10000</v>
      </c>
      <c r="D395" s="695">
        <v>10000</v>
      </c>
      <c r="E395" s="695"/>
      <c r="F395" s="695"/>
      <c r="G395" s="695"/>
      <c r="H395" s="695"/>
    </row>
    <row r="396" spans="1:8" ht="30" customHeight="1" x14ac:dyDescent="0.2">
      <c r="A396" s="796" t="s">
        <v>440</v>
      </c>
      <c r="B396" s="809" t="s">
        <v>1343</v>
      </c>
      <c r="C396" s="695">
        <v>10000</v>
      </c>
      <c r="D396" s="695">
        <v>10000</v>
      </c>
      <c r="E396" s="695"/>
      <c r="F396" s="695"/>
      <c r="G396" s="695"/>
      <c r="H396" s="695"/>
    </row>
    <row r="397" spans="1:8" ht="30" customHeight="1" x14ac:dyDescent="0.2">
      <c r="A397" s="796" t="s">
        <v>442</v>
      </c>
      <c r="B397" s="731" t="s">
        <v>1344</v>
      </c>
      <c r="C397" s="695">
        <v>0</v>
      </c>
      <c r="D397" s="695">
        <v>13500</v>
      </c>
      <c r="E397" s="695"/>
      <c r="F397" s="695"/>
      <c r="G397" s="695"/>
      <c r="H397" s="695"/>
    </row>
    <row r="398" spans="1:8" ht="30" customHeight="1" x14ac:dyDescent="0.2">
      <c r="A398" s="796" t="s">
        <v>1345</v>
      </c>
      <c r="B398" s="731" t="s">
        <v>1346</v>
      </c>
      <c r="C398" s="695">
        <v>2200000</v>
      </c>
      <c r="D398" s="695">
        <f>2200000-200000</f>
        <v>2000000</v>
      </c>
      <c r="E398" s="695"/>
      <c r="F398" s="695"/>
      <c r="G398" s="695"/>
      <c r="H398" s="695"/>
    </row>
    <row r="399" spans="1:8" ht="30" customHeight="1" x14ac:dyDescent="0.2">
      <c r="A399" s="796" t="s">
        <v>1239</v>
      </c>
      <c r="B399" s="731" t="s">
        <v>1347</v>
      </c>
      <c r="C399" s="695">
        <v>0</v>
      </c>
      <c r="D399" s="695">
        <v>0</v>
      </c>
      <c r="E399" s="695"/>
      <c r="F399" s="695"/>
      <c r="G399" s="695"/>
      <c r="H399" s="695"/>
    </row>
    <row r="400" spans="1:8" ht="30" customHeight="1" x14ac:dyDescent="0.2">
      <c r="A400" s="796" t="s">
        <v>447</v>
      </c>
      <c r="B400" s="731" t="s">
        <v>448</v>
      </c>
      <c r="C400" s="695">
        <v>550000</v>
      </c>
      <c r="D400" s="695">
        <v>550000</v>
      </c>
      <c r="E400" s="695"/>
      <c r="F400" s="695"/>
      <c r="G400" s="695"/>
      <c r="H400" s="695"/>
    </row>
    <row r="401" spans="1:8" ht="30" customHeight="1" x14ac:dyDescent="0.2">
      <c r="A401" s="796" t="s">
        <v>1348</v>
      </c>
      <c r="B401" s="731" t="s">
        <v>457</v>
      </c>
      <c r="C401" s="695">
        <v>0</v>
      </c>
      <c r="D401" s="695">
        <v>0</v>
      </c>
      <c r="E401" s="695"/>
      <c r="F401" s="695"/>
      <c r="G401" s="695"/>
      <c r="H401" s="695"/>
    </row>
    <row r="402" spans="1:8" ht="30" customHeight="1" x14ac:dyDescent="0.2">
      <c r="A402" s="796" t="s">
        <v>1349</v>
      </c>
      <c r="B402" s="731" t="s">
        <v>1350</v>
      </c>
      <c r="C402" s="695">
        <v>150000</v>
      </c>
      <c r="D402" s="695">
        <f>150000+200000</f>
        <v>350000</v>
      </c>
      <c r="E402" s="695"/>
      <c r="F402" s="695"/>
      <c r="G402" s="695"/>
      <c r="H402" s="695"/>
    </row>
    <row r="403" spans="1:8" ht="30" customHeight="1" x14ac:dyDescent="0.2">
      <c r="A403" s="796" t="s">
        <v>449</v>
      </c>
      <c r="B403" s="731" t="s">
        <v>1351</v>
      </c>
      <c r="C403" s="695">
        <v>0</v>
      </c>
      <c r="D403" s="695">
        <v>0</v>
      </c>
      <c r="E403" s="695"/>
      <c r="F403" s="695"/>
      <c r="G403" s="695"/>
      <c r="H403" s="695"/>
    </row>
    <row r="404" spans="1:8" ht="30" customHeight="1" x14ac:dyDescent="0.2">
      <c r="A404" s="796" t="s">
        <v>451</v>
      </c>
      <c r="B404" s="731" t="s">
        <v>1352</v>
      </c>
      <c r="C404" s="695">
        <v>500000</v>
      </c>
      <c r="D404" s="695">
        <v>500000</v>
      </c>
      <c r="E404" s="695"/>
      <c r="F404" s="695"/>
      <c r="G404" s="695"/>
      <c r="H404" s="695"/>
    </row>
    <row r="405" spans="1:8" ht="30" customHeight="1" x14ac:dyDescent="0.2">
      <c r="A405" s="796" t="s">
        <v>453</v>
      </c>
      <c r="B405" s="731" t="s">
        <v>1353</v>
      </c>
      <c r="C405" s="695">
        <v>350000</v>
      </c>
      <c r="D405" s="695">
        <v>350000</v>
      </c>
      <c r="E405" s="695"/>
      <c r="F405" s="695"/>
      <c r="G405" s="695"/>
      <c r="H405" s="695"/>
    </row>
    <row r="406" spans="1:8" ht="30" customHeight="1" x14ac:dyDescent="0.2">
      <c r="A406" s="796" t="s">
        <v>1354</v>
      </c>
      <c r="B406" s="731" t="s">
        <v>1355</v>
      </c>
      <c r="C406" s="695">
        <v>500000</v>
      </c>
      <c r="D406" s="695">
        <v>500000</v>
      </c>
      <c r="E406" s="695"/>
      <c r="F406" s="695"/>
      <c r="G406" s="695"/>
      <c r="H406" s="695"/>
    </row>
    <row r="407" spans="1:8" ht="30" customHeight="1" x14ac:dyDescent="0.2">
      <c r="A407" s="796" t="s">
        <v>1356</v>
      </c>
      <c r="B407" s="731" t="s">
        <v>1357</v>
      </c>
      <c r="C407" s="695">
        <v>600000</v>
      </c>
      <c r="D407" s="695">
        <v>600000</v>
      </c>
      <c r="E407" s="695"/>
      <c r="F407" s="695"/>
      <c r="G407" s="695"/>
      <c r="H407" s="695"/>
    </row>
    <row r="408" spans="1:8" ht="30" customHeight="1" x14ac:dyDescent="0.2">
      <c r="A408" s="796" t="s">
        <v>1358</v>
      </c>
      <c r="B408" s="731" t="s">
        <v>1940</v>
      </c>
      <c r="C408" s="695">
        <v>600000</v>
      </c>
      <c r="D408" s="695">
        <v>600000</v>
      </c>
      <c r="E408" s="695"/>
      <c r="F408" s="695"/>
      <c r="G408" s="695"/>
      <c r="H408" s="798"/>
    </row>
    <row r="409" spans="1:8" ht="30" customHeight="1" x14ac:dyDescent="0.2">
      <c r="A409" s="796" t="s">
        <v>1941</v>
      </c>
      <c r="B409" s="731" t="s">
        <v>1942</v>
      </c>
      <c r="C409" s="695">
        <v>0</v>
      </c>
      <c r="D409" s="695">
        <v>500000</v>
      </c>
      <c r="E409" s="695"/>
      <c r="F409" s="695"/>
      <c r="G409" s="695"/>
      <c r="H409" s="798"/>
    </row>
    <row r="410" spans="1:8" ht="30" customHeight="1" x14ac:dyDescent="0.2">
      <c r="A410" s="730">
        <v>2219</v>
      </c>
      <c r="B410" s="797" t="s">
        <v>1241</v>
      </c>
      <c r="C410" s="798">
        <f>SUM(C411:C454)</f>
        <v>45348000</v>
      </c>
      <c r="D410" s="798">
        <f>SUM(D411:D454)</f>
        <v>47883018</v>
      </c>
      <c r="E410" s="798"/>
      <c r="F410" s="798"/>
      <c r="G410" s="798"/>
      <c r="H410" s="695"/>
    </row>
    <row r="411" spans="1:8" ht="30" customHeight="1" x14ac:dyDescent="0.2">
      <c r="A411" s="796" t="s">
        <v>299</v>
      </c>
      <c r="B411" s="731" t="s">
        <v>460</v>
      </c>
      <c r="C411" s="695">
        <v>200000</v>
      </c>
      <c r="D411" s="695">
        <f>200000+50000</f>
        <v>250000</v>
      </c>
      <c r="E411" s="695"/>
      <c r="F411" s="695"/>
      <c r="G411" s="695"/>
      <c r="H411" s="695"/>
    </row>
    <row r="412" spans="1:8" ht="30" customHeight="1" x14ac:dyDescent="0.2">
      <c r="A412" s="796" t="s">
        <v>301</v>
      </c>
      <c r="B412" s="731" t="s">
        <v>461</v>
      </c>
      <c r="C412" s="695">
        <v>3600000</v>
      </c>
      <c r="D412" s="695">
        <f>3600000-50000-50000</f>
        <v>3500000</v>
      </c>
      <c r="E412" s="695"/>
      <c r="F412" s="695"/>
      <c r="G412" s="695"/>
      <c r="H412" s="695"/>
    </row>
    <row r="413" spans="1:8" ht="30" customHeight="1" x14ac:dyDescent="0.2">
      <c r="A413" s="796" t="s">
        <v>464</v>
      </c>
      <c r="B413" s="731" t="s">
        <v>1360</v>
      </c>
      <c r="C413" s="695">
        <v>5350000</v>
      </c>
      <c r="D413" s="695">
        <v>5350000</v>
      </c>
      <c r="E413" s="695"/>
      <c r="F413" s="695"/>
      <c r="G413" s="695"/>
      <c r="H413" s="695"/>
    </row>
    <row r="414" spans="1:8" ht="30" customHeight="1" x14ac:dyDescent="0.2">
      <c r="A414" s="796" t="s">
        <v>468</v>
      </c>
      <c r="B414" s="731" t="s">
        <v>1361</v>
      </c>
      <c r="C414" s="695">
        <v>1500000</v>
      </c>
      <c r="D414" s="695">
        <f>1500000+50000</f>
        <v>1550000</v>
      </c>
      <c r="E414" s="695"/>
      <c r="F414" s="695"/>
      <c r="G414" s="695"/>
      <c r="H414" s="695"/>
    </row>
    <row r="415" spans="1:8" ht="30" customHeight="1" x14ac:dyDescent="0.2">
      <c r="A415" s="796" t="s">
        <v>472</v>
      </c>
      <c r="B415" s="809" t="s">
        <v>1362</v>
      </c>
      <c r="C415" s="695">
        <v>0</v>
      </c>
      <c r="D415" s="695">
        <v>0</v>
      </c>
      <c r="E415" s="695"/>
      <c r="F415" s="695"/>
      <c r="G415" s="695"/>
      <c r="H415" s="695"/>
    </row>
    <row r="416" spans="1:8" ht="30" customHeight="1" x14ac:dyDescent="0.2">
      <c r="A416" s="796" t="s">
        <v>474</v>
      </c>
      <c r="B416" s="809" t="s">
        <v>1363</v>
      </c>
      <c r="C416" s="695">
        <v>0</v>
      </c>
      <c r="D416" s="695">
        <v>0</v>
      </c>
      <c r="E416" s="695"/>
      <c r="F416" s="695"/>
      <c r="G416" s="695"/>
      <c r="H416" s="695"/>
    </row>
    <row r="417" spans="1:8" ht="30" customHeight="1" x14ac:dyDescent="0.2">
      <c r="A417" s="796" t="s">
        <v>478</v>
      </c>
      <c r="B417" s="809" t="s">
        <v>1364</v>
      </c>
      <c r="C417" s="695">
        <v>0</v>
      </c>
      <c r="D417" s="695">
        <v>0</v>
      </c>
      <c r="E417" s="695"/>
      <c r="F417" s="695"/>
      <c r="G417" s="695"/>
      <c r="H417" s="695"/>
    </row>
    <row r="418" spans="1:8" ht="30" customHeight="1" x14ac:dyDescent="0.2">
      <c r="A418" s="796" t="s">
        <v>470</v>
      </c>
      <c r="B418" s="809" t="s">
        <v>1365</v>
      </c>
      <c r="C418" s="695">
        <v>100000</v>
      </c>
      <c r="D418" s="695">
        <v>100000</v>
      </c>
      <c r="E418" s="695"/>
      <c r="F418" s="695"/>
      <c r="G418" s="695"/>
      <c r="H418" s="695"/>
    </row>
    <row r="419" spans="1:8" ht="30" customHeight="1" x14ac:dyDescent="0.2">
      <c r="A419" s="796" t="s">
        <v>486</v>
      </c>
      <c r="B419" s="731" t="s">
        <v>1366</v>
      </c>
      <c r="C419" s="695">
        <v>500000</v>
      </c>
      <c r="D419" s="695">
        <f>500000+2500000</f>
        <v>3000000</v>
      </c>
      <c r="E419" s="695"/>
      <c r="F419" s="695"/>
      <c r="G419" s="695"/>
      <c r="H419" s="695"/>
    </row>
    <row r="420" spans="1:8" ht="30" customHeight="1" x14ac:dyDescent="0.2">
      <c r="A420" s="796" t="s">
        <v>488</v>
      </c>
      <c r="B420" s="809" t="s">
        <v>1367</v>
      </c>
      <c r="C420" s="695">
        <v>0</v>
      </c>
      <c r="D420" s="695">
        <v>0</v>
      </c>
      <c r="E420" s="695"/>
      <c r="F420" s="695"/>
      <c r="G420" s="695"/>
      <c r="H420" s="695"/>
    </row>
    <row r="421" spans="1:8" ht="30" customHeight="1" x14ac:dyDescent="0.2">
      <c r="A421" s="796" t="s">
        <v>492</v>
      </c>
      <c r="B421" s="809" t="s">
        <v>1368</v>
      </c>
      <c r="C421" s="695">
        <v>37000</v>
      </c>
      <c r="D421" s="695">
        <v>37000</v>
      </c>
      <c r="E421" s="695"/>
      <c r="F421" s="695"/>
      <c r="G421" s="695"/>
      <c r="H421" s="695"/>
    </row>
    <row r="422" spans="1:8" ht="30" customHeight="1" x14ac:dyDescent="0.2">
      <c r="A422" s="796" t="s">
        <v>1369</v>
      </c>
      <c r="B422" s="809" t="s">
        <v>1370</v>
      </c>
      <c r="C422" s="695">
        <v>37000</v>
      </c>
      <c r="D422" s="695">
        <v>37000</v>
      </c>
      <c r="E422" s="695"/>
      <c r="F422" s="695"/>
      <c r="G422" s="695"/>
      <c r="H422" s="695"/>
    </row>
    <row r="423" spans="1:8" ht="30" customHeight="1" x14ac:dyDescent="0.2">
      <c r="A423" s="796" t="s">
        <v>496</v>
      </c>
      <c r="B423" s="809" t="s">
        <v>1371</v>
      </c>
      <c r="C423" s="695">
        <v>0</v>
      </c>
      <c r="D423" s="695">
        <v>0</v>
      </c>
      <c r="E423" s="695"/>
      <c r="F423" s="695"/>
      <c r="G423" s="695"/>
      <c r="H423" s="695"/>
    </row>
    <row r="424" spans="1:8" ht="30" customHeight="1" x14ac:dyDescent="0.2">
      <c r="A424" s="796" t="s">
        <v>1372</v>
      </c>
      <c r="B424" s="809" t="s">
        <v>1373</v>
      </c>
      <c r="C424" s="695">
        <v>0</v>
      </c>
      <c r="D424" s="695">
        <v>0</v>
      </c>
      <c r="E424" s="695"/>
      <c r="F424" s="695"/>
      <c r="G424" s="695"/>
      <c r="H424" s="695"/>
    </row>
    <row r="425" spans="1:8" ht="30" customHeight="1" x14ac:dyDescent="0.2">
      <c r="A425" s="796" t="s">
        <v>1374</v>
      </c>
      <c r="B425" s="809" t="s">
        <v>1375</v>
      </c>
      <c r="C425" s="695">
        <v>200000</v>
      </c>
      <c r="D425" s="695">
        <v>200000</v>
      </c>
      <c r="E425" s="695"/>
      <c r="F425" s="695"/>
      <c r="G425" s="695"/>
      <c r="H425" s="695"/>
    </row>
    <row r="426" spans="1:8" ht="30" customHeight="1" x14ac:dyDescent="0.2">
      <c r="A426" s="796" t="s">
        <v>1376</v>
      </c>
      <c r="B426" s="809" t="s">
        <v>1377</v>
      </c>
      <c r="C426" s="695">
        <v>3330000</v>
      </c>
      <c r="D426" s="695">
        <v>3330000</v>
      </c>
      <c r="E426" s="695"/>
      <c r="F426" s="695"/>
      <c r="G426" s="695"/>
      <c r="H426" s="695"/>
    </row>
    <row r="427" spans="1:8" ht="30" customHeight="1" x14ac:dyDescent="0.2">
      <c r="A427" s="796" t="s">
        <v>1378</v>
      </c>
      <c r="B427" s="809" t="s">
        <v>1379</v>
      </c>
      <c r="C427" s="695">
        <v>1630000</v>
      </c>
      <c r="D427" s="695">
        <v>1630000</v>
      </c>
      <c r="E427" s="695"/>
      <c r="F427" s="695"/>
      <c r="G427" s="695"/>
      <c r="H427" s="695"/>
    </row>
    <row r="428" spans="1:8" ht="30" customHeight="1" x14ac:dyDescent="0.2">
      <c r="A428" s="796" t="s">
        <v>1249</v>
      </c>
      <c r="B428" s="809" t="s">
        <v>1380</v>
      </c>
      <c r="C428" s="695">
        <v>0</v>
      </c>
      <c r="D428" s="695">
        <v>0</v>
      </c>
      <c r="E428" s="695"/>
      <c r="F428" s="695"/>
      <c r="G428" s="695"/>
      <c r="H428" s="695"/>
    </row>
    <row r="429" spans="1:8" ht="30" customHeight="1" x14ac:dyDescent="0.2">
      <c r="A429" s="796" t="s">
        <v>1381</v>
      </c>
      <c r="B429" s="809" t="s">
        <v>1382</v>
      </c>
      <c r="C429" s="695">
        <v>2400000</v>
      </c>
      <c r="D429" s="695">
        <v>2400000</v>
      </c>
      <c r="E429" s="695"/>
      <c r="F429" s="695"/>
      <c r="G429" s="695"/>
      <c r="H429" s="695"/>
    </row>
    <row r="430" spans="1:8" ht="30" customHeight="1" x14ac:dyDescent="0.2">
      <c r="A430" s="796" t="s">
        <v>1383</v>
      </c>
      <c r="B430" s="809" t="s">
        <v>1384</v>
      </c>
      <c r="C430" s="695">
        <v>3150000</v>
      </c>
      <c r="D430" s="695">
        <v>3150000</v>
      </c>
      <c r="E430" s="695"/>
      <c r="F430" s="695"/>
      <c r="G430" s="695"/>
      <c r="H430" s="695"/>
    </row>
    <row r="431" spans="1:8" ht="30" customHeight="1" x14ac:dyDescent="0.2">
      <c r="A431" s="796" t="s">
        <v>1385</v>
      </c>
      <c r="B431" s="809" t="s">
        <v>1386</v>
      </c>
      <c r="C431" s="695">
        <v>37000</v>
      </c>
      <c r="D431" s="695">
        <v>37000</v>
      </c>
      <c r="E431" s="695"/>
      <c r="F431" s="695"/>
      <c r="G431" s="695"/>
      <c r="H431" s="695"/>
    </row>
    <row r="432" spans="1:8" ht="30" customHeight="1" x14ac:dyDescent="0.2">
      <c r="A432" s="796" t="s">
        <v>1387</v>
      </c>
      <c r="B432" s="809" t="s">
        <v>1388</v>
      </c>
      <c r="C432" s="695">
        <v>37000</v>
      </c>
      <c r="D432" s="695">
        <v>37000</v>
      </c>
      <c r="E432" s="695"/>
      <c r="F432" s="695"/>
      <c r="G432" s="695"/>
      <c r="H432" s="695"/>
    </row>
    <row r="433" spans="1:8" ht="30" customHeight="1" x14ac:dyDescent="0.2">
      <c r="A433" s="796" t="s">
        <v>1389</v>
      </c>
      <c r="B433" s="809" t="s">
        <v>1390</v>
      </c>
      <c r="C433" s="695">
        <v>40000</v>
      </c>
      <c r="D433" s="695">
        <v>40000</v>
      </c>
      <c r="E433" s="695"/>
      <c r="F433" s="695"/>
      <c r="G433" s="695"/>
      <c r="H433" s="695"/>
    </row>
    <row r="434" spans="1:8" ht="30" customHeight="1" x14ac:dyDescent="0.2">
      <c r="A434" s="796" t="s">
        <v>1391</v>
      </c>
      <c r="B434" s="809" t="s">
        <v>1392</v>
      </c>
      <c r="C434" s="695">
        <v>190000</v>
      </c>
      <c r="D434" s="695">
        <v>190000</v>
      </c>
      <c r="E434" s="695"/>
      <c r="F434" s="695"/>
      <c r="G434" s="695"/>
      <c r="H434" s="695"/>
    </row>
    <row r="435" spans="1:8" ht="30" customHeight="1" x14ac:dyDescent="0.2">
      <c r="A435" s="796" t="s">
        <v>1251</v>
      </c>
      <c r="B435" s="809" t="s">
        <v>1393</v>
      </c>
      <c r="C435" s="695">
        <v>0</v>
      </c>
      <c r="D435" s="695">
        <v>0</v>
      </c>
      <c r="E435" s="695"/>
      <c r="F435" s="695"/>
      <c r="G435" s="695"/>
      <c r="H435" s="695"/>
    </row>
    <row r="436" spans="1:8" ht="30" customHeight="1" x14ac:dyDescent="0.2">
      <c r="A436" s="796" t="s">
        <v>1394</v>
      </c>
      <c r="B436" s="809" t="s">
        <v>1395</v>
      </c>
      <c r="C436" s="695">
        <v>550000</v>
      </c>
      <c r="D436" s="695">
        <v>550000</v>
      </c>
      <c r="E436" s="695"/>
      <c r="F436" s="695"/>
      <c r="G436" s="695"/>
      <c r="H436" s="695"/>
    </row>
    <row r="437" spans="1:8" ht="30" customHeight="1" x14ac:dyDescent="0.2">
      <c r="A437" s="796" t="s">
        <v>1396</v>
      </c>
      <c r="B437" s="809" t="s">
        <v>1397</v>
      </c>
      <c r="C437" s="695">
        <v>800000</v>
      </c>
      <c r="D437" s="695">
        <v>800000</v>
      </c>
      <c r="E437" s="695"/>
      <c r="F437" s="695"/>
      <c r="G437" s="695"/>
      <c r="H437" s="695"/>
    </row>
    <row r="438" spans="1:8" ht="30" customHeight="1" x14ac:dyDescent="0.2">
      <c r="A438" s="796" t="s">
        <v>1398</v>
      </c>
      <c r="B438" s="809" t="s">
        <v>1399</v>
      </c>
      <c r="C438" s="695">
        <v>600000</v>
      </c>
      <c r="D438" s="695">
        <v>600000</v>
      </c>
      <c r="E438" s="695"/>
      <c r="F438" s="695"/>
      <c r="G438" s="695"/>
      <c r="H438" s="695"/>
    </row>
    <row r="439" spans="1:8" ht="30" customHeight="1" x14ac:dyDescent="0.2">
      <c r="A439" s="796" t="s">
        <v>1400</v>
      </c>
      <c r="B439" s="809" t="s">
        <v>1401</v>
      </c>
      <c r="C439" s="695">
        <v>350000</v>
      </c>
      <c r="D439" s="695">
        <v>350000</v>
      </c>
      <c r="E439" s="695"/>
      <c r="F439" s="695"/>
      <c r="G439" s="695"/>
      <c r="H439" s="695"/>
    </row>
    <row r="440" spans="1:8" ht="30" customHeight="1" x14ac:dyDescent="0.2">
      <c r="A440" s="796" t="s">
        <v>1402</v>
      </c>
      <c r="B440" s="809" t="s">
        <v>1947</v>
      </c>
      <c r="C440" s="695">
        <f>3400000+2200000</f>
        <v>5600000</v>
      </c>
      <c r="D440" s="695">
        <f>3400000+2200000+22018</f>
        <v>5622018</v>
      </c>
      <c r="E440" s="695"/>
      <c r="F440" s="695"/>
      <c r="G440" s="695"/>
      <c r="H440" s="695"/>
    </row>
    <row r="441" spans="1:8" ht="30" customHeight="1" x14ac:dyDescent="0.2">
      <c r="A441" s="796" t="s">
        <v>1406</v>
      </c>
      <c r="B441" s="809" t="s">
        <v>1407</v>
      </c>
      <c r="C441" s="695">
        <v>1700000</v>
      </c>
      <c r="D441" s="695">
        <v>1700000</v>
      </c>
      <c r="E441" s="695"/>
      <c r="F441" s="695"/>
      <c r="G441" s="695"/>
      <c r="H441" s="695"/>
    </row>
    <row r="442" spans="1:8" ht="30" customHeight="1" x14ac:dyDescent="0.2">
      <c r="A442" s="796" t="s">
        <v>1408</v>
      </c>
      <c r="B442" s="809" t="s">
        <v>1409</v>
      </c>
      <c r="C442" s="695">
        <v>1300000</v>
      </c>
      <c r="D442" s="695">
        <v>1300000</v>
      </c>
      <c r="E442" s="695"/>
      <c r="F442" s="695"/>
      <c r="G442" s="695"/>
      <c r="H442" s="695"/>
    </row>
    <row r="443" spans="1:8" ht="30" customHeight="1" x14ac:dyDescent="0.2">
      <c r="A443" s="796" t="s">
        <v>1410</v>
      </c>
      <c r="B443" s="809" t="s">
        <v>1411</v>
      </c>
      <c r="C443" s="695">
        <v>630000</v>
      </c>
      <c r="D443" s="695">
        <v>630000</v>
      </c>
      <c r="E443" s="695"/>
      <c r="F443" s="695"/>
      <c r="G443" s="695"/>
      <c r="H443" s="695"/>
    </row>
    <row r="444" spans="1:8" ht="30" customHeight="1" x14ac:dyDescent="0.2">
      <c r="A444" s="796" t="s">
        <v>1412</v>
      </c>
      <c r="B444" s="809" t="s">
        <v>1413</v>
      </c>
      <c r="C444" s="695">
        <v>800000</v>
      </c>
      <c r="D444" s="695">
        <v>800000</v>
      </c>
      <c r="E444" s="695"/>
      <c r="F444" s="695"/>
      <c r="G444" s="695"/>
      <c r="H444" s="695"/>
    </row>
    <row r="445" spans="1:8" ht="30" customHeight="1" x14ac:dyDescent="0.2">
      <c r="A445" s="796" t="s">
        <v>1414</v>
      </c>
      <c r="B445" s="809" t="s">
        <v>1415</v>
      </c>
      <c r="C445" s="695">
        <v>350000</v>
      </c>
      <c r="D445" s="695">
        <v>350000</v>
      </c>
      <c r="E445" s="695"/>
      <c r="F445" s="695"/>
      <c r="G445" s="695"/>
      <c r="H445" s="695"/>
    </row>
    <row r="446" spans="1:8" ht="30" customHeight="1" x14ac:dyDescent="0.2">
      <c r="A446" s="796" t="s">
        <v>1416</v>
      </c>
      <c r="B446" s="809" t="s">
        <v>1417</v>
      </c>
      <c r="C446" s="695">
        <v>0</v>
      </c>
      <c r="D446" s="695">
        <f>13000</f>
        <v>13000</v>
      </c>
      <c r="E446" s="695"/>
      <c r="F446" s="695"/>
      <c r="G446" s="695"/>
      <c r="H446" s="695"/>
    </row>
    <row r="447" spans="1:8" ht="30" customHeight="1" x14ac:dyDescent="0.2">
      <c r="A447" s="796" t="s">
        <v>1418</v>
      </c>
      <c r="B447" s="809" t="s">
        <v>1419</v>
      </c>
      <c r="C447" s="695">
        <v>302100</v>
      </c>
      <c r="D447" s="695">
        <v>302100</v>
      </c>
      <c r="E447" s="695"/>
      <c r="F447" s="695"/>
      <c r="G447" s="695"/>
      <c r="H447" s="695"/>
    </row>
    <row r="448" spans="1:8" ht="30" customHeight="1" x14ac:dyDescent="0.2">
      <c r="A448" s="796" t="s">
        <v>1420</v>
      </c>
      <c r="B448" s="809" t="s">
        <v>1421</v>
      </c>
      <c r="C448" s="695">
        <v>287900</v>
      </c>
      <c r="D448" s="695">
        <v>287900</v>
      </c>
      <c r="E448" s="695"/>
      <c r="F448" s="695"/>
      <c r="G448" s="695"/>
      <c r="H448" s="695"/>
    </row>
    <row r="449" spans="1:8" ht="30" customHeight="1" x14ac:dyDescent="0.2">
      <c r="A449" s="796" t="s">
        <v>1422</v>
      </c>
      <c r="B449" s="809" t="s">
        <v>1423</v>
      </c>
      <c r="C449" s="695">
        <v>9650000</v>
      </c>
      <c r="D449" s="695">
        <v>9650000</v>
      </c>
      <c r="E449" s="695"/>
      <c r="F449" s="695"/>
      <c r="G449" s="695"/>
      <c r="H449" s="695"/>
    </row>
    <row r="450" spans="1:8" ht="30" customHeight="1" x14ac:dyDescent="0.2">
      <c r="A450" s="796" t="s">
        <v>1424</v>
      </c>
      <c r="B450" s="809" t="s">
        <v>1425</v>
      </c>
      <c r="C450" s="695">
        <v>0</v>
      </c>
      <c r="D450" s="695">
        <v>0</v>
      </c>
      <c r="E450" s="695"/>
      <c r="F450" s="695"/>
      <c r="G450" s="695"/>
      <c r="H450" s="695"/>
    </row>
    <row r="451" spans="1:8" ht="30" customHeight="1" x14ac:dyDescent="0.2">
      <c r="A451" s="796" t="s">
        <v>1426</v>
      </c>
      <c r="B451" s="809" t="s">
        <v>1427</v>
      </c>
      <c r="C451" s="695">
        <v>30000</v>
      </c>
      <c r="D451" s="695">
        <v>30000</v>
      </c>
      <c r="E451" s="695"/>
      <c r="F451" s="695"/>
      <c r="G451" s="695"/>
      <c r="H451" s="695"/>
    </row>
    <row r="452" spans="1:8" ht="30" customHeight="1" x14ac:dyDescent="0.2">
      <c r="A452" s="796" t="s">
        <v>1428</v>
      </c>
      <c r="B452" s="809" t="s">
        <v>1429</v>
      </c>
      <c r="C452" s="695">
        <v>50000</v>
      </c>
      <c r="D452" s="695">
        <v>50000</v>
      </c>
      <c r="E452" s="695"/>
      <c r="F452" s="695"/>
      <c r="G452" s="695"/>
      <c r="H452" s="695"/>
    </row>
    <row r="453" spans="1:8" ht="30" customHeight="1" x14ac:dyDescent="0.2">
      <c r="A453" s="796" t="s">
        <v>498</v>
      </c>
      <c r="B453" s="731" t="s">
        <v>1430</v>
      </c>
      <c r="C453" s="695">
        <v>0</v>
      </c>
      <c r="D453" s="695">
        <v>0</v>
      </c>
      <c r="E453" s="695"/>
      <c r="F453" s="695"/>
      <c r="G453" s="695"/>
      <c r="H453" s="695"/>
    </row>
    <row r="454" spans="1:8" ht="30" customHeight="1" x14ac:dyDescent="0.2">
      <c r="A454" s="796" t="s">
        <v>500</v>
      </c>
      <c r="B454" s="809" t="s">
        <v>501</v>
      </c>
      <c r="C454" s="695">
        <v>10000</v>
      </c>
      <c r="D454" s="695">
        <v>10000</v>
      </c>
      <c r="E454" s="695"/>
      <c r="F454" s="695"/>
      <c r="G454" s="695"/>
      <c r="H454" s="798"/>
    </row>
    <row r="455" spans="1:8" ht="30" customHeight="1" x14ac:dyDescent="0.2">
      <c r="A455" s="730">
        <v>2221</v>
      </c>
      <c r="B455" s="797" t="s">
        <v>1258</v>
      </c>
      <c r="C455" s="798">
        <f t="shared" ref="C455:D455" si="11">SUM(C456:C459)</f>
        <v>1755000</v>
      </c>
      <c r="D455" s="798">
        <f t="shared" si="11"/>
        <v>1755000</v>
      </c>
      <c r="E455" s="798"/>
      <c r="F455" s="798"/>
      <c r="G455" s="798"/>
      <c r="H455" s="695"/>
    </row>
    <row r="456" spans="1:8" ht="30" customHeight="1" x14ac:dyDescent="0.2">
      <c r="A456" s="796" t="s">
        <v>515</v>
      </c>
      <c r="B456" s="809" t="s">
        <v>1431</v>
      </c>
      <c r="C456" s="695">
        <v>0</v>
      </c>
      <c r="D456" s="695">
        <v>0</v>
      </c>
      <c r="E456" s="695"/>
      <c r="F456" s="695"/>
      <c r="G456" s="695"/>
      <c r="H456" s="695"/>
    </row>
    <row r="457" spans="1:8" ht="30" customHeight="1" x14ac:dyDescent="0.2">
      <c r="A457" s="796" t="s">
        <v>517</v>
      </c>
      <c r="B457" s="809" t="s">
        <v>518</v>
      </c>
      <c r="C457" s="695">
        <v>1400000</v>
      </c>
      <c r="D457" s="695">
        <v>1400000</v>
      </c>
      <c r="E457" s="695"/>
      <c r="F457" s="695"/>
      <c r="G457" s="695"/>
      <c r="H457" s="695"/>
    </row>
    <row r="458" spans="1:8" ht="30" customHeight="1" x14ac:dyDescent="0.2">
      <c r="A458" s="796" t="s">
        <v>1432</v>
      </c>
      <c r="B458" s="809" t="s">
        <v>1433</v>
      </c>
      <c r="C458" s="695">
        <v>355000</v>
      </c>
      <c r="D458" s="695">
        <v>355000</v>
      </c>
      <c r="E458" s="695"/>
      <c r="F458" s="695"/>
      <c r="G458" s="695"/>
      <c r="H458" s="695"/>
    </row>
    <row r="459" spans="1:8" ht="30" customHeight="1" x14ac:dyDescent="0.25">
      <c r="A459" s="810" t="s">
        <v>1434</v>
      </c>
      <c r="B459" s="811" t="s">
        <v>1435</v>
      </c>
      <c r="C459" s="728">
        <v>0</v>
      </c>
      <c r="D459" s="728">
        <v>0</v>
      </c>
      <c r="E459" s="728"/>
      <c r="F459" s="728"/>
      <c r="G459" s="728"/>
      <c r="H459" s="812"/>
    </row>
    <row r="460" spans="1:8" ht="30" customHeight="1" x14ac:dyDescent="0.25">
      <c r="A460" s="621"/>
      <c r="B460" s="813" t="s">
        <v>1436</v>
      </c>
      <c r="C460" s="777">
        <f>SUM(C461)</f>
        <v>30785000</v>
      </c>
      <c r="D460" s="777">
        <f>SUM(D461)</f>
        <v>15085000</v>
      </c>
      <c r="E460" s="777"/>
      <c r="F460" s="777"/>
      <c r="G460" s="777"/>
      <c r="H460" s="655"/>
    </row>
    <row r="461" spans="1:8" ht="30" customHeight="1" x14ac:dyDescent="0.2">
      <c r="A461" s="814">
        <v>3111</v>
      </c>
      <c r="B461" s="815" t="s">
        <v>1437</v>
      </c>
      <c r="C461" s="768">
        <f>SUM(C462:C471)</f>
        <v>30785000</v>
      </c>
      <c r="D461" s="768">
        <f>SUM(D462:D471)</f>
        <v>15085000</v>
      </c>
      <c r="E461" s="768"/>
      <c r="F461" s="768"/>
      <c r="G461" s="768"/>
      <c r="H461" s="816"/>
    </row>
    <row r="462" spans="1:8" ht="30" customHeight="1" x14ac:dyDescent="0.2">
      <c r="A462" s="796" t="s">
        <v>1438</v>
      </c>
      <c r="B462" s="731" t="s">
        <v>1439</v>
      </c>
      <c r="C462" s="695">
        <v>0</v>
      </c>
      <c r="D462" s="695">
        <v>0</v>
      </c>
      <c r="E462" s="695"/>
      <c r="F462" s="695"/>
      <c r="G462" s="695"/>
      <c r="H462" s="695"/>
    </row>
    <row r="463" spans="1:8" ht="30" customHeight="1" x14ac:dyDescent="0.2">
      <c r="A463" s="796" t="s">
        <v>1442</v>
      </c>
      <c r="B463" s="731" t="s">
        <v>1443</v>
      </c>
      <c r="C463" s="695">
        <v>5000000</v>
      </c>
      <c r="D463" s="695">
        <v>5000000</v>
      </c>
      <c r="E463" s="695"/>
      <c r="F463" s="695"/>
      <c r="G463" s="695"/>
      <c r="H463" s="695"/>
    </row>
    <row r="464" spans="1:8" ht="30" customHeight="1" x14ac:dyDescent="0.2">
      <c r="A464" s="796" t="s">
        <v>1444</v>
      </c>
      <c r="B464" s="809" t="s">
        <v>1445</v>
      </c>
      <c r="C464" s="695">
        <v>800000</v>
      </c>
      <c r="D464" s="695">
        <v>800000</v>
      </c>
      <c r="E464" s="695"/>
      <c r="F464" s="695"/>
      <c r="G464" s="695"/>
      <c r="H464" s="695"/>
    </row>
    <row r="465" spans="1:8" ht="30" customHeight="1" x14ac:dyDescent="0.2">
      <c r="A465" s="796" t="s">
        <v>1951</v>
      </c>
      <c r="B465" s="731" t="s">
        <v>1952</v>
      </c>
      <c r="C465" s="695">
        <v>0</v>
      </c>
      <c r="D465" s="695">
        <f>4635000</f>
        <v>4635000</v>
      </c>
      <c r="E465" s="695"/>
      <c r="F465" s="695"/>
      <c r="G465" s="695"/>
      <c r="H465" s="695"/>
    </row>
    <row r="466" spans="1:8" ht="30" customHeight="1" x14ac:dyDescent="0.2">
      <c r="A466" s="796" t="s">
        <v>1440</v>
      </c>
      <c r="B466" s="731" t="s">
        <v>1441</v>
      </c>
      <c r="C466" s="695">
        <v>4635000</v>
      </c>
      <c r="D466" s="695">
        <f>4635000-4635000</f>
        <v>0</v>
      </c>
      <c r="E466" s="695"/>
      <c r="F466" s="695"/>
      <c r="G466" s="695"/>
      <c r="H466" s="695"/>
    </row>
    <row r="467" spans="1:8" ht="30" customHeight="1" x14ac:dyDescent="0.2">
      <c r="A467" s="796" t="s">
        <v>1446</v>
      </c>
      <c r="B467" s="731" t="s">
        <v>1447</v>
      </c>
      <c r="C467" s="695">
        <v>500000</v>
      </c>
      <c r="D467" s="695">
        <v>500000</v>
      </c>
      <c r="E467" s="695"/>
      <c r="F467" s="695"/>
      <c r="G467" s="695"/>
      <c r="H467" s="695"/>
    </row>
    <row r="468" spans="1:8" ht="30" customHeight="1" x14ac:dyDescent="0.2">
      <c r="A468" s="796" t="s">
        <v>1448</v>
      </c>
      <c r="B468" s="731" t="s">
        <v>1449</v>
      </c>
      <c r="C468" s="695">
        <v>2150000</v>
      </c>
      <c r="D468" s="695">
        <f>2150000+(150000+80000)</f>
        <v>2380000</v>
      </c>
      <c r="E468" s="695"/>
      <c r="F468" s="695"/>
      <c r="G468" s="695"/>
      <c r="H468" s="695"/>
    </row>
    <row r="469" spans="1:8" ht="30" customHeight="1" x14ac:dyDescent="0.2">
      <c r="A469" s="796" t="s">
        <v>1450</v>
      </c>
      <c r="B469" s="731" t="s">
        <v>1451</v>
      </c>
      <c r="C469" s="695">
        <v>1500000</v>
      </c>
      <c r="D469" s="695">
        <f>1500000</f>
        <v>1500000</v>
      </c>
      <c r="E469" s="695"/>
      <c r="F469" s="695"/>
      <c r="G469" s="695"/>
      <c r="H469" s="695"/>
    </row>
    <row r="470" spans="1:8" ht="30" customHeight="1" x14ac:dyDescent="0.2">
      <c r="A470" s="796" t="s">
        <v>1452</v>
      </c>
      <c r="B470" s="731" t="s">
        <v>1453</v>
      </c>
      <c r="C470" s="695">
        <v>1700000</v>
      </c>
      <c r="D470" s="695">
        <f>1700000-1700000</f>
        <v>0</v>
      </c>
      <c r="E470" s="695"/>
      <c r="F470" s="695"/>
      <c r="G470" s="695"/>
      <c r="H470" s="695"/>
    </row>
    <row r="471" spans="1:8" ht="30" customHeight="1" x14ac:dyDescent="0.2">
      <c r="A471" s="817" t="s">
        <v>1454</v>
      </c>
      <c r="B471" s="800" t="s">
        <v>1455</v>
      </c>
      <c r="C471" s="818">
        <v>14500000</v>
      </c>
      <c r="D471" s="818">
        <f>14500000-14000000-230000</f>
        <v>270000</v>
      </c>
      <c r="E471" s="818"/>
      <c r="F471" s="818"/>
      <c r="G471" s="818"/>
      <c r="H471" s="728"/>
    </row>
    <row r="472" spans="1:8" ht="30" customHeight="1" x14ac:dyDescent="0.25">
      <c r="A472" s="819"/>
      <c r="B472" s="813" t="s">
        <v>523</v>
      </c>
      <c r="C472" s="792">
        <f>SUM(C473+C475)</f>
        <v>8007000</v>
      </c>
      <c r="D472" s="792">
        <f>SUM(D473+D475)</f>
        <v>7753693</v>
      </c>
      <c r="E472" s="792"/>
      <c r="F472" s="792"/>
      <c r="G472" s="792"/>
      <c r="H472" s="804"/>
    </row>
    <row r="473" spans="1:8" ht="30" customHeight="1" x14ac:dyDescent="0.2">
      <c r="A473" s="814">
        <v>3613</v>
      </c>
      <c r="B473" s="815" t="s">
        <v>1456</v>
      </c>
      <c r="C473" s="795">
        <f t="shared" ref="C473:D473" si="12">C474</f>
        <v>1850000</v>
      </c>
      <c r="D473" s="795">
        <f t="shared" si="12"/>
        <v>1850000</v>
      </c>
      <c r="E473" s="795"/>
      <c r="F473" s="795"/>
      <c r="G473" s="795"/>
      <c r="H473" s="816"/>
    </row>
    <row r="474" spans="1:8" ht="30" customHeight="1" x14ac:dyDescent="0.2">
      <c r="A474" s="796" t="s">
        <v>525</v>
      </c>
      <c r="B474" s="820" t="s">
        <v>1457</v>
      </c>
      <c r="C474" s="695">
        <v>1850000</v>
      </c>
      <c r="D474" s="695">
        <v>1850000</v>
      </c>
      <c r="E474" s="695"/>
      <c r="F474" s="695"/>
      <c r="G474" s="695"/>
      <c r="H474" s="798"/>
    </row>
    <row r="475" spans="1:8" ht="30" customHeight="1" x14ac:dyDescent="0.2">
      <c r="A475" s="730">
        <v>3639</v>
      </c>
      <c r="B475" s="797" t="s">
        <v>1458</v>
      </c>
      <c r="C475" s="798">
        <f t="shared" ref="C475:D475" si="13">SUM(C476:C480)</f>
        <v>6157000</v>
      </c>
      <c r="D475" s="798">
        <f t="shared" si="13"/>
        <v>5903693</v>
      </c>
      <c r="E475" s="798"/>
      <c r="F475" s="798"/>
      <c r="G475" s="798"/>
      <c r="H475" s="695"/>
    </row>
    <row r="476" spans="1:8" ht="30" customHeight="1" x14ac:dyDescent="0.2">
      <c r="A476" s="796" t="s">
        <v>2022</v>
      </c>
      <c r="B476" s="809" t="s">
        <v>1459</v>
      </c>
      <c r="C476" s="695">
        <v>280000</v>
      </c>
      <c r="D476" s="695">
        <v>280000</v>
      </c>
      <c r="E476" s="695"/>
      <c r="F476" s="695"/>
      <c r="G476" s="695"/>
      <c r="H476" s="695"/>
    </row>
    <row r="477" spans="1:8" ht="30" customHeight="1" x14ac:dyDescent="0.2">
      <c r="A477" s="796" t="s">
        <v>530</v>
      </c>
      <c r="B477" s="809" t="s">
        <v>1460</v>
      </c>
      <c r="C477" s="695">
        <v>270000</v>
      </c>
      <c r="D477" s="695">
        <v>270000</v>
      </c>
      <c r="E477" s="695"/>
      <c r="F477" s="695"/>
      <c r="G477" s="695"/>
      <c r="H477" s="695"/>
    </row>
    <row r="478" spans="1:8" ht="30" customHeight="1" x14ac:dyDescent="0.2">
      <c r="A478" s="796" t="s">
        <v>534</v>
      </c>
      <c r="B478" s="809" t="s">
        <v>1461</v>
      </c>
      <c r="C478" s="695">
        <v>470000</v>
      </c>
      <c r="D478" s="695">
        <v>470000</v>
      </c>
      <c r="E478" s="695"/>
      <c r="F478" s="695"/>
      <c r="G478" s="695"/>
      <c r="H478" s="695"/>
    </row>
    <row r="479" spans="1:8" ht="30" customHeight="1" x14ac:dyDescent="0.2">
      <c r="A479" s="796" t="s">
        <v>1960</v>
      </c>
      <c r="B479" s="820" t="s">
        <v>1462</v>
      </c>
      <c r="C479" s="695">
        <v>5112000</v>
      </c>
      <c r="D479" s="695">
        <f>5112000-153307-100000</f>
        <v>4858693</v>
      </c>
      <c r="E479" s="695"/>
      <c r="F479" s="695"/>
      <c r="G479" s="695"/>
      <c r="H479" s="695"/>
    </row>
    <row r="480" spans="1:8" ht="30" customHeight="1" x14ac:dyDescent="0.2">
      <c r="A480" s="810" t="s">
        <v>538</v>
      </c>
      <c r="B480" s="821" t="s">
        <v>539</v>
      </c>
      <c r="C480" s="728">
        <v>25000</v>
      </c>
      <c r="D480" s="728">
        <v>25000</v>
      </c>
      <c r="E480" s="728"/>
      <c r="F480" s="728"/>
      <c r="G480" s="728"/>
      <c r="H480" s="728"/>
    </row>
    <row r="481" spans="1:35" ht="30" customHeight="1" x14ac:dyDescent="0.2">
      <c r="A481" s="822"/>
      <c r="B481" s="823" t="s">
        <v>1463</v>
      </c>
      <c r="C481" s="792">
        <f>SUM(C482,C484)</f>
        <v>10003000</v>
      </c>
      <c r="D481" s="792">
        <f>SUM(D482,D484)</f>
        <v>10003000</v>
      </c>
      <c r="E481" s="792"/>
      <c r="F481" s="792"/>
      <c r="G481" s="792"/>
      <c r="H481" s="824"/>
    </row>
    <row r="482" spans="1:35" ht="30" customHeight="1" x14ac:dyDescent="0.2">
      <c r="A482" s="805">
        <v>3311</v>
      </c>
      <c r="B482" s="806" t="s">
        <v>1464</v>
      </c>
      <c r="C482" s="807">
        <f t="shared" ref="C482:D482" si="14">SUM(C483:C483)</f>
        <v>7023000</v>
      </c>
      <c r="D482" s="807">
        <f t="shared" si="14"/>
        <v>7023000</v>
      </c>
      <c r="E482" s="807"/>
      <c r="F482" s="807"/>
      <c r="G482" s="807"/>
      <c r="H482" s="808"/>
    </row>
    <row r="483" spans="1:35" ht="30" customHeight="1" x14ac:dyDescent="0.2">
      <c r="A483" s="796" t="s">
        <v>1465</v>
      </c>
      <c r="B483" s="731" t="s">
        <v>1466</v>
      </c>
      <c r="C483" s="695">
        <v>7023000</v>
      </c>
      <c r="D483" s="695">
        <v>7023000</v>
      </c>
      <c r="E483" s="695"/>
      <c r="F483" s="695"/>
      <c r="G483" s="695"/>
      <c r="H483" s="695"/>
    </row>
    <row r="484" spans="1:35" ht="30" customHeight="1" x14ac:dyDescent="0.2">
      <c r="A484" s="730">
        <v>3392</v>
      </c>
      <c r="B484" s="797" t="s">
        <v>1467</v>
      </c>
      <c r="C484" s="798">
        <f>SUM(C485:C487)</f>
        <v>2980000</v>
      </c>
      <c r="D484" s="798">
        <f>SUM(D485:D487)</f>
        <v>2980000</v>
      </c>
      <c r="E484" s="798"/>
      <c r="F484" s="798"/>
      <c r="G484" s="798"/>
      <c r="H484" s="695"/>
    </row>
    <row r="485" spans="1:35" ht="30" customHeight="1" x14ac:dyDescent="0.2">
      <c r="A485" s="796" t="s">
        <v>1468</v>
      </c>
      <c r="B485" s="731" t="s">
        <v>1469</v>
      </c>
      <c r="C485" s="695">
        <v>2500000</v>
      </c>
      <c r="D485" s="695">
        <v>2500000</v>
      </c>
      <c r="E485" s="695"/>
      <c r="F485" s="695"/>
      <c r="G485" s="695"/>
      <c r="H485" s="695"/>
    </row>
    <row r="486" spans="1:35" ht="30" customHeight="1" x14ac:dyDescent="0.2">
      <c r="A486" s="796" t="s">
        <v>1470</v>
      </c>
      <c r="B486" s="731" t="s">
        <v>1471</v>
      </c>
      <c r="C486" s="695">
        <v>180000</v>
      </c>
      <c r="D486" s="695">
        <v>180000</v>
      </c>
      <c r="E486" s="695"/>
      <c r="F486" s="695"/>
      <c r="G486" s="695"/>
      <c r="H486" s="695"/>
    </row>
    <row r="487" spans="1:35" ht="30" customHeight="1" x14ac:dyDescent="0.2">
      <c r="A487" s="799" t="s">
        <v>1472</v>
      </c>
      <c r="B487" s="800" t="s">
        <v>1473</v>
      </c>
      <c r="C487" s="728">
        <v>300000</v>
      </c>
      <c r="D487" s="728">
        <v>300000</v>
      </c>
      <c r="E487" s="728"/>
      <c r="F487" s="728"/>
      <c r="G487" s="728"/>
      <c r="H487" s="728"/>
    </row>
    <row r="488" spans="1:35" ht="30" customHeight="1" x14ac:dyDescent="0.2">
      <c r="A488" s="822"/>
      <c r="B488" s="823" t="s">
        <v>1474</v>
      </c>
      <c r="C488" s="792">
        <f>SUM(C489)</f>
        <v>8566000</v>
      </c>
      <c r="D488" s="792">
        <f>SUM(D489)</f>
        <v>8566000</v>
      </c>
      <c r="E488" s="792"/>
      <c r="F488" s="792"/>
      <c r="G488" s="792"/>
      <c r="H488" s="825"/>
    </row>
    <row r="489" spans="1:35" ht="30" customHeight="1" x14ac:dyDescent="0.2">
      <c r="A489" s="805">
        <v>6171</v>
      </c>
      <c r="B489" s="806" t="s">
        <v>1475</v>
      </c>
      <c r="C489" s="807">
        <f>SUM(C490:C494)</f>
        <v>8566000</v>
      </c>
      <c r="D489" s="807">
        <f>SUM(D490:D494)</f>
        <v>8566000</v>
      </c>
      <c r="E489" s="807"/>
      <c r="F489" s="807"/>
      <c r="G489" s="807"/>
      <c r="H489" s="808"/>
    </row>
    <row r="490" spans="1:35" ht="30" customHeight="1" x14ac:dyDescent="0.2">
      <c r="A490" s="796" t="s">
        <v>1476</v>
      </c>
      <c r="B490" s="731" t="s">
        <v>1477</v>
      </c>
      <c r="C490" s="695">
        <v>2000000</v>
      </c>
      <c r="D490" s="695">
        <f>2000000+500000</f>
        <v>2500000</v>
      </c>
      <c r="E490" s="695"/>
      <c r="F490" s="695"/>
      <c r="G490" s="695"/>
      <c r="H490" s="695"/>
    </row>
    <row r="491" spans="1:35" ht="30" customHeight="1" x14ac:dyDescent="0.2">
      <c r="A491" s="796" t="s">
        <v>1478</v>
      </c>
      <c r="B491" s="731" t="s">
        <v>1479</v>
      </c>
      <c r="C491" s="695">
        <v>2420000</v>
      </c>
      <c r="D491" s="695">
        <v>2420000</v>
      </c>
      <c r="E491" s="695"/>
      <c r="F491" s="695"/>
      <c r="G491" s="695"/>
      <c r="H491" s="695"/>
    </row>
    <row r="492" spans="1:35" ht="30" customHeight="1" x14ac:dyDescent="0.2">
      <c r="A492" s="796" t="s">
        <v>1480</v>
      </c>
      <c r="B492" s="731" t="s">
        <v>1481</v>
      </c>
      <c r="C492" s="695">
        <v>3146000</v>
      </c>
      <c r="D492" s="695">
        <f>3146000-500000</f>
        <v>2646000</v>
      </c>
      <c r="E492" s="695"/>
      <c r="F492" s="695"/>
      <c r="G492" s="695"/>
      <c r="H492" s="695"/>
    </row>
    <row r="493" spans="1:35" ht="30" customHeight="1" x14ac:dyDescent="0.2">
      <c r="A493" s="796" t="s">
        <v>1482</v>
      </c>
      <c r="B493" s="731" t="s">
        <v>1483</v>
      </c>
      <c r="C493" s="695">
        <v>500000</v>
      </c>
      <c r="D493" s="695">
        <v>500000</v>
      </c>
      <c r="E493" s="695"/>
      <c r="F493" s="695"/>
      <c r="G493" s="695"/>
      <c r="H493" s="695"/>
    </row>
    <row r="494" spans="1:35" ht="30" customHeight="1" x14ac:dyDescent="0.2">
      <c r="A494" s="826" t="s">
        <v>1484</v>
      </c>
      <c r="B494" s="827" t="s">
        <v>1485</v>
      </c>
      <c r="C494" s="828">
        <v>500000</v>
      </c>
      <c r="D494" s="828">
        <v>500000</v>
      </c>
      <c r="E494" s="828"/>
      <c r="F494" s="828"/>
      <c r="G494" s="828"/>
      <c r="H494" s="828"/>
    </row>
    <row r="495" spans="1:35" s="829" customFormat="1" ht="30" customHeight="1" x14ac:dyDescent="0.2">
      <c r="A495" s="822"/>
      <c r="B495" s="830" t="s">
        <v>1486</v>
      </c>
      <c r="C495" s="792">
        <f>SUM(C496)</f>
        <v>2150000</v>
      </c>
      <c r="D495" s="792">
        <f>SUM(D496)</f>
        <v>2150000</v>
      </c>
      <c r="E495" s="792"/>
      <c r="F495" s="792"/>
      <c r="G495" s="792"/>
      <c r="H495" s="825"/>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row>
    <row r="496" spans="1:35" s="831" customFormat="1" ht="30" customHeight="1" x14ac:dyDescent="0.2">
      <c r="A496" s="805">
        <v>3745</v>
      </c>
      <c r="B496" s="805" t="s">
        <v>1487</v>
      </c>
      <c r="C496" s="807">
        <f>SUM(C497:C498)</f>
        <v>2150000</v>
      </c>
      <c r="D496" s="807">
        <f>SUM(D497:D498)</f>
        <v>2150000</v>
      </c>
      <c r="E496" s="807"/>
      <c r="F496" s="807"/>
      <c r="G496" s="807"/>
      <c r="H496" s="808"/>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row>
    <row r="497" spans="1:26" s="829" customFormat="1" ht="30" customHeight="1" x14ac:dyDescent="0.2">
      <c r="A497" s="796" t="s">
        <v>1488</v>
      </c>
      <c r="B497" s="832" t="s">
        <v>1489</v>
      </c>
      <c r="C497" s="695">
        <v>300000</v>
      </c>
      <c r="D497" s="695">
        <v>300000</v>
      </c>
      <c r="E497" s="695"/>
      <c r="F497" s="695"/>
      <c r="G497" s="695"/>
      <c r="H497" s="695"/>
      <c r="I497" s="1"/>
      <c r="J497" s="1"/>
      <c r="K497" s="1"/>
      <c r="L497" s="1"/>
      <c r="M497" s="1"/>
      <c r="N497" s="1"/>
      <c r="O497" s="1"/>
      <c r="P497" s="1"/>
      <c r="Q497" s="1"/>
      <c r="R497" s="1"/>
      <c r="S497" s="1"/>
      <c r="T497" s="1"/>
      <c r="U497" s="1"/>
      <c r="V497" s="1"/>
      <c r="W497" s="1"/>
      <c r="X497" s="1"/>
      <c r="Y497" s="1"/>
      <c r="Z497" s="1"/>
    </row>
    <row r="498" spans="1:26" ht="30" customHeight="1" x14ac:dyDescent="0.2">
      <c r="A498" s="826" t="s">
        <v>1490</v>
      </c>
      <c r="B498" s="833" t="s">
        <v>1491</v>
      </c>
      <c r="C498" s="828">
        <v>1850000</v>
      </c>
      <c r="D498" s="828">
        <v>1850000</v>
      </c>
      <c r="E498" s="828"/>
      <c r="F498" s="828"/>
      <c r="G498" s="828"/>
      <c r="H498" s="828"/>
    </row>
    <row r="499" spans="1:26" ht="30" customHeight="1" x14ac:dyDescent="0.25">
      <c r="A499" s="802"/>
      <c r="B499" s="803" t="s">
        <v>1492</v>
      </c>
      <c r="C499" s="702">
        <f>SUM(C505,C500,C514,C526)</f>
        <v>55211250</v>
      </c>
      <c r="D499" s="702">
        <f>SUM(D505,D500,D514,D526)</f>
        <v>65111250</v>
      </c>
      <c r="E499" s="702"/>
      <c r="F499" s="702"/>
      <c r="G499" s="702"/>
      <c r="H499" s="824"/>
    </row>
    <row r="500" spans="1:26" ht="30" customHeight="1" x14ac:dyDescent="0.2">
      <c r="A500" s="834">
        <v>3412</v>
      </c>
      <c r="B500" s="834" t="s">
        <v>1493</v>
      </c>
      <c r="C500" s="835">
        <f>SUM(C501:C504)</f>
        <v>3400000</v>
      </c>
      <c r="D500" s="835">
        <f>SUM(D501:D504)</f>
        <v>4900000</v>
      </c>
      <c r="E500" s="835"/>
      <c r="F500" s="835"/>
      <c r="G500" s="835"/>
      <c r="H500" s="807"/>
    </row>
    <row r="501" spans="1:26" ht="30" customHeight="1" x14ac:dyDescent="0.2">
      <c r="A501" s="796" t="s">
        <v>1494</v>
      </c>
      <c r="B501" s="717" t="s">
        <v>1495</v>
      </c>
      <c r="C501" s="836">
        <v>2600000</v>
      </c>
      <c r="D501" s="836">
        <v>2600000</v>
      </c>
      <c r="E501" s="836"/>
      <c r="F501" s="836"/>
      <c r="G501" s="836"/>
      <c r="H501" s="798"/>
    </row>
    <row r="502" spans="1:26" ht="30" customHeight="1" x14ac:dyDescent="0.2">
      <c r="A502" s="796" t="s">
        <v>1496</v>
      </c>
      <c r="B502" s="717" t="s">
        <v>1497</v>
      </c>
      <c r="C502" s="836">
        <v>500000</v>
      </c>
      <c r="D502" s="836">
        <v>500000</v>
      </c>
      <c r="E502" s="836"/>
      <c r="F502" s="836"/>
      <c r="G502" s="836"/>
      <c r="H502" s="798"/>
    </row>
    <row r="503" spans="1:26" ht="30" customHeight="1" x14ac:dyDescent="0.2">
      <c r="A503" s="796" t="s">
        <v>1498</v>
      </c>
      <c r="B503" s="717" t="s">
        <v>1499</v>
      </c>
      <c r="C503" s="836">
        <v>300000</v>
      </c>
      <c r="D503" s="836">
        <v>300000</v>
      </c>
      <c r="E503" s="836"/>
      <c r="F503" s="836"/>
      <c r="G503" s="836"/>
      <c r="H503" s="695"/>
    </row>
    <row r="504" spans="1:26" s="98" customFormat="1" ht="30" customHeight="1" x14ac:dyDescent="0.2">
      <c r="A504" s="796" t="s">
        <v>2020</v>
      </c>
      <c r="B504" s="731" t="s">
        <v>1965</v>
      </c>
      <c r="C504" s="695">
        <v>0</v>
      </c>
      <c r="D504" s="695">
        <v>1500000</v>
      </c>
      <c r="E504" s="695"/>
      <c r="F504" s="695"/>
      <c r="G504" s="695"/>
      <c r="H504" s="695"/>
    </row>
    <row r="505" spans="1:26" ht="30" customHeight="1" x14ac:dyDescent="0.2">
      <c r="A505" s="730">
        <v>3612</v>
      </c>
      <c r="B505" s="730" t="s">
        <v>1500</v>
      </c>
      <c r="C505" s="798">
        <f>SUM(C506:C513)</f>
        <v>2250000</v>
      </c>
      <c r="D505" s="798">
        <f>SUM(D506:D513)</f>
        <v>4950000</v>
      </c>
      <c r="E505" s="798"/>
      <c r="F505" s="798"/>
      <c r="G505" s="798"/>
      <c r="H505" s="695"/>
    </row>
    <row r="506" spans="1:26" ht="30" customHeight="1" x14ac:dyDescent="0.2">
      <c r="A506" s="796" t="s">
        <v>1501</v>
      </c>
      <c r="B506" s="832" t="s">
        <v>1502</v>
      </c>
      <c r="C506" s="695">
        <v>0</v>
      </c>
      <c r="D506" s="695">
        <v>0</v>
      </c>
      <c r="E506" s="695"/>
      <c r="F506" s="695"/>
      <c r="G506" s="695"/>
      <c r="H506" s="695"/>
    </row>
    <row r="507" spans="1:26" ht="30" customHeight="1" x14ac:dyDescent="0.2">
      <c r="A507" s="796" t="s">
        <v>1503</v>
      </c>
      <c r="B507" s="832" t="s">
        <v>1504</v>
      </c>
      <c r="C507" s="695">
        <v>0</v>
      </c>
      <c r="D507" s="695">
        <v>0</v>
      </c>
      <c r="E507" s="695"/>
      <c r="F507" s="695"/>
      <c r="G507" s="695"/>
      <c r="H507" s="695"/>
    </row>
    <row r="508" spans="1:26" ht="30" customHeight="1" x14ac:dyDescent="0.2">
      <c r="A508" s="796" t="s">
        <v>1505</v>
      </c>
      <c r="B508" s="837" t="s">
        <v>1506</v>
      </c>
      <c r="C508" s="695">
        <v>0</v>
      </c>
      <c r="D508" s="695">
        <v>0</v>
      </c>
      <c r="E508" s="695"/>
      <c r="F508" s="695"/>
      <c r="G508" s="695"/>
      <c r="H508" s="695"/>
    </row>
    <row r="509" spans="1:26" ht="30" customHeight="1" x14ac:dyDescent="0.2">
      <c r="A509" s="796" t="s">
        <v>1966</v>
      </c>
      <c r="B509" s="837" t="s">
        <v>1508</v>
      </c>
      <c r="C509" s="695">
        <v>400000</v>
      </c>
      <c r="D509" s="695">
        <v>400000</v>
      </c>
      <c r="E509" s="695"/>
      <c r="F509" s="695"/>
      <c r="G509" s="695"/>
      <c r="H509" s="695"/>
    </row>
    <row r="510" spans="1:26" ht="30" customHeight="1" x14ac:dyDescent="0.2">
      <c r="A510" s="796" t="s">
        <v>1509</v>
      </c>
      <c r="B510" s="837" t="s">
        <v>1510</v>
      </c>
      <c r="C510" s="695">
        <v>350000</v>
      </c>
      <c r="D510" s="695">
        <v>350000</v>
      </c>
      <c r="E510" s="695"/>
      <c r="F510" s="695"/>
      <c r="G510" s="695"/>
      <c r="H510" s="695"/>
    </row>
    <row r="511" spans="1:26" ht="30" customHeight="1" x14ac:dyDescent="0.2">
      <c r="A511" s="796" t="s">
        <v>1511</v>
      </c>
      <c r="B511" s="832" t="s">
        <v>1512</v>
      </c>
      <c r="C511" s="695">
        <v>1500000</v>
      </c>
      <c r="D511" s="695">
        <v>1500000</v>
      </c>
      <c r="E511" s="695"/>
      <c r="F511" s="695"/>
      <c r="G511" s="695"/>
      <c r="H511" s="695"/>
    </row>
    <row r="512" spans="1:26" ht="30" customHeight="1" x14ac:dyDescent="0.2">
      <c r="A512" s="796" t="s">
        <v>2023</v>
      </c>
      <c r="B512" s="832" t="s">
        <v>2024</v>
      </c>
      <c r="C512" s="695">
        <v>0</v>
      </c>
      <c r="D512" s="695">
        <v>1500000</v>
      </c>
      <c r="E512" s="695"/>
      <c r="F512" s="695"/>
      <c r="G512" s="695"/>
      <c r="H512" s="695"/>
    </row>
    <row r="513" spans="1:8" ht="30" customHeight="1" x14ac:dyDescent="0.2">
      <c r="A513" s="796" t="s">
        <v>2025</v>
      </c>
      <c r="B513" s="832" t="s">
        <v>2026</v>
      </c>
      <c r="C513" s="695">
        <v>0</v>
      </c>
      <c r="D513" s="695">
        <v>1200000</v>
      </c>
      <c r="E513" s="695"/>
      <c r="F513" s="695"/>
      <c r="G513" s="695"/>
      <c r="H513" s="695"/>
    </row>
    <row r="514" spans="1:8" ht="30" customHeight="1" x14ac:dyDescent="0.2">
      <c r="A514" s="838">
        <v>3613</v>
      </c>
      <c r="B514" s="730" t="s">
        <v>1283</v>
      </c>
      <c r="C514" s="798">
        <f>SUM(C515:C525)</f>
        <v>11200000</v>
      </c>
      <c r="D514" s="798">
        <f>SUM(D515:D525)</f>
        <v>16900000</v>
      </c>
      <c r="E514" s="798"/>
      <c r="F514" s="798"/>
      <c r="G514" s="798"/>
      <c r="H514" s="695"/>
    </row>
    <row r="515" spans="1:8" ht="30" customHeight="1" x14ac:dyDescent="0.2">
      <c r="A515" s="796" t="s">
        <v>1513</v>
      </c>
      <c r="B515" s="832" t="s">
        <v>1514</v>
      </c>
      <c r="C515" s="695">
        <v>0</v>
      </c>
      <c r="D515" s="695">
        <v>0</v>
      </c>
      <c r="E515" s="695"/>
      <c r="F515" s="695"/>
      <c r="G515" s="695"/>
      <c r="H515" s="695"/>
    </row>
    <row r="516" spans="1:8" ht="30" customHeight="1" x14ac:dyDescent="0.2">
      <c r="A516" s="796" t="s">
        <v>1515</v>
      </c>
      <c r="B516" s="837" t="s">
        <v>1516</v>
      </c>
      <c r="C516" s="695">
        <v>0</v>
      </c>
      <c r="D516" s="695">
        <v>0</v>
      </c>
      <c r="E516" s="695"/>
      <c r="F516" s="695"/>
      <c r="G516" s="695"/>
      <c r="H516" s="695"/>
    </row>
    <row r="517" spans="1:8" ht="30" customHeight="1" x14ac:dyDescent="0.2">
      <c r="A517" s="796" t="s">
        <v>1517</v>
      </c>
      <c r="B517" s="832" t="s">
        <v>1518</v>
      </c>
      <c r="C517" s="695">
        <v>2550000</v>
      </c>
      <c r="D517" s="695">
        <v>2550000</v>
      </c>
      <c r="E517" s="695"/>
      <c r="F517" s="695"/>
      <c r="G517" s="695"/>
      <c r="H517" s="695"/>
    </row>
    <row r="518" spans="1:8" ht="30" customHeight="1" x14ac:dyDescent="0.2">
      <c r="A518" s="796" t="s">
        <v>1519</v>
      </c>
      <c r="B518" s="832" t="s">
        <v>1520</v>
      </c>
      <c r="C518" s="695">
        <v>2500000</v>
      </c>
      <c r="D518" s="695">
        <v>2500000</v>
      </c>
      <c r="E518" s="695"/>
      <c r="F518" s="695"/>
      <c r="G518" s="695"/>
      <c r="H518" s="695"/>
    </row>
    <row r="519" spans="1:8" ht="30" customHeight="1" x14ac:dyDescent="0.2">
      <c r="A519" s="796" t="s">
        <v>1521</v>
      </c>
      <c r="B519" s="832" t="s">
        <v>1522</v>
      </c>
      <c r="C519" s="695">
        <v>1000000</v>
      </c>
      <c r="D519" s="695">
        <v>1000000</v>
      </c>
      <c r="E519" s="695"/>
      <c r="F519" s="695"/>
      <c r="G519" s="695"/>
      <c r="H519" s="695"/>
    </row>
    <row r="520" spans="1:8" ht="30" customHeight="1" x14ac:dyDescent="0.2">
      <c r="A520" s="796" t="s">
        <v>1523</v>
      </c>
      <c r="B520" s="832" t="s">
        <v>1524</v>
      </c>
      <c r="C520" s="695">
        <v>1100000</v>
      </c>
      <c r="D520" s="695">
        <v>1100000</v>
      </c>
      <c r="E520" s="695"/>
      <c r="F520" s="695"/>
      <c r="G520" s="695"/>
      <c r="H520" s="695"/>
    </row>
    <row r="521" spans="1:8" ht="30" customHeight="1" x14ac:dyDescent="0.2">
      <c r="A521" s="796" t="s">
        <v>1974</v>
      </c>
      <c r="B521" s="832" t="s">
        <v>1975</v>
      </c>
      <c r="C521" s="695">
        <v>0</v>
      </c>
      <c r="D521" s="695">
        <v>4000000</v>
      </c>
      <c r="E521" s="695"/>
      <c r="F521" s="695"/>
      <c r="G521" s="695"/>
      <c r="H521" s="695"/>
    </row>
    <row r="522" spans="1:8" ht="30" customHeight="1" x14ac:dyDescent="0.2">
      <c r="A522" s="796" t="s">
        <v>1525</v>
      </c>
      <c r="B522" s="832" t="s">
        <v>1526</v>
      </c>
      <c r="C522" s="695">
        <v>550000</v>
      </c>
      <c r="D522" s="695">
        <v>550000</v>
      </c>
      <c r="E522" s="695"/>
      <c r="F522" s="695"/>
      <c r="G522" s="695"/>
      <c r="H522" s="695"/>
    </row>
    <row r="523" spans="1:8" ht="30" customHeight="1" x14ac:dyDescent="0.2">
      <c r="A523" s="796" t="s">
        <v>1527</v>
      </c>
      <c r="B523" s="832" t="s">
        <v>1528</v>
      </c>
      <c r="C523" s="695">
        <v>500000</v>
      </c>
      <c r="D523" s="695">
        <v>500000</v>
      </c>
      <c r="E523" s="695"/>
      <c r="F523" s="695"/>
      <c r="G523" s="695"/>
      <c r="H523" s="695"/>
    </row>
    <row r="524" spans="1:8" ht="30" customHeight="1" x14ac:dyDescent="0.2">
      <c r="A524" s="796" t="s">
        <v>1529</v>
      </c>
      <c r="B524" s="832" t="s">
        <v>1530</v>
      </c>
      <c r="C524" s="695">
        <v>3000000</v>
      </c>
      <c r="D524" s="695">
        <v>3000000</v>
      </c>
      <c r="E524" s="695"/>
      <c r="F524" s="695"/>
      <c r="G524" s="695"/>
      <c r="H524" s="695"/>
    </row>
    <row r="525" spans="1:8" ht="30" customHeight="1" x14ac:dyDescent="0.2">
      <c r="A525" s="796" t="s">
        <v>2027</v>
      </c>
      <c r="B525" s="832" t="s">
        <v>1973</v>
      </c>
      <c r="C525" s="695">
        <v>0</v>
      </c>
      <c r="D525" s="695">
        <v>1700000</v>
      </c>
      <c r="E525" s="695"/>
      <c r="F525" s="695"/>
      <c r="G525" s="695"/>
      <c r="H525" s="695"/>
    </row>
    <row r="526" spans="1:8" ht="30" customHeight="1" x14ac:dyDescent="0.2">
      <c r="A526" s="730">
        <v>3634</v>
      </c>
      <c r="B526" s="730" t="s">
        <v>1531</v>
      </c>
      <c r="C526" s="798">
        <f>SUM(C527:C540)</f>
        <v>38361250</v>
      </c>
      <c r="D526" s="798">
        <f>SUM(D527:D540)</f>
        <v>38361250</v>
      </c>
      <c r="E526" s="798"/>
      <c r="F526" s="798"/>
      <c r="G526" s="798"/>
      <c r="H526" s="695"/>
    </row>
    <row r="527" spans="1:8" ht="30" customHeight="1" x14ac:dyDescent="0.2">
      <c r="A527" s="796" t="s">
        <v>1532</v>
      </c>
      <c r="B527" s="832" t="s">
        <v>1533</v>
      </c>
      <c r="C527" s="695">
        <v>0</v>
      </c>
      <c r="D527" s="695">
        <v>0</v>
      </c>
      <c r="E527" s="695"/>
      <c r="F527" s="695"/>
      <c r="G527" s="695"/>
      <c r="H527" s="695"/>
    </row>
    <row r="528" spans="1:8" ht="30" customHeight="1" x14ac:dyDescent="0.2">
      <c r="A528" s="796" t="s">
        <v>1534</v>
      </c>
      <c r="B528" s="832" t="s">
        <v>1535</v>
      </c>
      <c r="C528" s="695">
        <v>0</v>
      </c>
      <c r="D528" s="695">
        <v>0</v>
      </c>
      <c r="E528" s="695"/>
      <c r="F528" s="695"/>
      <c r="G528" s="695"/>
      <c r="H528" s="695"/>
    </row>
    <row r="529" spans="1:8" ht="30" customHeight="1" x14ac:dyDescent="0.2">
      <c r="A529" s="796" t="s">
        <v>1536</v>
      </c>
      <c r="B529" s="832" t="s">
        <v>1537</v>
      </c>
      <c r="C529" s="695">
        <v>0</v>
      </c>
      <c r="D529" s="695">
        <v>0</v>
      </c>
      <c r="E529" s="695"/>
      <c r="F529" s="695"/>
      <c r="G529" s="695"/>
      <c r="H529" s="695"/>
    </row>
    <row r="530" spans="1:8" ht="30" customHeight="1" x14ac:dyDescent="0.2">
      <c r="A530" s="796" t="s">
        <v>1538</v>
      </c>
      <c r="B530" s="832" t="s">
        <v>1539</v>
      </c>
      <c r="C530" s="695">
        <v>0</v>
      </c>
      <c r="D530" s="695">
        <v>0</v>
      </c>
      <c r="E530" s="695"/>
      <c r="F530" s="695"/>
      <c r="G530" s="695"/>
      <c r="H530" s="695"/>
    </row>
    <row r="531" spans="1:8" ht="30" customHeight="1" x14ac:dyDescent="0.2">
      <c r="A531" s="796" t="s">
        <v>1540</v>
      </c>
      <c r="B531" s="832" t="s">
        <v>1541</v>
      </c>
      <c r="C531" s="695">
        <v>0</v>
      </c>
      <c r="D531" s="695">
        <v>0</v>
      </c>
      <c r="E531" s="695"/>
      <c r="F531" s="695"/>
      <c r="G531" s="695"/>
      <c r="H531" s="695"/>
    </row>
    <row r="532" spans="1:8" ht="30" customHeight="1" x14ac:dyDescent="0.25">
      <c r="A532" s="796" t="s">
        <v>1542</v>
      </c>
      <c r="B532" s="832" t="s">
        <v>1543</v>
      </c>
      <c r="C532" s="695">
        <v>2151250</v>
      </c>
      <c r="D532" s="695">
        <v>2151250</v>
      </c>
      <c r="E532" s="695"/>
      <c r="F532" s="695"/>
      <c r="G532" s="695"/>
      <c r="H532" s="839"/>
    </row>
    <row r="533" spans="1:8" ht="30" customHeight="1" x14ac:dyDescent="0.2">
      <c r="A533" s="796" t="s">
        <v>1544</v>
      </c>
      <c r="B533" s="832" t="s">
        <v>1545</v>
      </c>
      <c r="C533" s="695">
        <v>2500000</v>
      </c>
      <c r="D533" s="695">
        <f>2500000-1300000+1300000</f>
        <v>2500000</v>
      </c>
      <c r="E533" s="695"/>
      <c r="F533" s="695"/>
      <c r="G533" s="695"/>
      <c r="H533" s="798"/>
    </row>
    <row r="534" spans="1:8" ht="30" customHeight="1" x14ac:dyDescent="0.2">
      <c r="A534" s="796" t="s">
        <v>1546</v>
      </c>
      <c r="B534" s="832" t="s">
        <v>1547</v>
      </c>
      <c r="C534" s="695">
        <v>210000</v>
      </c>
      <c r="D534" s="695">
        <f>210000</f>
        <v>210000</v>
      </c>
      <c r="E534" s="695"/>
      <c r="F534" s="695"/>
      <c r="G534" s="695"/>
      <c r="H534" s="695"/>
    </row>
    <row r="535" spans="1:8" ht="30" customHeight="1" x14ac:dyDescent="0.2">
      <c r="A535" s="796" t="s">
        <v>1548</v>
      </c>
      <c r="B535" s="832" t="s">
        <v>1549</v>
      </c>
      <c r="C535" s="695">
        <v>4500000</v>
      </c>
      <c r="D535" s="695">
        <v>4500000</v>
      </c>
      <c r="E535" s="695"/>
      <c r="F535" s="695"/>
      <c r="G535" s="695"/>
      <c r="H535" s="695"/>
    </row>
    <row r="536" spans="1:8" ht="30" customHeight="1" x14ac:dyDescent="0.2">
      <c r="A536" s="796" t="s">
        <v>1550</v>
      </c>
      <c r="B536" s="832" t="s">
        <v>1551</v>
      </c>
      <c r="C536" s="695">
        <v>4800000</v>
      </c>
      <c r="D536" s="695">
        <v>4800000</v>
      </c>
      <c r="E536" s="695"/>
      <c r="F536" s="695"/>
      <c r="G536" s="695"/>
      <c r="H536" s="695"/>
    </row>
    <row r="537" spans="1:8" ht="30" customHeight="1" x14ac:dyDescent="0.2">
      <c r="A537" s="796" t="s">
        <v>1552</v>
      </c>
      <c r="B537" s="832" t="s">
        <v>1553</v>
      </c>
      <c r="C537" s="695">
        <v>5000000</v>
      </c>
      <c r="D537" s="695">
        <f>5000000-40000</f>
        <v>4960000</v>
      </c>
      <c r="E537" s="695"/>
      <c r="F537" s="695"/>
      <c r="G537" s="695"/>
      <c r="H537" s="695"/>
    </row>
    <row r="538" spans="1:8" ht="30" customHeight="1" x14ac:dyDescent="0.25">
      <c r="A538" s="796" t="s">
        <v>1554</v>
      </c>
      <c r="B538" s="832" t="s">
        <v>1555</v>
      </c>
      <c r="C538" s="695">
        <v>13000000</v>
      </c>
      <c r="D538" s="695">
        <f>13000000+1300000</f>
        <v>14300000</v>
      </c>
      <c r="E538" s="695"/>
      <c r="F538" s="695"/>
      <c r="G538" s="695"/>
      <c r="H538" s="839"/>
    </row>
    <row r="539" spans="1:8" ht="30" customHeight="1" x14ac:dyDescent="0.2">
      <c r="A539" s="796" t="s">
        <v>1556</v>
      </c>
      <c r="B539" s="832" t="s">
        <v>1557</v>
      </c>
      <c r="C539" s="695">
        <v>6000000</v>
      </c>
      <c r="D539" s="695">
        <f>6000000-1300000</f>
        <v>4700000</v>
      </c>
      <c r="E539" s="695"/>
      <c r="F539" s="695"/>
      <c r="G539" s="695"/>
      <c r="H539" s="798"/>
    </row>
    <row r="540" spans="1:8" ht="30" customHeight="1" x14ac:dyDescent="0.2">
      <c r="A540" s="799" t="s">
        <v>1558</v>
      </c>
      <c r="B540" s="833" t="s">
        <v>1559</v>
      </c>
      <c r="C540" s="828">
        <v>200000</v>
      </c>
      <c r="D540" s="828">
        <f>200000+40000</f>
        <v>240000</v>
      </c>
      <c r="E540" s="828"/>
      <c r="F540" s="828"/>
      <c r="G540" s="828"/>
      <c r="H540" s="728"/>
    </row>
    <row r="541" spans="1:8" ht="30" customHeight="1" x14ac:dyDescent="0.25">
      <c r="A541" s="819"/>
      <c r="B541" s="738" t="s">
        <v>546</v>
      </c>
      <c r="C541" s="840">
        <f>SUM(C542,C549,C552,C562,C566)</f>
        <v>18780000</v>
      </c>
      <c r="D541" s="840">
        <f>SUM(D542,D549,D552,D562,D566)</f>
        <v>18920307</v>
      </c>
      <c r="E541" s="840"/>
      <c r="F541" s="840"/>
      <c r="G541" s="840"/>
      <c r="H541" s="825"/>
    </row>
    <row r="542" spans="1:8" ht="30" customHeight="1" x14ac:dyDescent="0.2">
      <c r="A542" s="814">
        <v>3412</v>
      </c>
      <c r="B542" s="806" t="s">
        <v>1560</v>
      </c>
      <c r="C542" s="795">
        <f>SUM(C543:C548)</f>
        <v>13470000</v>
      </c>
      <c r="D542" s="795">
        <f>SUM(D543:D548)</f>
        <v>13610307</v>
      </c>
      <c r="E542" s="795"/>
      <c r="F542" s="795"/>
      <c r="G542" s="795"/>
      <c r="H542" s="816"/>
    </row>
    <row r="543" spans="1:8" ht="30" customHeight="1" x14ac:dyDescent="0.2">
      <c r="A543" s="796" t="s">
        <v>1561</v>
      </c>
      <c r="B543" s="731" t="s">
        <v>1562</v>
      </c>
      <c r="C543" s="695">
        <v>11500000</v>
      </c>
      <c r="D543" s="695">
        <f>11500000-20000-3000-10000</f>
        <v>11467000</v>
      </c>
      <c r="E543" s="695"/>
      <c r="F543" s="695"/>
      <c r="G543" s="695"/>
      <c r="H543" s="695"/>
    </row>
    <row r="544" spans="1:8" ht="30" customHeight="1" x14ac:dyDescent="0.2">
      <c r="A544" s="796" t="s">
        <v>1569</v>
      </c>
      <c r="B544" s="731" t="s">
        <v>1570</v>
      </c>
      <c r="C544" s="695">
        <v>440000</v>
      </c>
      <c r="D544" s="695">
        <f>440000+20000+10000+50000</f>
        <v>520000</v>
      </c>
      <c r="E544" s="695"/>
      <c r="F544" s="695"/>
      <c r="G544" s="695"/>
      <c r="H544" s="695"/>
    </row>
    <row r="545" spans="1:8" ht="30" customHeight="1" x14ac:dyDescent="0.2">
      <c r="A545" s="796" t="s">
        <v>1563</v>
      </c>
      <c r="B545" s="731" t="s">
        <v>1564</v>
      </c>
      <c r="C545" s="695">
        <v>1000000</v>
      </c>
      <c r="D545" s="695">
        <v>1000000</v>
      </c>
      <c r="E545" s="695"/>
      <c r="F545" s="695"/>
      <c r="G545" s="695"/>
      <c r="H545" s="695"/>
    </row>
    <row r="546" spans="1:8" ht="30" customHeight="1" x14ac:dyDescent="0.2">
      <c r="A546" s="796" t="s">
        <v>1565</v>
      </c>
      <c r="B546" s="731" t="s">
        <v>1566</v>
      </c>
      <c r="C546" s="695">
        <v>330000</v>
      </c>
      <c r="D546" s="695">
        <v>330000</v>
      </c>
      <c r="E546" s="695"/>
      <c r="F546" s="695"/>
      <c r="G546" s="695"/>
      <c r="H546" s="798"/>
    </row>
    <row r="547" spans="1:8" ht="30" customHeight="1" x14ac:dyDescent="0.2">
      <c r="A547" s="796" t="s">
        <v>1567</v>
      </c>
      <c r="B547" s="809" t="s">
        <v>1568</v>
      </c>
      <c r="C547" s="695">
        <v>200000</v>
      </c>
      <c r="D547" s="695">
        <f>200000-13000-50000</f>
        <v>137000</v>
      </c>
      <c r="E547" s="695"/>
      <c r="F547" s="695"/>
      <c r="G547" s="695"/>
      <c r="H547" s="695"/>
    </row>
    <row r="548" spans="1:8" ht="30" customHeight="1" x14ac:dyDescent="0.2">
      <c r="A548" s="796" t="s">
        <v>1979</v>
      </c>
      <c r="B548" s="809" t="s">
        <v>2028</v>
      </c>
      <c r="C548" s="695">
        <v>0</v>
      </c>
      <c r="D548" s="695">
        <f>153307+3000</f>
        <v>156307</v>
      </c>
      <c r="E548" s="695"/>
      <c r="F548" s="695"/>
      <c r="G548" s="695"/>
      <c r="H548" s="695"/>
    </row>
    <row r="549" spans="1:8" ht="30" customHeight="1" x14ac:dyDescent="0.2">
      <c r="A549" s="730">
        <v>3613</v>
      </c>
      <c r="B549" s="797" t="s">
        <v>1283</v>
      </c>
      <c r="C549" s="798">
        <f>SUM(C550:C551)</f>
        <v>300000</v>
      </c>
      <c r="D549" s="798">
        <f>SUM(D550:D551)</f>
        <v>300000</v>
      </c>
      <c r="E549" s="798"/>
      <c r="F549" s="798"/>
      <c r="G549" s="798"/>
      <c r="H549" s="798"/>
    </row>
    <row r="550" spans="1:8" ht="30" customHeight="1" x14ac:dyDescent="0.2">
      <c r="A550" s="796" t="s">
        <v>553</v>
      </c>
      <c r="B550" s="731" t="s">
        <v>1571</v>
      </c>
      <c r="C550" s="695">
        <v>300000</v>
      </c>
      <c r="D550" s="695">
        <v>300000</v>
      </c>
      <c r="E550" s="695"/>
      <c r="F550" s="695"/>
      <c r="G550" s="695"/>
      <c r="H550" s="798"/>
    </row>
    <row r="551" spans="1:8" ht="30" customHeight="1" x14ac:dyDescent="0.2">
      <c r="A551" s="796" t="s">
        <v>1292</v>
      </c>
      <c r="B551" s="731" t="s">
        <v>1572</v>
      </c>
      <c r="C551" s="695">
        <v>0</v>
      </c>
      <c r="D551" s="695">
        <v>0</v>
      </c>
      <c r="E551" s="695"/>
      <c r="F551" s="695"/>
      <c r="G551" s="695"/>
      <c r="H551" s="695"/>
    </row>
    <row r="552" spans="1:8" ht="30" customHeight="1" x14ac:dyDescent="0.2">
      <c r="A552" s="730">
        <v>3631</v>
      </c>
      <c r="B552" s="797" t="s">
        <v>1294</v>
      </c>
      <c r="C552" s="798">
        <f>SUM(C553:C561)</f>
        <v>4150000</v>
      </c>
      <c r="D552" s="798">
        <f>SUM(D553:D561)</f>
        <v>4150000</v>
      </c>
      <c r="E552" s="798"/>
      <c r="F552" s="798"/>
      <c r="G552" s="798"/>
      <c r="H552" s="695"/>
    </row>
    <row r="553" spans="1:8" ht="30" customHeight="1" x14ac:dyDescent="0.2">
      <c r="A553" s="796" t="s">
        <v>1300</v>
      </c>
      <c r="B553" s="731" t="s">
        <v>1573</v>
      </c>
      <c r="C553" s="695">
        <v>0</v>
      </c>
      <c r="D553" s="695">
        <v>0</v>
      </c>
      <c r="E553" s="695"/>
      <c r="F553" s="695"/>
      <c r="G553" s="695"/>
      <c r="H553" s="695"/>
    </row>
    <row r="554" spans="1:8" ht="30" customHeight="1" x14ac:dyDescent="0.2">
      <c r="A554" s="796" t="s">
        <v>567</v>
      </c>
      <c r="B554" s="731" t="s">
        <v>1574</v>
      </c>
      <c r="C554" s="695">
        <v>100000</v>
      </c>
      <c r="D554" s="695">
        <v>100000</v>
      </c>
      <c r="E554" s="695"/>
      <c r="F554" s="695"/>
      <c r="G554" s="695"/>
      <c r="H554" s="798"/>
    </row>
    <row r="555" spans="1:8" ht="30" customHeight="1" x14ac:dyDescent="0.2">
      <c r="A555" s="796" t="s">
        <v>1302</v>
      </c>
      <c r="B555" s="731" t="s">
        <v>1575</v>
      </c>
      <c r="C555" s="695">
        <v>0</v>
      </c>
      <c r="D555" s="695">
        <v>0</v>
      </c>
      <c r="E555" s="695"/>
      <c r="F555" s="695"/>
      <c r="G555" s="695"/>
      <c r="H555" s="695"/>
    </row>
    <row r="556" spans="1:8" ht="30" customHeight="1" x14ac:dyDescent="0.2">
      <c r="A556" s="796" t="s">
        <v>1304</v>
      </c>
      <c r="B556" s="731" t="s">
        <v>1576</v>
      </c>
      <c r="C556" s="695">
        <v>0</v>
      </c>
      <c r="D556" s="695">
        <v>0</v>
      </c>
      <c r="E556" s="695"/>
      <c r="F556" s="695"/>
      <c r="G556" s="695"/>
      <c r="H556" s="695"/>
    </row>
    <row r="557" spans="1:8" ht="30" customHeight="1" x14ac:dyDescent="0.2">
      <c r="A557" s="796" t="s">
        <v>1306</v>
      </c>
      <c r="B557" s="731" t="s">
        <v>1577</v>
      </c>
      <c r="C557" s="695">
        <v>0</v>
      </c>
      <c r="D557" s="695">
        <v>0</v>
      </c>
      <c r="E557" s="695"/>
      <c r="F557" s="695"/>
      <c r="G557" s="695"/>
      <c r="H557" s="841"/>
    </row>
    <row r="558" spans="1:8" ht="30" customHeight="1" x14ac:dyDescent="0.2">
      <c r="A558" s="796" t="s">
        <v>577</v>
      </c>
      <c r="B558" s="731" t="s">
        <v>578</v>
      </c>
      <c r="C558" s="695">
        <v>1750000</v>
      </c>
      <c r="D558" s="695">
        <f>1750000-20160</f>
        <v>1729840</v>
      </c>
      <c r="E558" s="695"/>
      <c r="F558" s="695"/>
      <c r="G558" s="695"/>
      <c r="H558" s="695"/>
    </row>
    <row r="559" spans="1:8" ht="30" customHeight="1" x14ac:dyDescent="0.2">
      <c r="A559" s="796" t="s">
        <v>579</v>
      </c>
      <c r="B559" s="731" t="s">
        <v>1578</v>
      </c>
      <c r="C559" s="695">
        <v>0</v>
      </c>
      <c r="D559" s="695">
        <v>0</v>
      </c>
      <c r="E559" s="695"/>
      <c r="F559" s="695"/>
      <c r="G559" s="695"/>
      <c r="H559" s="842"/>
    </row>
    <row r="560" spans="1:8" ht="30" customHeight="1" x14ac:dyDescent="0.2">
      <c r="A560" s="796" t="s">
        <v>581</v>
      </c>
      <c r="B560" s="731" t="s">
        <v>1579</v>
      </c>
      <c r="C560" s="695">
        <v>2300000</v>
      </c>
      <c r="D560" s="695">
        <v>2300000</v>
      </c>
      <c r="E560" s="695"/>
      <c r="F560" s="695"/>
      <c r="G560" s="695"/>
      <c r="H560" s="843"/>
    </row>
    <row r="561" spans="1:8" ht="30" customHeight="1" x14ac:dyDescent="0.2">
      <c r="A561" s="796" t="s">
        <v>585</v>
      </c>
      <c r="B561" s="731" t="s">
        <v>1580</v>
      </c>
      <c r="C561" s="695">
        <v>0</v>
      </c>
      <c r="D561" s="695">
        <v>20160</v>
      </c>
      <c r="E561" s="695"/>
      <c r="F561" s="695"/>
      <c r="G561" s="695"/>
      <c r="H561" s="843"/>
    </row>
    <row r="562" spans="1:8" ht="30" customHeight="1" x14ac:dyDescent="0.2">
      <c r="A562" s="730">
        <v>3632</v>
      </c>
      <c r="B562" s="797" t="s">
        <v>1309</v>
      </c>
      <c r="C562" s="798">
        <f>SUM(C563:C565)</f>
        <v>850000</v>
      </c>
      <c r="D562" s="798">
        <f>SUM(D563:D565)</f>
        <v>850000</v>
      </c>
      <c r="E562" s="798"/>
      <c r="F562" s="798"/>
      <c r="G562" s="798"/>
      <c r="H562" s="843"/>
    </row>
    <row r="563" spans="1:8" ht="30" customHeight="1" x14ac:dyDescent="0.2">
      <c r="A563" s="796" t="s">
        <v>1581</v>
      </c>
      <c r="B563" s="731" t="s">
        <v>1582</v>
      </c>
      <c r="C563" s="695">
        <v>620000</v>
      </c>
      <c r="D563" s="695">
        <f>620000-12000</f>
        <v>608000</v>
      </c>
      <c r="E563" s="695"/>
      <c r="F563" s="695"/>
      <c r="G563" s="695"/>
      <c r="H563" s="798"/>
    </row>
    <row r="564" spans="1:8" ht="30" customHeight="1" x14ac:dyDescent="0.2">
      <c r="A564" s="796" t="s">
        <v>1581</v>
      </c>
      <c r="B564" s="809" t="s">
        <v>1583</v>
      </c>
      <c r="C564" s="695">
        <v>230000</v>
      </c>
      <c r="D564" s="695">
        <v>230000</v>
      </c>
      <c r="E564" s="695"/>
      <c r="F564" s="695"/>
      <c r="G564" s="695"/>
      <c r="H564" s="843"/>
    </row>
    <row r="565" spans="1:8" ht="30" customHeight="1" x14ac:dyDescent="0.2">
      <c r="A565" s="796" t="s">
        <v>1584</v>
      </c>
      <c r="B565" s="809" t="s">
        <v>1585</v>
      </c>
      <c r="C565" s="695">
        <v>0</v>
      </c>
      <c r="D565" s="695">
        <v>12000</v>
      </c>
      <c r="E565" s="695"/>
      <c r="F565" s="695"/>
      <c r="G565" s="695"/>
      <c r="H565" s="843"/>
    </row>
    <row r="566" spans="1:8" ht="30" customHeight="1" x14ac:dyDescent="0.2">
      <c r="A566" s="730">
        <v>3633</v>
      </c>
      <c r="B566" s="797" t="s">
        <v>1317</v>
      </c>
      <c r="C566" s="798">
        <f>SUM(C567:C568)</f>
        <v>10000</v>
      </c>
      <c r="D566" s="798">
        <f>SUM(D567:D568)</f>
        <v>10000</v>
      </c>
      <c r="E566" s="798"/>
      <c r="F566" s="798"/>
      <c r="G566" s="798"/>
      <c r="H566" s="841"/>
    </row>
    <row r="567" spans="1:8" ht="30" customHeight="1" x14ac:dyDescent="0.2">
      <c r="A567" s="796" t="s">
        <v>592</v>
      </c>
      <c r="B567" s="731" t="s">
        <v>593</v>
      </c>
      <c r="C567" s="695">
        <v>10000</v>
      </c>
      <c r="D567" s="695">
        <v>10000</v>
      </c>
      <c r="E567" s="695"/>
      <c r="F567" s="695"/>
      <c r="G567" s="695"/>
      <c r="H567" s="843"/>
    </row>
    <row r="568" spans="1:8" ht="30" customHeight="1" x14ac:dyDescent="0.2">
      <c r="A568" s="799" t="s">
        <v>594</v>
      </c>
      <c r="B568" s="827" t="s">
        <v>1586</v>
      </c>
      <c r="C568" s="728">
        <v>0</v>
      </c>
      <c r="D568" s="728">
        <v>0</v>
      </c>
      <c r="E568" s="728"/>
      <c r="F568" s="728"/>
      <c r="G568" s="728"/>
      <c r="H568" s="844"/>
    </row>
    <row r="569" spans="1:8" ht="30" customHeight="1" x14ac:dyDescent="0.25">
      <c r="A569" s="621"/>
      <c r="B569" s="845" t="s">
        <v>1587</v>
      </c>
      <c r="C569" s="764">
        <f t="shared" ref="C569:D572" si="15">SUM(C570:C570)</f>
        <v>460000</v>
      </c>
      <c r="D569" s="764">
        <f t="shared" si="15"/>
        <v>460000</v>
      </c>
      <c r="E569" s="764"/>
      <c r="F569" s="764"/>
      <c r="G569" s="764"/>
      <c r="H569" s="846"/>
    </row>
    <row r="570" spans="1:8" ht="30" customHeight="1" x14ac:dyDescent="0.2">
      <c r="A570" s="847" t="s">
        <v>603</v>
      </c>
      <c r="B570" s="848" t="s">
        <v>1588</v>
      </c>
      <c r="C570" s="849">
        <v>460000</v>
      </c>
      <c r="D570" s="849">
        <v>460000</v>
      </c>
      <c r="E570" s="849"/>
      <c r="F570" s="849"/>
      <c r="G570" s="849"/>
      <c r="H570" s="568"/>
    </row>
    <row r="571" spans="1:8" ht="30" customHeight="1" x14ac:dyDescent="0.2">
      <c r="A571" s="850"/>
      <c r="B571" s="851"/>
      <c r="C571" s="828"/>
      <c r="D571" s="828"/>
      <c r="E571" s="828"/>
      <c r="F571" s="828"/>
      <c r="G571" s="828"/>
      <c r="H571" s="852"/>
    </row>
    <row r="572" spans="1:8" s="85" customFormat="1" ht="30" customHeight="1" x14ac:dyDescent="0.3">
      <c r="A572" s="853"/>
      <c r="B572" s="854" t="s">
        <v>31</v>
      </c>
      <c r="C572" s="855">
        <f t="shared" si="15"/>
        <v>15000</v>
      </c>
      <c r="D572" s="855">
        <f t="shared" si="15"/>
        <v>15000</v>
      </c>
      <c r="E572" s="855"/>
      <c r="F572" s="855"/>
      <c r="G572" s="855"/>
      <c r="H572" s="855"/>
    </row>
    <row r="573" spans="1:8" ht="30" customHeight="1" x14ac:dyDescent="0.2">
      <c r="A573" s="856" t="s">
        <v>1589</v>
      </c>
      <c r="B573" s="688" t="s">
        <v>1590</v>
      </c>
      <c r="C573" s="637">
        <v>15000</v>
      </c>
      <c r="D573" s="637">
        <v>15000</v>
      </c>
      <c r="E573" s="637"/>
      <c r="F573" s="637"/>
      <c r="G573" s="637"/>
      <c r="H573" s="807"/>
    </row>
    <row r="574" spans="1:8" s="244" customFormat="1" ht="30" customHeight="1" x14ac:dyDescent="0.25">
      <c r="A574" s="857"/>
      <c r="B574" s="738"/>
      <c r="C574" s="785"/>
      <c r="D574" s="785"/>
      <c r="E574" s="785"/>
      <c r="F574" s="785"/>
      <c r="G574" s="785"/>
      <c r="H574" s="858"/>
    </row>
    <row r="575" spans="1:8" s="558" customFormat="1" ht="30" customHeight="1" x14ac:dyDescent="0.3">
      <c r="A575" s="734"/>
      <c r="B575" s="757" t="s">
        <v>608</v>
      </c>
      <c r="C575" s="859">
        <f t="shared" ref="C575:D575" si="16">SUM(C576:C579)</f>
        <v>13200772</v>
      </c>
      <c r="D575" s="859">
        <f t="shared" si="16"/>
        <v>13802650.27</v>
      </c>
      <c r="E575" s="859"/>
      <c r="F575" s="859"/>
      <c r="G575" s="859"/>
      <c r="H575" s="860"/>
    </row>
    <row r="576" spans="1:8" s="98" customFormat="1" ht="30" customHeight="1" x14ac:dyDescent="0.2">
      <c r="A576" s="660">
        <v>2141</v>
      </c>
      <c r="B576" s="688" t="s">
        <v>1591</v>
      </c>
      <c r="C576" s="637">
        <v>825800</v>
      </c>
      <c r="D576" s="637">
        <v>825800</v>
      </c>
      <c r="E576" s="637"/>
      <c r="F576" s="637"/>
      <c r="G576" s="637"/>
      <c r="H576" s="768"/>
    </row>
    <row r="577" spans="1:8" s="98" customFormat="1" ht="60.75" x14ac:dyDescent="0.2">
      <c r="A577" s="663">
        <v>2143</v>
      </c>
      <c r="B577" s="634" t="s">
        <v>1592</v>
      </c>
      <c r="C577" s="637">
        <v>11485972</v>
      </c>
      <c r="D577" s="637">
        <f>11485972+(70804.8+217373.47)+33700+(50000+150000)+80000</f>
        <v>12087850.27</v>
      </c>
      <c r="E577" s="637"/>
      <c r="F577" s="637"/>
      <c r="G577" s="637"/>
      <c r="H577" s="798"/>
    </row>
    <row r="578" spans="1:8" s="98" customFormat="1" ht="30" customHeight="1" x14ac:dyDescent="0.2">
      <c r="A578" s="663">
        <v>3399</v>
      </c>
      <c r="B578" s="634" t="s">
        <v>1593</v>
      </c>
      <c r="C578" s="637">
        <v>174000</v>
      </c>
      <c r="D578" s="637">
        <v>174000</v>
      </c>
      <c r="E578" s="637"/>
      <c r="F578" s="637"/>
      <c r="G578" s="637"/>
      <c r="H578" s="798"/>
    </row>
    <row r="579" spans="1:8" s="98" customFormat="1" ht="30" customHeight="1" x14ac:dyDescent="0.2">
      <c r="A579" s="663">
        <v>6223</v>
      </c>
      <c r="B579" s="634" t="s">
        <v>1594</v>
      </c>
      <c r="C579" s="637">
        <v>715000</v>
      </c>
      <c r="D579" s="637">
        <v>715000</v>
      </c>
      <c r="E579" s="637"/>
      <c r="F579" s="637"/>
      <c r="G579" s="637"/>
      <c r="H579" s="798"/>
    </row>
    <row r="580" spans="1:8" s="98" customFormat="1" ht="30" customHeight="1" x14ac:dyDescent="0.2">
      <c r="A580" s="861"/>
      <c r="B580" s="862"/>
      <c r="C580" s="785"/>
      <c r="D580" s="785"/>
      <c r="E580" s="785"/>
      <c r="F580" s="785"/>
      <c r="G580" s="785"/>
      <c r="H580" s="863"/>
    </row>
    <row r="581" spans="1:8" s="558" customFormat="1" ht="30" customHeight="1" x14ac:dyDescent="0.3">
      <c r="A581" s="864"/>
      <c r="B581" s="865" t="s">
        <v>33</v>
      </c>
      <c r="C581" s="866">
        <f>SUM(C582,C583)</f>
        <v>10220291</v>
      </c>
      <c r="D581" s="866">
        <f>SUM(D582,D583)</f>
        <v>10451291</v>
      </c>
      <c r="E581" s="866"/>
      <c r="F581" s="866"/>
      <c r="G581" s="866"/>
      <c r="H581" s="860"/>
    </row>
    <row r="582" spans="1:8" s="98" customFormat="1" ht="30" customHeight="1" x14ac:dyDescent="0.2">
      <c r="A582" s="663">
        <v>2223</v>
      </c>
      <c r="B582" s="634" t="s">
        <v>1595</v>
      </c>
      <c r="C582" s="687">
        <v>80000</v>
      </c>
      <c r="D582" s="687">
        <v>80000</v>
      </c>
      <c r="E582" s="687"/>
      <c r="F582" s="687"/>
      <c r="G582" s="687"/>
      <c r="H582" s="631"/>
    </row>
    <row r="583" spans="1:8" s="98" customFormat="1" ht="30" customHeight="1" x14ac:dyDescent="0.2">
      <c r="A583" s="663">
        <v>2292</v>
      </c>
      <c r="B583" s="629" t="s">
        <v>1596</v>
      </c>
      <c r="C583" s="637">
        <f>SUM(C584:C588)</f>
        <v>10140291</v>
      </c>
      <c r="D583" s="637">
        <f>SUM(D584:D588)</f>
        <v>10371291</v>
      </c>
      <c r="E583" s="637"/>
      <c r="F583" s="637"/>
      <c r="G583" s="637"/>
      <c r="H583" s="633"/>
    </row>
    <row r="584" spans="1:8" s="98" customFormat="1" ht="30" customHeight="1" x14ac:dyDescent="0.2">
      <c r="A584" s="663"/>
      <c r="B584" s="643" t="s">
        <v>617</v>
      </c>
      <c r="C584" s="644">
        <v>2078191</v>
      </c>
      <c r="D584" s="644">
        <v>2078191</v>
      </c>
      <c r="E584" s="644"/>
      <c r="F584" s="644"/>
      <c r="G584" s="644"/>
      <c r="H584" s="671"/>
    </row>
    <row r="585" spans="1:8" s="98" customFormat="1" ht="30" customHeight="1" x14ac:dyDescent="0.2">
      <c r="A585" s="663"/>
      <c r="B585" s="643" t="s">
        <v>1597</v>
      </c>
      <c r="C585" s="644">
        <v>7500000</v>
      </c>
      <c r="D585" s="644">
        <f>7500000+231000</f>
        <v>7731000</v>
      </c>
      <c r="E585" s="644"/>
      <c r="F585" s="644"/>
      <c r="G585" s="644"/>
      <c r="H585" s="671"/>
    </row>
    <row r="586" spans="1:8" s="98" customFormat="1" ht="30" customHeight="1" x14ac:dyDescent="0.2">
      <c r="A586" s="663"/>
      <c r="B586" s="650" t="s">
        <v>1598</v>
      </c>
      <c r="C586" s="644">
        <v>150000</v>
      </c>
      <c r="D586" s="644">
        <v>150000</v>
      </c>
      <c r="E586" s="644"/>
      <c r="F586" s="644"/>
      <c r="G586" s="644"/>
      <c r="H586" s="671"/>
    </row>
    <row r="587" spans="1:8" s="98" customFormat="1" ht="30" customHeight="1" x14ac:dyDescent="0.2">
      <c r="A587" s="710"/>
      <c r="B587" s="867" t="s">
        <v>1599</v>
      </c>
      <c r="C587" s="652">
        <v>400000</v>
      </c>
      <c r="D587" s="652">
        <v>400000</v>
      </c>
      <c r="E587" s="652"/>
      <c r="F587" s="652"/>
      <c r="G587" s="652"/>
      <c r="H587" s="671"/>
    </row>
    <row r="588" spans="1:8" s="98" customFormat="1" ht="30" customHeight="1" x14ac:dyDescent="0.2">
      <c r="A588" s="729"/>
      <c r="B588" s="868" t="s">
        <v>1600</v>
      </c>
      <c r="C588" s="678">
        <v>12100</v>
      </c>
      <c r="D588" s="678">
        <v>12100</v>
      </c>
      <c r="E588" s="678"/>
      <c r="F588" s="678"/>
      <c r="G588" s="678"/>
      <c r="H588" s="869"/>
    </row>
    <row r="589" spans="1:8" s="98" customFormat="1" ht="30" customHeight="1" x14ac:dyDescent="0.2">
      <c r="A589" s="863"/>
      <c r="B589" s="868"/>
      <c r="C589" s="682"/>
      <c r="D589" s="682"/>
      <c r="E589" s="682"/>
      <c r="F589" s="682"/>
      <c r="G589" s="682"/>
      <c r="H589" s="870"/>
    </row>
    <row r="590" spans="1:8" s="558" customFormat="1" ht="30" customHeight="1" x14ac:dyDescent="0.3">
      <c r="A590" s="734"/>
      <c r="B590" s="757" t="s">
        <v>34</v>
      </c>
      <c r="C590" s="871">
        <f>SUM(C591:C592)</f>
        <v>162000</v>
      </c>
      <c r="D590" s="871">
        <f>SUM(D591:D592)</f>
        <v>162000</v>
      </c>
      <c r="E590" s="871"/>
      <c r="F590" s="871"/>
      <c r="G590" s="871"/>
      <c r="H590" s="761"/>
    </row>
    <row r="591" spans="1:8" s="98" customFormat="1" ht="30" customHeight="1" x14ac:dyDescent="0.2">
      <c r="A591" s="663">
        <v>2223</v>
      </c>
      <c r="B591" s="629" t="s">
        <v>1601</v>
      </c>
      <c r="C591" s="637">
        <v>150000</v>
      </c>
      <c r="D591" s="637">
        <v>150000</v>
      </c>
      <c r="E591" s="637"/>
      <c r="F591" s="637"/>
      <c r="G591" s="637"/>
      <c r="H591" s="872"/>
    </row>
    <row r="592" spans="1:8" s="98" customFormat="1" ht="30" customHeight="1" x14ac:dyDescent="0.2">
      <c r="A592" s="663">
        <v>6171</v>
      </c>
      <c r="B592" s="629" t="s">
        <v>1602</v>
      </c>
      <c r="C592" s="637">
        <v>12000</v>
      </c>
      <c r="D592" s="637">
        <v>12000</v>
      </c>
      <c r="E592" s="637"/>
      <c r="F592" s="637"/>
      <c r="G592" s="637"/>
      <c r="H592" s="579"/>
    </row>
    <row r="593" spans="1:8" s="98" customFormat="1" ht="30" customHeight="1" x14ac:dyDescent="0.2">
      <c r="A593" s="732"/>
      <c r="B593" s="629"/>
      <c r="C593" s="785"/>
      <c r="D593" s="785"/>
      <c r="E593" s="785"/>
      <c r="F593" s="785"/>
      <c r="G593" s="785"/>
      <c r="H593" s="863"/>
    </row>
    <row r="594" spans="1:8" s="558" customFormat="1" ht="30" customHeight="1" x14ac:dyDescent="0.3">
      <c r="A594" s="864"/>
      <c r="B594" s="757" t="s">
        <v>624</v>
      </c>
      <c r="C594" s="760">
        <f t="shared" ref="C594:D594" si="17">SUM(C595:C596)</f>
        <v>250000</v>
      </c>
      <c r="D594" s="760">
        <f t="shared" si="17"/>
        <v>1114200</v>
      </c>
      <c r="E594" s="760"/>
      <c r="F594" s="760"/>
      <c r="G594" s="760"/>
      <c r="H594" s="761"/>
    </row>
    <row r="595" spans="1:8" s="98" customFormat="1" ht="30" customHeight="1" x14ac:dyDescent="0.2">
      <c r="A595" s="660">
        <v>6115</v>
      </c>
      <c r="B595" s="626" t="s">
        <v>1603</v>
      </c>
      <c r="C595" s="637">
        <v>0</v>
      </c>
      <c r="D595" s="637">
        <v>0</v>
      </c>
      <c r="E595" s="637"/>
      <c r="F595" s="637"/>
      <c r="G595" s="637"/>
      <c r="H595" s="639"/>
    </row>
    <row r="596" spans="1:8" s="98" customFormat="1" ht="30" customHeight="1" x14ac:dyDescent="0.2">
      <c r="A596" s="663">
        <v>6118</v>
      </c>
      <c r="B596" s="629" t="s">
        <v>1604</v>
      </c>
      <c r="C596" s="635">
        <v>250000</v>
      </c>
      <c r="D596" s="635">
        <f>250000+864200</f>
        <v>1114200</v>
      </c>
      <c r="E596" s="635"/>
      <c r="F596" s="635"/>
      <c r="G596" s="635"/>
      <c r="H596" s="636"/>
    </row>
    <row r="597" spans="1:8" s="98" customFormat="1" ht="30" customHeight="1" x14ac:dyDescent="0.2">
      <c r="A597" s="732"/>
      <c r="B597" s="629"/>
      <c r="C597" s="873"/>
      <c r="D597" s="873"/>
      <c r="E597" s="873"/>
      <c r="F597" s="873"/>
      <c r="G597" s="873"/>
      <c r="H597" s="874"/>
    </row>
    <row r="598" spans="1:8" s="875" customFormat="1" ht="30" customHeight="1" x14ac:dyDescent="0.3">
      <c r="A598" s="853"/>
      <c r="B598" s="876" t="s">
        <v>36</v>
      </c>
      <c r="C598" s="871">
        <f t="shared" ref="C598:D598" si="18">C599+C652+C677</f>
        <v>117668120</v>
      </c>
      <c r="D598" s="871">
        <f t="shared" si="18"/>
        <v>132562479.09999999</v>
      </c>
      <c r="E598" s="871"/>
      <c r="F598" s="871"/>
      <c r="G598" s="871"/>
      <c r="H598" s="871"/>
    </row>
    <row r="599" spans="1:8" s="877" customFormat="1" ht="30" customHeight="1" x14ac:dyDescent="0.25">
      <c r="A599" s="802"/>
      <c r="B599" s="878" t="s">
        <v>627</v>
      </c>
      <c r="C599" s="702">
        <f>SUM(C600,C620,C651,C646)</f>
        <v>48246000</v>
      </c>
      <c r="D599" s="702">
        <f>SUM(D600,D620,D651,D646)</f>
        <v>58361535.369999997</v>
      </c>
      <c r="E599" s="702"/>
      <c r="F599" s="702"/>
      <c r="G599" s="702"/>
      <c r="H599" s="879"/>
    </row>
    <row r="600" spans="1:8" s="877" customFormat="1" ht="30" customHeight="1" x14ac:dyDescent="0.2">
      <c r="A600" s="793">
        <v>3111</v>
      </c>
      <c r="B600" s="880" t="s">
        <v>628</v>
      </c>
      <c r="C600" s="807">
        <f>SUM(C601:C603)</f>
        <v>11238000</v>
      </c>
      <c r="D600" s="807">
        <f>SUM(D601:D603)</f>
        <v>11238000</v>
      </c>
      <c r="E600" s="807"/>
      <c r="F600" s="807"/>
      <c r="G600" s="807"/>
      <c r="H600" s="834"/>
    </row>
    <row r="601" spans="1:8" s="877" customFormat="1" ht="30" customHeight="1" x14ac:dyDescent="0.2">
      <c r="A601" s="832"/>
      <c r="B601" s="881" t="s">
        <v>629</v>
      </c>
      <c r="C601" s="695">
        <f t="shared" ref="C601:D603" si="19">+C606+C611+C616</f>
        <v>8640000</v>
      </c>
      <c r="D601" s="695">
        <f t="shared" si="19"/>
        <v>8640000</v>
      </c>
      <c r="E601" s="695"/>
      <c r="F601" s="695"/>
      <c r="G601" s="695"/>
      <c r="H601" s="579"/>
    </row>
    <row r="602" spans="1:8" s="877" customFormat="1" ht="30" customHeight="1" x14ac:dyDescent="0.2">
      <c r="A602" s="832"/>
      <c r="B602" s="881" t="s">
        <v>1605</v>
      </c>
      <c r="C602" s="695">
        <f t="shared" si="19"/>
        <v>2001000</v>
      </c>
      <c r="D602" s="695">
        <f t="shared" si="19"/>
        <v>2001000</v>
      </c>
      <c r="E602" s="695"/>
      <c r="F602" s="695"/>
      <c r="G602" s="695"/>
      <c r="H602" s="579"/>
    </row>
    <row r="603" spans="1:8" s="882" customFormat="1" ht="30" customHeight="1" x14ac:dyDescent="0.25">
      <c r="A603" s="832"/>
      <c r="B603" s="881" t="s">
        <v>1606</v>
      </c>
      <c r="C603" s="695">
        <f t="shared" si="19"/>
        <v>597000</v>
      </c>
      <c r="D603" s="695">
        <f t="shared" si="19"/>
        <v>597000</v>
      </c>
      <c r="E603" s="695"/>
      <c r="F603" s="695"/>
      <c r="G603" s="695"/>
      <c r="H603" s="883"/>
    </row>
    <row r="604" spans="1:8" s="877" customFormat="1" ht="30" customHeight="1" x14ac:dyDescent="0.2">
      <c r="A604" s="832"/>
      <c r="B604" s="881"/>
      <c r="C604" s="695"/>
      <c r="D604" s="695"/>
      <c r="E604" s="695"/>
      <c r="F604" s="695"/>
      <c r="G604" s="695"/>
      <c r="H604" s="579"/>
    </row>
    <row r="605" spans="1:8" s="882" customFormat="1" ht="30" customHeight="1" x14ac:dyDescent="0.25">
      <c r="A605" s="832"/>
      <c r="B605" s="884" t="s">
        <v>1607</v>
      </c>
      <c r="C605" s="798">
        <f>C606+C607+C608</f>
        <v>4061000</v>
      </c>
      <c r="D605" s="798">
        <f>D606+D607+D608</f>
        <v>4061000</v>
      </c>
      <c r="E605" s="798"/>
      <c r="F605" s="798"/>
      <c r="G605" s="798"/>
      <c r="H605" s="883"/>
    </row>
    <row r="606" spans="1:8" s="877" customFormat="1" ht="30" customHeight="1" x14ac:dyDescent="0.2">
      <c r="A606" s="832"/>
      <c r="B606" s="884" t="s">
        <v>1608</v>
      </c>
      <c r="C606" s="816">
        <v>2815000</v>
      </c>
      <c r="D606" s="816">
        <v>2815000</v>
      </c>
      <c r="E606" s="816"/>
      <c r="F606" s="816"/>
      <c r="G606" s="816"/>
      <c r="H606" s="579"/>
    </row>
    <row r="607" spans="1:8" s="885" customFormat="1" ht="30" customHeight="1" x14ac:dyDescent="0.2">
      <c r="A607" s="832" t="s">
        <v>634</v>
      </c>
      <c r="B607" s="884" t="s">
        <v>1609</v>
      </c>
      <c r="C607" s="816">
        <v>1246000</v>
      </c>
      <c r="D607" s="816">
        <v>1246000</v>
      </c>
      <c r="E607" s="816"/>
      <c r="F607" s="816"/>
      <c r="G607" s="816"/>
      <c r="H607" s="842"/>
    </row>
    <row r="608" spans="1:8" s="885" customFormat="1" ht="30" customHeight="1" x14ac:dyDescent="0.2">
      <c r="A608" s="832"/>
      <c r="B608" s="884" t="s">
        <v>1610</v>
      </c>
      <c r="C608" s="816">
        <v>0</v>
      </c>
      <c r="D608" s="816">
        <v>0</v>
      </c>
      <c r="E608" s="816"/>
      <c r="F608" s="816"/>
      <c r="G608" s="816"/>
      <c r="H608" s="842"/>
    </row>
    <row r="609" spans="1:8" s="885" customFormat="1" ht="30" customHeight="1" x14ac:dyDescent="0.2">
      <c r="A609" s="832"/>
      <c r="B609" s="884"/>
      <c r="C609" s="695"/>
      <c r="D609" s="695"/>
      <c r="E609" s="695"/>
      <c r="F609" s="695"/>
      <c r="G609" s="695"/>
      <c r="H609" s="842"/>
    </row>
    <row r="610" spans="1:8" s="885" customFormat="1" ht="30" customHeight="1" x14ac:dyDescent="0.2">
      <c r="A610" s="832"/>
      <c r="B610" s="886" t="s">
        <v>1611</v>
      </c>
      <c r="C610" s="798">
        <f>SUM(C611:C613)</f>
        <v>3456000</v>
      </c>
      <c r="D610" s="798">
        <f>SUM(D611:D613)</f>
        <v>3456000</v>
      </c>
      <c r="E610" s="798"/>
      <c r="F610" s="798"/>
      <c r="G610" s="798"/>
      <c r="H610" s="842"/>
    </row>
    <row r="611" spans="1:8" s="885" customFormat="1" ht="30" customHeight="1" x14ac:dyDescent="0.2">
      <c r="A611" s="832"/>
      <c r="B611" s="884" t="s">
        <v>1612</v>
      </c>
      <c r="C611" s="816">
        <v>3179000</v>
      </c>
      <c r="D611" s="816">
        <v>3179000</v>
      </c>
      <c r="E611" s="816"/>
      <c r="F611" s="816"/>
      <c r="G611" s="816"/>
      <c r="H611" s="842"/>
    </row>
    <row r="612" spans="1:8" s="885" customFormat="1" ht="30" customHeight="1" x14ac:dyDescent="0.2">
      <c r="A612" s="832"/>
      <c r="B612" s="884" t="s">
        <v>1613</v>
      </c>
      <c r="C612" s="816">
        <v>0</v>
      </c>
      <c r="D612" s="816">
        <v>0</v>
      </c>
      <c r="E612" s="816"/>
      <c r="F612" s="816"/>
      <c r="G612" s="816"/>
      <c r="H612" s="842"/>
    </row>
    <row r="613" spans="1:8" s="885" customFormat="1" ht="30" customHeight="1" x14ac:dyDescent="0.2">
      <c r="A613" s="832"/>
      <c r="B613" s="884" t="s">
        <v>1614</v>
      </c>
      <c r="C613" s="816">
        <v>277000</v>
      </c>
      <c r="D613" s="816">
        <v>277000</v>
      </c>
      <c r="E613" s="816"/>
      <c r="F613" s="816"/>
      <c r="G613" s="816"/>
      <c r="H613" s="887"/>
    </row>
    <row r="614" spans="1:8" s="885" customFormat="1" ht="30" customHeight="1" x14ac:dyDescent="0.2">
      <c r="A614" s="832"/>
      <c r="B614" s="884"/>
      <c r="C614" s="816"/>
      <c r="D614" s="816"/>
      <c r="E614" s="816"/>
      <c r="F614" s="816"/>
      <c r="G614" s="816"/>
      <c r="H614" s="842"/>
    </row>
    <row r="615" spans="1:8" s="885" customFormat="1" ht="30" customHeight="1" x14ac:dyDescent="0.2">
      <c r="A615" s="832"/>
      <c r="B615" s="884" t="s">
        <v>1615</v>
      </c>
      <c r="C615" s="798">
        <f>SUM(C616:C618)</f>
        <v>3721000</v>
      </c>
      <c r="D615" s="798">
        <f>SUM(D616:D618)</f>
        <v>3721000</v>
      </c>
      <c r="E615" s="798"/>
      <c r="F615" s="798"/>
      <c r="G615" s="798"/>
      <c r="H615" s="842"/>
    </row>
    <row r="616" spans="1:8" s="885" customFormat="1" ht="30" customHeight="1" x14ac:dyDescent="0.2">
      <c r="A616" s="832"/>
      <c r="B616" s="884" t="s">
        <v>1616</v>
      </c>
      <c r="C616" s="816">
        <v>2646000</v>
      </c>
      <c r="D616" s="816">
        <v>2646000</v>
      </c>
      <c r="E616" s="816"/>
      <c r="F616" s="816"/>
      <c r="G616" s="816"/>
      <c r="H616" s="842"/>
    </row>
    <row r="617" spans="1:8" s="885" customFormat="1" ht="30" customHeight="1" x14ac:dyDescent="0.2">
      <c r="A617" s="832"/>
      <c r="B617" s="884" t="s">
        <v>1617</v>
      </c>
      <c r="C617" s="816">
        <v>755000</v>
      </c>
      <c r="D617" s="816">
        <v>755000</v>
      </c>
      <c r="E617" s="816"/>
      <c r="F617" s="816"/>
      <c r="G617" s="816"/>
      <c r="H617" s="842"/>
    </row>
    <row r="618" spans="1:8" s="885" customFormat="1" ht="30" customHeight="1" x14ac:dyDescent="0.2">
      <c r="A618" s="832"/>
      <c r="B618" s="884" t="s">
        <v>1618</v>
      </c>
      <c r="C618" s="816">
        <v>320000</v>
      </c>
      <c r="D618" s="816">
        <v>320000</v>
      </c>
      <c r="E618" s="816"/>
      <c r="F618" s="816"/>
      <c r="G618" s="816"/>
      <c r="H618" s="842"/>
    </row>
    <row r="619" spans="1:8" s="885" customFormat="1" ht="42.75" customHeight="1" x14ac:dyDescent="0.2">
      <c r="A619" s="832"/>
      <c r="B619" s="884"/>
      <c r="C619" s="816"/>
      <c r="D619" s="816"/>
      <c r="E619" s="816"/>
      <c r="F619" s="816"/>
      <c r="G619" s="816"/>
      <c r="H619" s="842"/>
    </row>
    <row r="620" spans="1:8" s="885" customFormat="1" ht="42.75" customHeight="1" x14ac:dyDescent="0.2">
      <c r="A620" s="730">
        <v>3113</v>
      </c>
      <c r="B620" s="888" t="s">
        <v>644</v>
      </c>
      <c r="C620" s="798">
        <f>SUM(C621:C624)</f>
        <v>34258000</v>
      </c>
      <c r="D620" s="798">
        <f>SUM(D621:D624)</f>
        <v>41791172.369999997</v>
      </c>
      <c r="E620" s="798"/>
      <c r="F620" s="798"/>
      <c r="G620" s="798"/>
      <c r="H620" s="842"/>
    </row>
    <row r="621" spans="1:8" s="885" customFormat="1" ht="42.75" customHeight="1" x14ac:dyDescent="0.2">
      <c r="A621" s="730"/>
      <c r="B621" s="884" t="s">
        <v>645</v>
      </c>
      <c r="C621" s="816">
        <v>400000</v>
      </c>
      <c r="D621" s="816">
        <f>400000+6348</f>
        <v>406348</v>
      </c>
      <c r="E621" s="816"/>
      <c r="F621" s="816"/>
      <c r="G621" s="816"/>
      <c r="H621" s="842"/>
    </row>
    <row r="622" spans="1:8" s="885" customFormat="1" ht="42.75" customHeight="1" x14ac:dyDescent="0.2">
      <c r="A622" s="832"/>
      <c r="B622" s="884" t="s">
        <v>646</v>
      </c>
      <c r="C622" s="695">
        <f t="shared" ref="C622:D624" si="20">+C627+C632+C637+C642</f>
        <v>26483000</v>
      </c>
      <c r="D622" s="695">
        <f t="shared" si="20"/>
        <v>33131355.369999997</v>
      </c>
      <c r="E622" s="695"/>
      <c r="F622" s="695"/>
      <c r="G622" s="695"/>
      <c r="H622" s="842"/>
    </row>
    <row r="623" spans="1:8" s="885" customFormat="1" ht="42.75" customHeight="1" x14ac:dyDescent="0.2">
      <c r="A623" s="832"/>
      <c r="B623" s="884" t="s">
        <v>647</v>
      </c>
      <c r="C623" s="695">
        <f t="shared" si="20"/>
        <v>2985000</v>
      </c>
      <c r="D623" s="695">
        <f t="shared" si="20"/>
        <v>3468075</v>
      </c>
      <c r="E623" s="695"/>
      <c r="F623" s="695"/>
      <c r="G623" s="695"/>
      <c r="H623" s="842"/>
    </row>
    <row r="624" spans="1:8" s="885" customFormat="1" ht="42.75" customHeight="1" x14ac:dyDescent="0.2">
      <c r="A624" s="832"/>
      <c r="B624" s="884" t="s">
        <v>648</v>
      </c>
      <c r="C624" s="889">
        <f t="shared" si="20"/>
        <v>4390000</v>
      </c>
      <c r="D624" s="889">
        <f t="shared" si="20"/>
        <v>4785394</v>
      </c>
      <c r="E624" s="889"/>
      <c r="F624" s="889"/>
      <c r="G624" s="889"/>
      <c r="H624" s="842"/>
    </row>
    <row r="625" spans="1:8" s="877" customFormat="1" ht="42.75" customHeight="1" x14ac:dyDescent="0.2">
      <c r="A625" s="832"/>
      <c r="B625" s="884"/>
      <c r="C625" s="889"/>
      <c r="D625" s="889"/>
      <c r="E625" s="889"/>
      <c r="F625" s="889"/>
      <c r="G625" s="889"/>
      <c r="H625" s="579"/>
    </row>
    <row r="626" spans="1:8" s="885" customFormat="1" ht="42.75" customHeight="1" x14ac:dyDescent="0.2">
      <c r="A626" s="832"/>
      <c r="B626" s="884" t="s">
        <v>1619</v>
      </c>
      <c r="C626" s="798">
        <f>SUM(C627:C629)</f>
        <v>10197000</v>
      </c>
      <c r="D626" s="798">
        <f>SUM(D627:D629)</f>
        <v>11431954.85</v>
      </c>
      <c r="E626" s="798"/>
      <c r="F626" s="798"/>
      <c r="G626" s="798"/>
      <c r="H626" s="842"/>
    </row>
    <row r="627" spans="1:8" s="885" customFormat="1" ht="42.75" customHeight="1" x14ac:dyDescent="0.2">
      <c r="A627" s="832"/>
      <c r="B627" s="884" t="s">
        <v>1620</v>
      </c>
      <c r="C627" s="816">
        <f>9447000</f>
        <v>9447000</v>
      </c>
      <c r="D627" s="816">
        <f>9447000+(4752.88+26932.97)</f>
        <v>9478685.8499999996</v>
      </c>
      <c r="E627" s="816"/>
      <c r="F627" s="816"/>
      <c r="G627" s="816"/>
      <c r="H627" s="842"/>
    </row>
    <row r="628" spans="1:8" s="885" customFormat="1" ht="42.75" customHeight="1" x14ac:dyDescent="0.2">
      <c r="A628" s="832"/>
      <c r="B628" s="884" t="s">
        <v>1621</v>
      </c>
      <c r="C628" s="816">
        <v>150000</v>
      </c>
      <c r="D628" s="816">
        <f>150000+(89825+296450)</f>
        <v>536275</v>
      </c>
      <c r="E628" s="816"/>
      <c r="F628" s="816"/>
      <c r="G628" s="816"/>
      <c r="H628" s="842"/>
    </row>
    <row r="629" spans="1:8" s="885" customFormat="1" ht="42.75" customHeight="1" x14ac:dyDescent="0.2">
      <c r="A629" s="832"/>
      <c r="B629" s="884" t="s">
        <v>1982</v>
      </c>
      <c r="C629" s="816">
        <f>500000+600000-500000</f>
        <v>600000</v>
      </c>
      <c r="D629" s="816">
        <f>500000+600000-500000+603790+213204</f>
        <v>1416994</v>
      </c>
      <c r="E629" s="816"/>
      <c r="F629" s="816"/>
      <c r="G629" s="816"/>
      <c r="H629" s="842"/>
    </row>
    <row r="630" spans="1:8" s="885" customFormat="1" ht="42.75" customHeight="1" x14ac:dyDescent="0.2">
      <c r="A630" s="832"/>
      <c r="B630" s="884"/>
      <c r="C630" s="695"/>
      <c r="D630" s="695"/>
      <c r="E630" s="695"/>
      <c r="F630" s="695"/>
      <c r="G630" s="695"/>
      <c r="H630" s="842"/>
    </row>
    <row r="631" spans="1:8" s="885" customFormat="1" ht="42.75" customHeight="1" x14ac:dyDescent="0.2">
      <c r="A631" s="832"/>
      <c r="B631" s="884" t="s">
        <v>1623</v>
      </c>
      <c r="C631" s="798">
        <f>SUM(C632:C634)</f>
        <v>6765000</v>
      </c>
      <c r="D631" s="798">
        <f>SUM(D632:D634)</f>
        <v>10000589.35</v>
      </c>
      <c r="E631" s="798"/>
      <c r="F631" s="798"/>
      <c r="G631" s="798"/>
      <c r="H631" s="842"/>
    </row>
    <row r="632" spans="1:8" s="885" customFormat="1" ht="42.75" customHeight="1" x14ac:dyDescent="0.2">
      <c r="A632" s="832"/>
      <c r="B632" s="884" t="s">
        <v>1624</v>
      </c>
      <c r="C632" s="816">
        <v>5565000</v>
      </c>
      <c r="D632" s="816">
        <f>5565000+(1005316.48+3315837.52)+(1806.05+10234.3)+5595</f>
        <v>9903789.3499999996</v>
      </c>
      <c r="E632" s="816"/>
      <c r="F632" s="816"/>
      <c r="G632" s="816"/>
      <c r="H632" s="842"/>
    </row>
    <row r="633" spans="1:8" s="885" customFormat="1" ht="42.75" customHeight="1" x14ac:dyDescent="0.2">
      <c r="A633" s="832"/>
      <c r="B633" s="884" t="s">
        <v>1625</v>
      </c>
      <c r="C633" s="816">
        <v>0</v>
      </c>
      <c r="D633" s="816">
        <v>96800</v>
      </c>
      <c r="E633" s="816"/>
      <c r="F633" s="816"/>
      <c r="G633" s="816"/>
      <c r="H633" s="842"/>
    </row>
    <row r="634" spans="1:8" s="885" customFormat="1" ht="42.75" customHeight="1" x14ac:dyDescent="0.2">
      <c r="A634" s="832"/>
      <c r="B634" s="884" t="s">
        <v>1626</v>
      </c>
      <c r="C634" s="816">
        <f>1200000</f>
        <v>1200000</v>
      </c>
      <c r="D634" s="816">
        <f>1200000-1200000</f>
        <v>0</v>
      </c>
      <c r="E634" s="816"/>
      <c r="F634" s="816"/>
      <c r="G634" s="816"/>
      <c r="H634" s="842"/>
    </row>
    <row r="635" spans="1:8" s="885" customFormat="1" ht="42.75" customHeight="1" x14ac:dyDescent="0.2">
      <c r="A635" s="832"/>
      <c r="B635" s="884"/>
      <c r="C635" s="695"/>
      <c r="D635" s="695"/>
      <c r="E635" s="695"/>
      <c r="F635" s="695"/>
      <c r="G635" s="695"/>
      <c r="H635" s="842"/>
    </row>
    <row r="636" spans="1:8" s="885" customFormat="1" ht="42.75" customHeight="1" x14ac:dyDescent="0.2">
      <c r="A636" s="832"/>
      <c r="B636" s="884" t="s">
        <v>1627</v>
      </c>
      <c r="C636" s="798">
        <f>SUM(C637:C639)</f>
        <v>7346000</v>
      </c>
      <c r="D636" s="798">
        <f>SUM(D637:D639)</f>
        <v>7384087.1699999999</v>
      </c>
      <c r="E636" s="798"/>
      <c r="F636" s="798"/>
      <c r="G636" s="798"/>
      <c r="H636" s="842"/>
    </row>
    <row r="637" spans="1:8" s="885" customFormat="1" ht="42.75" customHeight="1" x14ac:dyDescent="0.2">
      <c r="A637" s="832"/>
      <c r="B637" s="884" t="s">
        <v>1628</v>
      </c>
      <c r="C637" s="816">
        <v>4661000</v>
      </c>
      <c r="D637" s="816">
        <f>4661000+(5713.08+32374.09)</f>
        <v>4699087.17</v>
      </c>
      <c r="E637" s="816"/>
      <c r="F637" s="816"/>
      <c r="G637" s="816"/>
      <c r="H637" s="842"/>
    </row>
    <row r="638" spans="1:8" s="885" customFormat="1" ht="42.75" customHeight="1" x14ac:dyDescent="0.2">
      <c r="A638" s="832"/>
      <c r="B638" s="884" t="s">
        <v>1629</v>
      </c>
      <c r="C638" s="816">
        <v>1285000</v>
      </c>
      <c r="D638" s="816">
        <f>1285000</f>
        <v>1285000</v>
      </c>
      <c r="E638" s="816"/>
      <c r="F638" s="816"/>
      <c r="G638" s="816"/>
      <c r="H638" s="842"/>
    </row>
    <row r="639" spans="1:8" s="885" customFormat="1" ht="42.75" customHeight="1" x14ac:dyDescent="0.2">
      <c r="A639" s="832"/>
      <c r="B639" s="884" t="s">
        <v>1630</v>
      </c>
      <c r="C639" s="816">
        <f>1400000</f>
        <v>1400000</v>
      </c>
      <c r="D639" s="816">
        <f>1400000</f>
        <v>1400000</v>
      </c>
      <c r="E639" s="816"/>
      <c r="F639" s="816"/>
      <c r="G639" s="816"/>
      <c r="H639" s="842"/>
    </row>
    <row r="640" spans="1:8" s="885" customFormat="1" ht="42.75" customHeight="1" x14ac:dyDescent="0.2">
      <c r="A640" s="832"/>
      <c r="B640" s="884"/>
      <c r="C640" s="795"/>
      <c r="D640" s="795"/>
      <c r="E640" s="795"/>
      <c r="F640" s="795"/>
      <c r="G640" s="795"/>
      <c r="H640" s="842"/>
    </row>
    <row r="641" spans="1:8" s="885" customFormat="1" ht="42.75" customHeight="1" x14ac:dyDescent="0.2">
      <c r="A641" s="832"/>
      <c r="B641" s="884" t="s">
        <v>1631</v>
      </c>
      <c r="C641" s="798">
        <f>SUM(C642:C644)</f>
        <v>9550000</v>
      </c>
      <c r="D641" s="798">
        <f>SUM(D642:D644)</f>
        <v>12568193</v>
      </c>
      <c r="E641" s="798"/>
      <c r="F641" s="798"/>
      <c r="G641" s="798"/>
      <c r="H641" s="842"/>
    </row>
    <row r="642" spans="1:8" s="885" customFormat="1" ht="42.75" customHeight="1" x14ac:dyDescent="0.2">
      <c r="A642" s="832"/>
      <c r="B642" s="884" t="s">
        <v>1632</v>
      </c>
      <c r="C642" s="816">
        <v>6810000</v>
      </c>
      <c r="D642" s="816">
        <f>6810000+5208+(519876.2+1714708.8)</f>
        <v>9049793</v>
      </c>
      <c r="E642" s="816"/>
      <c r="F642" s="816"/>
      <c r="G642" s="816"/>
      <c r="H642" s="842"/>
    </row>
    <row r="643" spans="1:8" s="885" customFormat="1" ht="42.75" customHeight="1" x14ac:dyDescent="0.2">
      <c r="A643" s="832"/>
      <c r="B643" s="884" t="s">
        <v>1633</v>
      </c>
      <c r="C643" s="816">
        <f>3250000-1700000</f>
        <v>1550000</v>
      </c>
      <c r="D643" s="816">
        <f>3250000-1700000</f>
        <v>1550000</v>
      </c>
      <c r="E643" s="816"/>
      <c r="F643" s="816"/>
      <c r="G643" s="816"/>
      <c r="H643" s="842"/>
    </row>
    <row r="644" spans="1:8" s="885" customFormat="1" ht="42.75" customHeight="1" x14ac:dyDescent="0.2">
      <c r="A644" s="832"/>
      <c r="B644" s="884" t="s">
        <v>1634</v>
      </c>
      <c r="C644" s="816">
        <f>1190000</f>
        <v>1190000</v>
      </c>
      <c r="D644" s="816">
        <f>1190000+1700000+(-1100000-30000+48400+160000)</f>
        <v>1968400</v>
      </c>
      <c r="E644" s="816"/>
      <c r="F644" s="816"/>
      <c r="G644" s="816"/>
      <c r="H644" s="842"/>
    </row>
    <row r="645" spans="1:8" s="885" customFormat="1" ht="42.75" customHeight="1" x14ac:dyDescent="0.2">
      <c r="A645" s="832"/>
      <c r="B645" s="884"/>
      <c r="C645" s="816"/>
      <c r="D645" s="816"/>
      <c r="E645" s="816"/>
      <c r="F645" s="816"/>
      <c r="G645" s="816"/>
      <c r="H645" s="842"/>
    </row>
    <row r="646" spans="1:8" s="885" customFormat="1" ht="42.75" customHeight="1" x14ac:dyDescent="0.2">
      <c r="A646" s="730">
        <v>3233</v>
      </c>
      <c r="B646" s="888" t="s">
        <v>665</v>
      </c>
      <c r="C646" s="798">
        <f>C647</f>
        <v>2670000</v>
      </c>
      <c r="D646" s="798">
        <f>D647</f>
        <v>5252363</v>
      </c>
      <c r="E646" s="798"/>
      <c r="F646" s="798"/>
      <c r="G646" s="798"/>
      <c r="H646" s="842"/>
    </row>
    <row r="647" spans="1:8" s="885" customFormat="1" ht="42.75" customHeight="1" x14ac:dyDescent="0.2">
      <c r="A647" s="730"/>
      <c r="B647" s="884" t="s">
        <v>1635</v>
      </c>
      <c r="C647" s="889">
        <f>SUM(C648:C650)</f>
        <v>2670000</v>
      </c>
      <c r="D647" s="889">
        <f>SUM(D648:D650)</f>
        <v>5252363</v>
      </c>
      <c r="E647" s="890"/>
      <c r="F647" s="890"/>
      <c r="G647" s="890"/>
      <c r="H647" s="842"/>
    </row>
    <row r="648" spans="1:8" s="885" customFormat="1" ht="42.75" customHeight="1" x14ac:dyDescent="0.2">
      <c r="A648" s="730"/>
      <c r="B648" s="884" t="s">
        <v>1636</v>
      </c>
      <c r="C648" s="816">
        <v>2267000</v>
      </c>
      <c r="D648" s="816">
        <f>2267000+210200+(551883.72+1820279.28)</f>
        <v>4849363</v>
      </c>
      <c r="E648" s="816"/>
      <c r="F648" s="816"/>
      <c r="G648" s="816"/>
      <c r="H648" s="842"/>
    </row>
    <row r="649" spans="1:8" s="885" customFormat="1" ht="42.75" customHeight="1" x14ac:dyDescent="0.2">
      <c r="A649" s="730"/>
      <c r="B649" s="884" t="s">
        <v>1637</v>
      </c>
      <c r="C649" s="816">
        <v>275000</v>
      </c>
      <c r="D649" s="816">
        <v>275000</v>
      </c>
      <c r="E649" s="816"/>
      <c r="F649" s="816"/>
      <c r="G649" s="816"/>
      <c r="H649" s="842"/>
    </row>
    <row r="650" spans="1:8" s="885" customFormat="1" ht="42.75" customHeight="1" x14ac:dyDescent="0.2">
      <c r="A650" s="730"/>
      <c r="B650" s="884" t="s">
        <v>1638</v>
      </c>
      <c r="C650" s="816">
        <f>+(4175+41+87-175-4000)*1000</f>
        <v>128000</v>
      </c>
      <c r="D650" s="816">
        <f>+(4175+41+87-175-4000)*1000</f>
        <v>128000</v>
      </c>
      <c r="E650" s="816"/>
      <c r="F650" s="816"/>
      <c r="G650" s="816"/>
      <c r="H650" s="842"/>
    </row>
    <row r="651" spans="1:8" s="877" customFormat="1" ht="42.75" customHeight="1" x14ac:dyDescent="0.2">
      <c r="A651" s="730">
        <v>3419</v>
      </c>
      <c r="B651" s="888" t="s">
        <v>1639</v>
      </c>
      <c r="C651" s="795">
        <v>80000</v>
      </c>
      <c r="D651" s="795">
        <v>80000</v>
      </c>
      <c r="E651" s="795"/>
      <c r="F651" s="795"/>
      <c r="G651" s="795"/>
      <c r="H651" s="583"/>
    </row>
    <row r="652" spans="1:8" s="877" customFormat="1" ht="42.75" customHeight="1" x14ac:dyDescent="0.25">
      <c r="A652" s="802"/>
      <c r="B652" s="878" t="s">
        <v>671</v>
      </c>
      <c r="C652" s="702">
        <f t="shared" ref="C652:D652" si="21">SUM(C653,C656,C659,C664,C668,C675)</f>
        <v>47038000</v>
      </c>
      <c r="D652" s="702">
        <f t="shared" si="21"/>
        <v>51669687.730000004</v>
      </c>
      <c r="E652" s="702"/>
      <c r="F652" s="702"/>
      <c r="G652" s="702"/>
      <c r="H652" s="702"/>
    </row>
    <row r="653" spans="1:8" s="877" customFormat="1" ht="42.75" customHeight="1" x14ac:dyDescent="0.2">
      <c r="A653" s="891">
        <v>3311</v>
      </c>
      <c r="B653" s="892" t="s">
        <v>1640</v>
      </c>
      <c r="C653" s="795">
        <f>SUM(C654:C655)</f>
        <v>14547000</v>
      </c>
      <c r="D653" s="795">
        <f>SUM(D654:D655)</f>
        <v>14501545</v>
      </c>
      <c r="E653" s="795"/>
      <c r="F653" s="795"/>
      <c r="G653" s="795"/>
      <c r="H653" s="834"/>
    </row>
    <row r="654" spans="1:8" s="877" customFormat="1" ht="42.75" customHeight="1" x14ac:dyDescent="0.2">
      <c r="A654" s="893"/>
      <c r="B654" s="894" t="s">
        <v>1641</v>
      </c>
      <c r="C654" s="816">
        <v>14547000</v>
      </c>
      <c r="D654" s="816">
        <f>14547000-45455</f>
        <v>14501545</v>
      </c>
      <c r="E654" s="816"/>
      <c r="F654" s="816"/>
      <c r="G654" s="816"/>
      <c r="H654" s="579"/>
    </row>
    <row r="655" spans="1:8" s="877" customFormat="1" ht="42.75" customHeight="1" x14ac:dyDescent="0.2">
      <c r="A655" s="893"/>
      <c r="B655" s="894" t="s">
        <v>1642</v>
      </c>
      <c r="C655" s="816">
        <v>0</v>
      </c>
      <c r="D655" s="816">
        <v>0</v>
      </c>
      <c r="E655" s="816"/>
      <c r="F655" s="816"/>
      <c r="G655" s="816"/>
      <c r="H655" s="579"/>
    </row>
    <row r="656" spans="1:8" s="885" customFormat="1" ht="42.75" customHeight="1" x14ac:dyDescent="0.2">
      <c r="A656" s="895">
        <v>3319</v>
      </c>
      <c r="B656" s="896" t="s">
        <v>676</v>
      </c>
      <c r="C656" s="798">
        <f>SUM(C657:C658)</f>
        <v>1160000</v>
      </c>
      <c r="D656" s="798">
        <f>SUM(D657:D658)</f>
        <v>1165000</v>
      </c>
      <c r="E656" s="798"/>
      <c r="F656" s="798"/>
      <c r="G656" s="798"/>
      <c r="H656" s="842"/>
    </row>
    <row r="657" spans="1:8" s="885" customFormat="1" ht="42.75" customHeight="1" x14ac:dyDescent="0.2">
      <c r="A657" s="895"/>
      <c r="B657" s="894" t="s">
        <v>1643</v>
      </c>
      <c r="C657" s="816">
        <v>530000</v>
      </c>
      <c r="D657" s="816">
        <v>530000</v>
      </c>
      <c r="E657" s="816"/>
      <c r="F657" s="816"/>
      <c r="G657" s="816"/>
      <c r="H657" s="842"/>
    </row>
    <row r="658" spans="1:8" s="885" customFormat="1" ht="42.75" customHeight="1" x14ac:dyDescent="0.2">
      <c r="A658" s="895"/>
      <c r="B658" s="897" t="s">
        <v>678</v>
      </c>
      <c r="C658" s="816">
        <v>630000</v>
      </c>
      <c r="D658" s="816">
        <f>630000+5000</f>
        <v>635000</v>
      </c>
      <c r="E658" s="816"/>
      <c r="F658" s="816"/>
      <c r="G658" s="816"/>
      <c r="H658" s="842"/>
    </row>
    <row r="659" spans="1:8" s="885" customFormat="1" ht="42.75" customHeight="1" x14ac:dyDescent="0.2">
      <c r="A659" s="895" t="s">
        <v>1644</v>
      </c>
      <c r="B659" s="896" t="s">
        <v>679</v>
      </c>
      <c r="C659" s="798">
        <f>C660+C661+C662+C663</f>
        <v>811000</v>
      </c>
      <c r="D659" s="798">
        <f>D660+D661+D662+D663</f>
        <v>930570</v>
      </c>
      <c r="E659" s="798"/>
      <c r="F659" s="798"/>
      <c r="G659" s="798"/>
      <c r="H659" s="842"/>
    </row>
    <row r="660" spans="1:8" s="885" customFormat="1" ht="42.75" customHeight="1" x14ac:dyDescent="0.2">
      <c r="A660" s="893"/>
      <c r="B660" s="894" t="s">
        <v>1645</v>
      </c>
      <c r="C660" s="816">
        <v>20000</v>
      </c>
      <c r="D660" s="816">
        <v>20000</v>
      </c>
      <c r="E660" s="816"/>
      <c r="F660" s="816"/>
      <c r="G660" s="816"/>
      <c r="H660" s="842"/>
    </row>
    <row r="661" spans="1:8" s="885" customFormat="1" ht="42.75" customHeight="1" x14ac:dyDescent="0.2">
      <c r="A661" s="893"/>
      <c r="B661" s="894" t="s">
        <v>1646</v>
      </c>
      <c r="C661" s="816">
        <v>100000</v>
      </c>
      <c r="D661" s="816">
        <v>100000</v>
      </c>
      <c r="E661" s="816"/>
      <c r="F661" s="816"/>
      <c r="G661" s="816"/>
      <c r="H661" s="842"/>
    </row>
    <row r="662" spans="1:8" s="885" customFormat="1" ht="42.75" customHeight="1" x14ac:dyDescent="0.2">
      <c r="A662" s="893"/>
      <c r="B662" s="894" t="s">
        <v>1647</v>
      </c>
      <c r="C662" s="816">
        <v>91000</v>
      </c>
      <c r="D662" s="816">
        <v>91000</v>
      </c>
      <c r="E662" s="816"/>
      <c r="F662" s="816"/>
      <c r="G662" s="816"/>
      <c r="H662" s="842"/>
    </row>
    <row r="663" spans="1:8" s="877" customFormat="1" ht="42.75" customHeight="1" x14ac:dyDescent="0.2">
      <c r="A663" s="893"/>
      <c r="B663" s="894" t="s">
        <v>1648</v>
      </c>
      <c r="C663" s="816">
        <v>600000</v>
      </c>
      <c r="D663" s="816">
        <f>600000+19570+100000</f>
        <v>719570</v>
      </c>
      <c r="E663" s="816"/>
      <c r="F663" s="816"/>
      <c r="G663" s="816"/>
      <c r="H663" s="579"/>
    </row>
    <row r="664" spans="1:8" s="877" customFormat="1" ht="42.75" customHeight="1" x14ac:dyDescent="0.2">
      <c r="A664" s="895" t="s">
        <v>1649</v>
      </c>
      <c r="B664" s="896" t="s">
        <v>684</v>
      </c>
      <c r="C664" s="798">
        <f>C665+C666+C667</f>
        <v>1715000</v>
      </c>
      <c r="D664" s="798">
        <f>D665+D666+D667</f>
        <v>1715000</v>
      </c>
      <c r="E664" s="798"/>
      <c r="F664" s="798"/>
      <c r="G664" s="798"/>
      <c r="H664" s="579"/>
    </row>
    <row r="665" spans="1:8" s="877" customFormat="1" ht="42.75" customHeight="1" x14ac:dyDescent="0.2">
      <c r="A665" s="893"/>
      <c r="B665" s="894" t="s">
        <v>1650</v>
      </c>
      <c r="C665" s="816">
        <v>1700000</v>
      </c>
      <c r="D665" s="816">
        <v>1700000</v>
      </c>
      <c r="E665" s="816"/>
      <c r="F665" s="816"/>
      <c r="G665" s="816"/>
      <c r="H665" s="579"/>
    </row>
    <row r="666" spans="1:8" s="877" customFormat="1" ht="42.75" customHeight="1" x14ac:dyDescent="0.2">
      <c r="A666" s="893"/>
      <c r="B666" s="894"/>
      <c r="C666" s="816">
        <v>0</v>
      </c>
      <c r="D666" s="816">
        <v>0</v>
      </c>
      <c r="E666" s="816"/>
      <c r="F666" s="816"/>
      <c r="G666" s="816"/>
      <c r="H666" s="579"/>
    </row>
    <row r="667" spans="1:8" s="877" customFormat="1" ht="42.75" customHeight="1" x14ac:dyDescent="0.2">
      <c r="A667" s="893"/>
      <c r="B667" s="894" t="s">
        <v>1651</v>
      </c>
      <c r="C667" s="816">
        <v>15000</v>
      </c>
      <c r="D667" s="816">
        <v>15000</v>
      </c>
      <c r="E667" s="816"/>
      <c r="F667" s="816"/>
      <c r="G667" s="816"/>
      <c r="H667" s="579"/>
    </row>
    <row r="668" spans="1:8" s="885" customFormat="1" ht="42.75" customHeight="1" x14ac:dyDescent="0.2">
      <c r="A668" s="895">
        <v>3392</v>
      </c>
      <c r="B668" s="896" t="s">
        <v>687</v>
      </c>
      <c r="C668" s="798">
        <f>C670+C669</f>
        <v>28535000</v>
      </c>
      <c r="D668" s="798">
        <f>D670+D669</f>
        <v>33087572.73</v>
      </c>
      <c r="E668" s="798"/>
      <c r="F668" s="798"/>
      <c r="G668" s="798"/>
      <c r="H668" s="842"/>
    </row>
    <row r="669" spans="1:8" s="885" customFormat="1" ht="42.75" customHeight="1" x14ac:dyDescent="0.2">
      <c r="A669" s="895"/>
      <c r="B669" s="894" t="s">
        <v>688</v>
      </c>
      <c r="C669" s="816">
        <v>26000</v>
      </c>
      <c r="D669" s="816">
        <v>26000</v>
      </c>
      <c r="E669" s="816"/>
      <c r="F669" s="816"/>
      <c r="G669" s="816"/>
      <c r="H669" s="842"/>
    </row>
    <row r="670" spans="1:8" s="885" customFormat="1" ht="42.75" customHeight="1" x14ac:dyDescent="0.2">
      <c r="A670" s="893"/>
      <c r="B670" s="894" t="s">
        <v>1652</v>
      </c>
      <c r="C670" s="798">
        <f t="shared" ref="C670:D670" si="22">SUM(C671+C674+C673)</f>
        <v>28509000</v>
      </c>
      <c r="D670" s="798">
        <f t="shared" si="22"/>
        <v>33061572.73</v>
      </c>
      <c r="E670" s="798"/>
      <c r="F670" s="798"/>
      <c r="G670" s="798"/>
      <c r="H670" s="842"/>
    </row>
    <row r="671" spans="1:8" s="885" customFormat="1" ht="42.75" customHeight="1" x14ac:dyDescent="0.2">
      <c r="A671" s="893"/>
      <c r="B671" s="894" t="s">
        <v>1653</v>
      </c>
      <c r="C671" s="816">
        <v>27025000</v>
      </c>
      <c r="D671" s="816">
        <f>27025000+4551000+4562-2989.27</f>
        <v>31577572.73</v>
      </c>
      <c r="E671" s="816"/>
      <c r="F671" s="816"/>
      <c r="G671" s="816"/>
      <c r="H671" s="842"/>
    </row>
    <row r="672" spans="1:8" s="885" customFormat="1" ht="42.75" customHeight="1" x14ac:dyDescent="0.2">
      <c r="A672" s="893"/>
      <c r="B672" s="894" t="s">
        <v>1654</v>
      </c>
      <c r="C672" s="816"/>
      <c r="D672" s="816"/>
      <c r="E672" s="816"/>
      <c r="F672" s="816"/>
      <c r="G672" s="816"/>
      <c r="H672" s="842"/>
    </row>
    <row r="673" spans="1:8" s="877" customFormat="1" ht="42.75" customHeight="1" x14ac:dyDescent="0.2">
      <c r="A673" s="893"/>
      <c r="B673" s="894" t="s">
        <v>1655</v>
      </c>
      <c r="C673" s="816">
        <v>0</v>
      </c>
      <c r="D673" s="816">
        <v>0</v>
      </c>
      <c r="E673" s="816"/>
      <c r="F673" s="816"/>
      <c r="G673" s="816"/>
      <c r="H673" s="579"/>
    </row>
    <row r="674" spans="1:8" s="877" customFormat="1" ht="42.75" customHeight="1" x14ac:dyDescent="0.2">
      <c r="A674" s="893"/>
      <c r="B674" s="894" t="s">
        <v>1656</v>
      </c>
      <c r="C674" s="816">
        <f>484000+1000000</f>
        <v>1484000</v>
      </c>
      <c r="D674" s="816">
        <f>484000+1000000</f>
        <v>1484000</v>
      </c>
      <c r="E674" s="816"/>
      <c r="F674" s="816"/>
      <c r="G674" s="816"/>
      <c r="H674" s="579"/>
    </row>
    <row r="675" spans="1:8" s="885" customFormat="1" ht="42.75" customHeight="1" x14ac:dyDescent="0.2">
      <c r="A675" s="895">
        <v>3399</v>
      </c>
      <c r="B675" s="896" t="s">
        <v>694</v>
      </c>
      <c r="C675" s="798">
        <f>C676</f>
        <v>270000</v>
      </c>
      <c r="D675" s="798">
        <f>D676</f>
        <v>270000</v>
      </c>
      <c r="E675" s="798"/>
      <c r="F675" s="798"/>
      <c r="G675" s="798"/>
      <c r="H675" s="842"/>
    </row>
    <row r="676" spans="1:8" s="885" customFormat="1" ht="42.75" customHeight="1" x14ac:dyDescent="0.2">
      <c r="A676" s="893"/>
      <c r="B676" s="894" t="s">
        <v>695</v>
      </c>
      <c r="C676" s="816">
        <v>270000</v>
      </c>
      <c r="D676" s="816">
        <v>270000</v>
      </c>
      <c r="E676" s="816"/>
      <c r="F676" s="816"/>
      <c r="G676" s="816"/>
      <c r="H676" s="852"/>
    </row>
    <row r="677" spans="1:8" s="885" customFormat="1" ht="42.75" customHeight="1" x14ac:dyDescent="0.25">
      <c r="A677" s="802"/>
      <c r="B677" s="803" t="s">
        <v>696</v>
      </c>
      <c r="C677" s="898">
        <f t="shared" ref="C677:D677" si="23">C678</f>
        <v>22384120</v>
      </c>
      <c r="D677" s="898">
        <f t="shared" si="23"/>
        <v>22531256</v>
      </c>
      <c r="E677" s="898"/>
      <c r="F677" s="898"/>
      <c r="G677" s="898"/>
      <c r="H677" s="898"/>
    </row>
    <row r="678" spans="1:8" s="885" customFormat="1" ht="42.75" customHeight="1" x14ac:dyDescent="0.2">
      <c r="A678" s="730"/>
      <c r="B678" s="880" t="s">
        <v>697</v>
      </c>
      <c r="C678" s="632">
        <f>SUM(C679:C688)</f>
        <v>22384120</v>
      </c>
      <c r="D678" s="632">
        <f>SUM(D679:D688)</f>
        <v>22531256</v>
      </c>
      <c r="E678" s="632"/>
      <c r="F678" s="632"/>
      <c r="G678" s="632"/>
      <c r="H678" s="568"/>
    </row>
    <row r="679" spans="1:8" s="877" customFormat="1" ht="42.75" customHeight="1" x14ac:dyDescent="0.2">
      <c r="A679" s="832"/>
      <c r="B679" s="884" t="s">
        <v>698</v>
      </c>
      <c r="C679" s="816">
        <v>1125000</v>
      </c>
      <c r="D679" s="816">
        <v>1125000</v>
      </c>
      <c r="E679" s="816"/>
      <c r="F679" s="816"/>
      <c r="G679" s="816"/>
      <c r="H679" s="579"/>
    </row>
    <row r="680" spans="1:8" s="877" customFormat="1" ht="42.75" customHeight="1" x14ac:dyDescent="0.2">
      <c r="A680" s="832"/>
      <c r="B680" s="884" t="s">
        <v>699</v>
      </c>
      <c r="C680" s="816">
        <v>375000</v>
      </c>
      <c r="D680" s="816">
        <f>375000-30000</f>
        <v>345000</v>
      </c>
      <c r="E680" s="816"/>
      <c r="F680" s="816"/>
      <c r="G680" s="816"/>
      <c r="H680" s="579"/>
    </row>
    <row r="681" spans="1:8" s="877" customFormat="1" ht="42.75" customHeight="1" x14ac:dyDescent="0.2">
      <c r="A681" s="832"/>
      <c r="B681" s="884" t="s">
        <v>700</v>
      </c>
      <c r="C681" s="816">
        <v>3700000</v>
      </c>
      <c r="D681" s="816">
        <v>3700000</v>
      </c>
      <c r="E681" s="816"/>
      <c r="F681" s="816"/>
      <c r="G681" s="816"/>
      <c r="H681" s="579"/>
    </row>
    <row r="682" spans="1:8" s="885" customFormat="1" ht="42.75" customHeight="1" x14ac:dyDescent="0.2">
      <c r="A682" s="832"/>
      <c r="B682" s="884" t="s">
        <v>701</v>
      </c>
      <c r="C682" s="816">
        <v>6150000</v>
      </c>
      <c r="D682" s="816">
        <f>6150000-200000</f>
        <v>5950000</v>
      </c>
      <c r="E682" s="816"/>
      <c r="F682" s="816"/>
      <c r="G682" s="816"/>
      <c r="H682" s="842"/>
    </row>
    <row r="683" spans="1:8" s="885" customFormat="1" ht="42.75" customHeight="1" x14ac:dyDescent="0.2">
      <c r="A683" s="832"/>
      <c r="B683" s="884" t="s">
        <v>702</v>
      </c>
      <c r="C683" s="816">
        <v>50000</v>
      </c>
      <c r="D683" s="816">
        <v>50000</v>
      </c>
      <c r="E683" s="816"/>
      <c r="F683" s="816"/>
      <c r="G683" s="816"/>
      <c r="H683" s="842"/>
    </row>
    <row r="684" spans="1:8" s="885" customFormat="1" ht="42.75" customHeight="1" x14ac:dyDescent="0.2">
      <c r="A684" s="832"/>
      <c r="B684" s="884" t="s">
        <v>703</v>
      </c>
      <c r="C684" s="816">
        <v>8100000</v>
      </c>
      <c r="D684" s="816">
        <v>8100000</v>
      </c>
      <c r="E684" s="816"/>
      <c r="F684" s="816"/>
      <c r="G684" s="816"/>
      <c r="H684" s="842"/>
    </row>
    <row r="685" spans="1:8" s="885" customFormat="1" ht="42.75" customHeight="1" x14ac:dyDescent="0.2">
      <c r="A685" s="832"/>
      <c r="B685" s="884" t="s">
        <v>706</v>
      </c>
      <c r="C685" s="816">
        <v>1065000</v>
      </c>
      <c r="D685" s="816">
        <f>1065000-25000-10000</f>
        <v>1030000</v>
      </c>
      <c r="E685" s="816"/>
      <c r="F685" s="816"/>
      <c r="G685" s="816"/>
      <c r="H685" s="842"/>
    </row>
    <row r="686" spans="1:8" s="885" customFormat="1" ht="42.75" customHeight="1" x14ac:dyDescent="0.2">
      <c r="A686" s="832"/>
      <c r="B686" s="884" t="s">
        <v>707</v>
      </c>
      <c r="C686" s="816">
        <v>135000</v>
      </c>
      <c r="D686" s="816">
        <v>135000</v>
      </c>
      <c r="E686" s="816"/>
      <c r="F686" s="816"/>
      <c r="G686" s="816"/>
      <c r="H686" s="842"/>
    </row>
    <row r="687" spans="1:8" s="885" customFormat="1" ht="42.75" customHeight="1" x14ac:dyDescent="0.2">
      <c r="A687" s="832"/>
      <c r="B687" s="884" t="s">
        <v>708</v>
      </c>
      <c r="C687" s="816">
        <v>500000</v>
      </c>
      <c r="D687" s="816">
        <v>500000</v>
      </c>
      <c r="E687" s="816"/>
      <c r="F687" s="816"/>
      <c r="G687" s="816"/>
      <c r="H687" s="842"/>
    </row>
    <row r="688" spans="1:8" s="885" customFormat="1" ht="42.75" customHeight="1" x14ac:dyDescent="0.2">
      <c r="A688" s="730"/>
      <c r="B688" s="884" t="s">
        <v>1657</v>
      </c>
      <c r="C688" s="816">
        <f>+(273+555.3+50.82+90+15+200)*1000</f>
        <v>1184120</v>
      </c>
      <c r="D688" s="816">
        <f>(+(273+555.3+50.82+90+15+200)*1000)+30000+25000+200000+10000+147136</f>
        <v>1596256</v>
      </c>
      <c r="E688" s="816"/>
      <c r="F688" s="816"/>
      <c r="G688" s="816"/>
      <c r="H688" s="842"/>
    </row>
    <row r="689" spans="1:8" ht="42.75" customHeight="1" x14ac:dyDescent="0.2">
      <c r="A689" s="663"/>
      <c r="B689" s="899"/>
      <c r="C689" s="694"/>
      <c r="D689" s="694"/>
      <c r="E689" s="694"/>
      <c r="F689" s="694"/>
      <c r="G689" s="694"/>
      <c r="H689" s="900"/>
    </row>
    <row r="690" spans="1:8" s="85" customFormat="1" ht="42.75" customHeight="1" x14ac:dyDescent="0.3">
      <c r="A690" s="734"/>
      <c r="B690" s="757" t="s">
        <v>710</v>
      </c>
      <c r="C690" s="901">
        <f>C691</f>
        <v>28556700</v>
      </c>
      <c r="D690" s="901">
        <f>D691</f>
        <v>28556700</v>
      </c>
      <c r="E690" s="901"/>
      <c r="F690" s="901"/>
      <c r="G690" s="901"/>
      <c r="H690" s="860"/>
    </row>
    <row r="691" spans="1:8" ht="30" customHeight="1" x14ac:dyDescent="0.2">
      <c r="A691" s="663">
        <v>5311</v>
      </c>
      <c r="B691" s="629" t="s">
        <v>711</v>
      </c>
      <c r="C691" s="637">
        <f>SUM(18300+4538.4+1647+ 0+2+350+2+132.5+143+20+264+1+245+30+3+109+3+635+275+200+15+50+10+100+6+123.8+170+750+432 )*1000</f>
        <v>28556700</v>
      </c>
      <c r="D691" s="637">
        <f>SUM(18300+4538.4+1647+ 0+2+350+2+132.5+143+20+264+1+245+30+3+109+3+635+275+200+15+50+10+100+6+123.8+170+750+432 )*1000</f>
        <v>28556700</v>
      </c>
      <c r="E691" s="637"/>
      <c r="F691" s="637"/>
      <c r="G691" s="637"/>
      <c r="H691" s="768"/>
    </row>
    <row r="692" spans="1:8" ht="76.5" x14ac:dyDescent="0.2">
      <c r="A692" s="663"/>
      <c r="B692" s="650" t="s">
        <v>1658</v>
      </c>
      <c r="C692" s="902" t="s">
        <v>1659</v>
      </c>
      <c r="D692" s="902" t="s">
        <v>1659</v>
      </c>
      <c r="E692" s="902"/>
      <c r="F692" s="902"/>
      <c r="G692" s="902"/>
      <c r="H692" s="903"/>
    </row>
    <row r="693" spans="1:8" ht="30" customHeight="1" x14ac:dyDescent="0.2">
      <c r="A693" s="732"/>
      <c r="B693" s="904"/>
      <c r="C693" s="682"/>
      <c r="D693" s="682"/>
      <c r="E693" s="682"/>
      <c r="F693" s="682"/>
      <c r="G693" s="682"/>
      <c r="H693" s="900"/>
    </row>
    <row r="694" spans="1:8" s="85" customFormat="1" ht="30" customHeight="1" x14ac:dyDescent="0.3">
      <c r="A694" s="734"/>
      <c r="B694" s="757" t="s">
        <v>41</v>
      </c>
      <c r="C694" s="871">
        <f>SUM(C695:C702)+C711+C712</f>
        <v>31499210</v>
      </c>
      <c r="D694" s="871">
        <f>SUM(D695:D702)+D711+D712</f>
        <v>33098319.009999998</v>
      </c>
      <c r="E694" s="871"/>
      <c r="F694" s="871"/>
      <c r="G694" s="871"/>
      <c r="H694" s="905"/>
    </row>
    <row r="695" spans="1:8" ht="36.75" x14ac:dyDescent="0.25">
      <c r="A695" s="906">
        <v>3429</v>
      </c>
      <c r="B695" s="650" t="s">
        <v>1660</v>
      </c>
      <c r="C695" s="687">
        <v>690000</v>
      </c>
      <c r="D695" s="687">
        <f>690000+(70000+80000+50000)</f>
        <v>890000</v>
      </c>
      <c r="E695" s="687"/>
      <c r="F695" s="687"/>
      <c r="G695" s="687"/>
      <c r="H695" s="907"/>
    </row>
    <row r="696" spans="1:8" s="98" customFormat="1" ht="36.75" x14ac:dyDescent="0.2">
      <c r="A696" s="660">
        <v>5212</v>
      </c>
      <c r="B696" s="688" t="s">
        <v>1661</v>
      </c>
      <c r="C696" s="637">
        <v>110000</v>
      </c>
      <c r="D696" s="637">
        <v>110000</v>
      </c>
      <c r="E696" s="637"/>
      <c r="F696" s="637"/>
      <c r="G696" s="637"/>
      <c r="H696" s="639"/>
    </row>
    <row r="697" spans="1:8" s="244" customFormat="1" ht="36.75" x14ac:dyDescent="0.25">
      <c r="A697" s="663">
        <v>5213</v>
      </c>
      <c r="B697" s="634" t="s">
        <v>1662</v>
      </c>
      <c r="C697" s="637">
        <v>200000</v>
      </c>
      <c r="D697" s="637">
        <v>200000</v>
      </c>
      <c r="E697" s="637"/>
      <c r="F697" s="637"/>
      <c r="G697" s="637"/>
      <c r="H697" s="639"/>
    </row>
    <row r="698" spans="1:8" s="98" customFormat="1" ht="30" customHeight="1" x14ac:dyDescent="0.2">
      <c r="A698" s="663">
        <v>5273</v>
      </c>
      <c r="B698" s="634" t="s">
        <v>1663</v>
      </c>
      <c r="C698" s="637">
        <v>5000</v>
      </c>
      <c r="D698" s="637">
        <v>5000</v>
      </c>
      <c r="E698" s="637"/>
      <c r="F698" s="637"/>
      <c r="G698" s="637"/>
      <c r="H698" s="636"/>
    </row>
    <row r="699" spans="1:8" s="244" customFormat="1" ht="30" customHeight="1" x14ac:dyDescent="0.25">
      <c r="A699" s="663">
        <v>5511</v>
      </c>
      <c r="B699" s="634" t="s">
        <v>1664</v>
      </c>
      <c r="C699" s="637">
        <v>2100000</v>
      </c>
      <c r="D699" s="637">
        <v>2100000</v>
      </c>
      <c r="E699" s="637"/>
      <c r="F699" s="637"/>
      <c r="G699" s="637"/>
      <c r="H699" s="636"/>
    </row>
    <row r="700" spans="1:8" s="244" customFormat="1" ht="36.75" x14ac:dyDescent="0.25">
      <c r="A700" s="663">
        <v>5512</v>
      </c>
      <c r="B700" s="634" t="s">
        <v>1665</v>
      </c>
      <c r="C700" s="637">
        <v>125000</v>
      </c>
      <c r="D700" s="637">
        <v>125000</v>
      </c>
      <c r="E700" s="637"/>
      <c r="F700" s="637"/>
      <c r="G700" s="637"/>
      <c r="H700" s="636"/>
    </row>
    <row r="701" spans="1:8" s="244" customFormat="1" ht="30" customHeight="1" x14ac:dyDescent="0.25">
      <c r="A701" s="663">
        <v>6112</v>
      </c>
      <c r="B701" s="634" t="s">
        <v>1666</v>
      </c>
      <c r="C701" s="637">
        <v>0</v>
      </c>
      <c r="D701" s="637">
        <v>0</v>
      </c>
      <c r="E701" s="637"/>
      <c r="F701" s="637"/>
      <c r="G701" s="637"/>
      <c r="H701" s="636"/>
    </row>
    <row r="702" spans="1:8" s="244" customFormat="1" ht="30" customHeight="1" x14ac:dyDescent="0.25">
      <c r="A702" s="663">
        <v>6171</v>
      </c>
      <c r="B702" s="629" t="s">
        <v>719</v>
      </c>
      <c r="C702" s="635">
        <f>SUM(C703:C710)</f>
        <v>26719210</v>
      </c>
      <c r="D702" s="635">
        <f>SUM(D703:D710)</f>
        <v>26741919.009999998</v>
      </c>
      <c r="E702" s="635"/>
      <c r="F702" s="635"/>
      <c r="G702" s="635"/>
      <c r="H702" s="633"/>
    </row>
    <row r="703" spans="1:8" s="244" customFormat="1" ht="132" x14ac:dyDescent="0.25">
      <c r="A703" s="663"/>
      <c r="B703" s="908" t="s">
        <v>1667</v>
      </c>
      <c r="C703" s="644">
        <v>19068500</v>
      </c>
      <c r="D703" s="644">
        <f>19068500-70000+16216</f>
        <v>19014716</v>
      </c>
      <c r="E703" s="644"/>
      <c r="F703" s="644"/>
      <c r="G703" s="644"/>
      <c r="H703" s="651"/>
    </row>
    <row r="704" spans="1:8" s="244" customFormat="1" ht="30" customHeight="1" x14ac:dyDescent="0.25">
      <c r="A704" s="663"/>
      <c r="B704" s="908" t="s">
        <v>1668</v>
      </c>
      <c r="C704" s="644">
        <v>200000</v>
      </c>
      <c r="D704" s="644">
        <v>200000</v>
      </c>
      <c r="E704" s="644"/>
      <c r="F704" s="644"/>
      <c r="G704" s="644"/>
      <c r="H704" s="651"/>
    </row>
    <row r="705" spans="1:10" ht="30" customHeight="1" x14ac:dyDescent="0.2">
      <c r="A705" s="646"/>
      <c r="B705" s="1119" t="s">
        <v>1984</v>
      </c>
      <c r="C705" s="644">
        <v>0</v>
      </c>
      <c r="D705" s="644">
        <f>(8051.9+68441.11)+(9438+4719+80223)+(27733.2+13866.6+235732.2)+(-8051.9-68441.11)</f>
        <v>371712</v>
      </c>
      <c r="E705" s="816"/>
      <c r="F705" s="816"/>
      <c r="G705" s="816"/>
      <c r="H705" s="816"/>
      <c r="I705" s="1072"/>
      <c r="J705" s="1037"/>
    </row>
    <row r="706" spans="1:10" s="98" customFormat="1" ht="36" x14ac:dyDescent="0.2">
      <c r="A706" s="664"/>
      <c r="B706" s="909" t="s">
        <v>1669</v>
      </c>
      <c r="C706" s="644">
        <v>5480300</v>
      </c>
      <c r="D706" s="644">
        <f>5480300-94380-277332+76493.01</f>
        <v>5185081.01</v>
      </c>
      <c r="E706" s="644"/>
      <c r="F706" s="644"/>
      <c r="G706" s="644"/>
      <c r="H706" s="651"/>
    </row>
    <row r="707" spans="1:10" ht="30" customHeight="1" x14ac:dyDescent="0.2">
      <c r="A707" s="664"/>
      <c r="B707" s="909" t="s">
        <v>1670</v>
      </c>
      <c r="C707" s="644">
        <v>1512810</v>
      </c>
      <c r="D707" s="644">
        <v>1512810</v>
      </c>
      <c r="E707" s="644"/>
      <c r="F707" s="644"/>
      <c r="G707" s="644"/>
      <c r="H707" s="651"/>
    </row>
    <row r="708" spans="1:10" ht="30" customHeight="1" x14ac:dyDescent="0.2">
      <c r="A708" s="664"/>
      <c r="B708" s="643" t="s">
        <v>1671</v>
      </c>
      <c r="C708" s="644">
        <v>200000</v>
      </c>
      <c r="D708" s="644">
        <v>200000</v>
      </c>
      <c r="E708" s="644"/>
      <c r="F708" s="644"/>
      <c r="G708" s="644"/>
      <c r="H708" s="651"/>
    </row>
    <row r="709" spans="1:10" ht="30" customHeight="1" x14ac:dyDescent="0.2">
      <c r="A709" s="664"/>
      <c r="B709" s="643" t="s">
        <v>1672</v>
      </c>
      <c r="C709" s="644">
        <v>60000</v>
      </c>
      <c r="D709" s="644">
        <v>60000</v>
      </c>
      <c r="E709" s="644"/>
      <c r="F709" s="644"/>
      <c r="G709" s="644"/>
      <c r="H709" s="651"/>
    </row>
    <row r="710" spans="1:10" ht="30" customHeight="1" x14ac:dyDescent="0.2">
      <c r="A710" s="664"/>
      <c r="B710" s="650" t="s">
        <v>1673</v>
      </c>
      <c r="C710" s="644">
        <v>197600</v>
      </c>
      <c r="D710" s="644">
        <v>197600</v>
      </c>
      <c r="E710" s="644"/>
      <c r="F710" s="644"/>
      <c r="G710" s="644"/>
      <c r="H710" s="651"/>
    </row>
    <row r="711" spans="1:10" ht="30" customHeight="1" x14ac:dyDescent="0.2">
      <c r="A711" s="663">
        <v>6221</v>
      </c>
      <c r="B711" s="1120" t="s">
        <v>1985</v>
      </c>
      <c r="C711" s="637">
        <v>0</v>
      </c>
      <c r="D711" s="637">
        <f>227100+232500+210000+231000+234000+241800</f>
        <v>1376400</v>
      </c>
      <c r="E711" s="637"/>
      <c r="F711" s="637"/>
      <c r="G711" s="637"/>
      <c r="H711" s="651"/>
    </row>
    <row r="712" spans="1:10" ht="30" customHeight="1" x14ac:dyDescent="0.2">
      <c r="A712" s="663">
        <v>6320</v>
      </c>
      <c r="B712" s="629" t="s">
        <v>1675</v>
      </c>
      <c r="C712" s="637">
        <v>1550000</v>
      </c>
      <c r="D712" s="637">
        <v>1550000</v>
      </c>
      <c r="E712" s="637"/>
      <c r="F712" s="637"/>
      <c r="G712" s="637"/>
      <c r="H712" s="636"/>
    </row>
    <row r="713" spans="1:10" ht="30" customHeight="1" x14ac:dyDescent="0.2">
      <c r="A713" s="861"/>
      <c r="B713" s="910"/>
      <c r="C713" s="682"/>
      <c r="D713" s="682"/>
      <c r="E713" s="682"/>
      <c r="F713" s="682"/>
      <c r="G713" s="682"/>
      <c r="H713" s="911"/>
    </row>
    <row r="714" spans="1:10" s="85" customFormat="1" ht="30" customHeight="1" x14ac:dyDescent="0.3">
      <c r="A714" s="734"/>
      <c r="B714" s="757" t="s">
        <v>729</v>
      </c>
      <c r="C714" s="912">
        <f t="shared" ref="C714:D714" si="24">C716+C717+C721+C715</f>
        <v>166253060</v>
      </c>
      <c r="D714" s="912">
        <f t="shared" si="24"/>
        <v>167777260</v>
      </c>
      <c r="E714" s="912"/>
      <c r="F714" s="912"/>
      <c r="G714" s="912"/>
      <c r="H714" s="913"/>
    </row>
    <row r="715" spans="1:10" s="98" customFormat="1" ht="30" customHeight="1" x14ac:dyDescent="0.2">
      <c r="A715" s="699">
        <v>3341</v>
      </c>
      <c r="B715" s="924" t="s">
        <v>1676</v>
      </c>
      <c r="C715" s="637">
        <v>2601000</v>
      </c>
      <c r="D715" s="637">
        <f>2601000+508200</f>
        <v>3109200</v>
      </c>
      <c r="E715" s="637"/>
      <c r="F715" s="637"/>
      <c r="G715" s="637"/>
      <c r="H715" s="915"/>
    </row>
    <row r="716" spans="1:10" s="98" customFormat="1" ht="36.75" x14ac:dyDescent="0.2">
      <c r="A716" s="663">
        <v>6112</v>
      </c>
      <c r="B716" s="634" t="s">
        <v>1677</v>
      </c>
      <c r="C716" s="637">
        <v>9066800</v>
      </c>
      <c r="D716" s="637">
        <f>9066800+(400000+36000)+67000</f>
        <v>9569800</v>
      </c>
      <c r="E716" s="637"/>
      <c r="F716" s="637"/>
      <c r="G716" s="637"/>
      <c r="H716" s="729"/>
    </row>
    <row r="717" spans="1:10" x14ac:dyDescent="0.2">
      <c r="A717" s="663">
        <v>6171</v>
      </c>
      <c r="B717" s="629" t="s">
        <v>719</v>
      </c>
      <c r="C717" s="637">
        <f t="shared" ref="C717:D717" si="25">SUM(C718:C720)</f>
        <v>148579260</v>
      </c>
      <c r="D717" s="637">
        <f t="shared" si="25"/>
        <v>149186260</v>
      </c>
      <c r="E717" s="637"/>
      <c r="F717" s="637"/>
      <c r="G717" s="637"/>
      <c r="H717" s="916"/>
    </row>
    <row r="718" spans="1:10" ht="39" customHeight="1" x14ac:dyDescent="0.2">
      <c r="A718" s="660"/>
      <c r="B718" s="917" t="s">
        <v>1678</v>
      </c>
      <c r="C718" s="644">
        <f>130618600+94000</f>
        <v>130712600</v>
      </c>
      <c r="D718" s="644">
        <f>130618600+94000-15000+(-103000-27000)+94000-67000</f>
        <v>130594600</v>
      </c>
      <c r="E718" s="644"/>
      <c r="F718" s="644"/>
      <c r="G718" s="644"/>
      <c r="H718" s="746"/>
    </row>
    <row r="719" spans="1:10" ht="30" customHeight="1" x14ac:dyDescent="0.25">
      <c r="A719" s="918"/>
      <c r="B719" s="650" t="s">
        <v>1679</v>
      </c>
      <c r="C719" s="644">
        <v>9025940</v>
      </c>
      <c r="D719" s="644">
        <f>9025940+15000+804000</f>
        <v>9844940</v>
      </c>
      <c r="E719" s="644"/>
      <c r="F719" s="644"/>
      <c r="G719" s="644"/>
      <c r="H719" s="751"/>
    </row>
    <row r="720" spans="1:10" ht="36.75" x14ac:dyDescent="0.25">
      <c r="A720" s="918"/>
      <c r="B720" s="634" t="s">
        <v>1680</v>
      </c>
      <c r="C720" s="644">
        <f>8934720-94000</f>
        <v>8840720</v>
      </c>
      <c r="D720" s="644">
        <f>8934720-94000-94000</f>
        <v>8746720</v>
      </c>
      <c r="E720" s="644"/>
      <c r="F720" s="644"/>
      <c r="G720" s="644"/>
      <c r="H720" s="746"/>
    </row>
    <row r="721" spans="1:8" ht="30" customHeight="1" x14ac:dyDescent="0.2">
      <c r="A721" s="663">
        <v>6330</v>
      </c>
      <c r="B721" s="629" t="s">
        <v>734</v>
      </c>
      <c r="C721" s="919">
        <v>6006000</v>
      </c>
      <c r="D721" s="919">
        <f>6006000-94000</f>
        <v>5912000</v>
      </c>
      <c r="E721" s="919"/>
      <c r="F721" s="919"/>
      <c r="G721" s="919"/>
      <c r="H721" s="696"/>
    </row>
    <row r="722" spans="1:8" s="85" customFormat="1" ht="30" customHeight="1" x14ac:dyDescent="0.3">
      <c r="A722" s="734"/>
      <c r="B722" s="757" t="s">
        <v>43</v>
      </c>
      <c r="C722" s="920">
        <f>C723+C750</f>
        <v>15923250</v>
      </c>
      <c r="D722" s="920">
        <f>D723+D750</f>
        <v>15923250</v>
      </c>
      <c r="E722" s="920"/>
      <c r="F722" s="920"/>
      <c r="G722" s="920"/>
      <c r="H722" s="921"/>
    </row>
    <row r="723" spans="1:8" ht="30" customHeight="1" x14ac:dyDescent="0.25">
      <c r="A723" s="621"/>
      <c r="B723" s="657" t="s">
        <v>735</v>
      </c>
      <c r="C723" s="623">
        <f>C724+C725+C726+C727+C730+C732+C734+C736+C738+C740+C748+C749</f>
        <v>1300000</v>
      </c>
      <c r="D723" s="623">
        <f>D724+D725+D726+D727+D730+D732+D734+D736+D738+D740+D748+D749</f>
        <v>1300000</v>
      </c>
      <c r="E723" s="623"/>
      <c r="F723" s="623"/>
      <c r="G723" s="623"/>
      <c r="H723" s="742"/>
    </row>
    <row r="724" spans="1:8" ht="30" customHeight="1" x14ac:dyDescent="0.2">
      <c r="A724" s="663">
        <v>2293</v>
      </c>
      <c r="B724" s="629" t="s">
        <v>736</v>
      </c>
      <c r="C724" s="637">
        <v>0</v>
      </c>
      <c r="D724" s="637">
        <v>0</v>
      </c>
      <c r="E724" s="637"/>
      <c r="F724" s="637"/>
      <c r="G724" s="637"/>
      <c r="H724" s="639"/>
    </row>
    <row r="725" spans="1:8" ht="30" customHeight="1" x14ac:dyDescent="0.2">
      <c r="A725" s="663">
        <v>3613</v>
      </c>
      <c r="B725" s="629" t="s">
        <v>1681</v>
      </c>
      <c r="C725" s="637">
        <v>3000</v>
      </c>
      <c r="D725" s="637">
        <v>3000</v>
      </c>
      <c r="E725" s="637"/>
      <c r="F725" s="637"/>
      <c r="G725" s="637"/>
      <c r="H725" s="639"/>
    </row>
    <row r="726" spans="1:8" s="244" customFormat="1" ht="30" customHeight="1" x14ac:dyDescent="0.25">
      <c r="A726" s="663">
        <v>3632</v>
      </c>
      <c r="B726" s="629" t="s">
        <v>1682</v>
      </c>
      <c r="C726" s="637">
        <v>200000</v>
      </c>
      <c r="D726" s="637">
        <v>200000</v>
      </c>
      <c r="E726" s="637"/>
      <c r="F726" s="637"/>
      <c r="G726" s="637"/>
      <c r="H726" s="639"/>
    </row>
    <row r="727" spans="1:8" s="244" customFormat="1" ht="30" customHeight="1" x14ac:dyDescent="0.25">
      <c r="A727" s="663">
        <v>4329</v>
      </c>
      <c r="B727" s="629" t="s">
        <v>739</v>
      </c>
      <c r="C727" s="635">
        <f t="shared" ref="C727:D727" si="26">SUM(C728:C729)</f>
        <v>258000</v>
      </c>
      <c r="D727" s="635">
        <f t="shared" si="26"/>
        <v>258000</v>
      </c>
      <c r="E727" s="635"/>
      <c r="F727" s="635"/>
      <c r="G727" s="635"/>
      <c r="H727" s="636"/>
    </row>
    <row r="728" spans="1:8" s="98" customFormat="1" ht="30" customHeight="1" x14ac:dyDescent="0.2">
      <c r="A728" s="663"/>
      <c r="B728" s="672" t="s">
        <v>1683</v>
      </c>
      <c r="C728" s="644">
        <v>8000</v>
      </c>
      <c r="D728" s="644">
        <v>8000</v>
      </c>
      <c r="E728" s="644"/>
      <c r="F728" s="644"/>
      <c r="G728" s="644"/>
      <c r="H728" s="670"/>
    </row>
    <row r="729" spans="1:8" s="98" customFormat="1" ht="30" customHeight="1" x14ac:dyDescent="0.2">
      <c r="A729" s="663"/>
      <c r="B729" s="672" t="s">
        <v>1684</v>
      </c>
      <c r="C729" s="644">
        <v>250000</v>
      </c>
      <c r="D729" s="644">
        <v>250000</v>
      </c>
      <c r="E729" s="644"/>
      <c r="F729" s="644"/>
      <c r="G729" s="644"/>
      <c r="H729" s="670"/>
    </row>
    <row r="730" spans="1:8" s="98" customFormat="1" ht="30" customHeight="1" x14ac:dyDescent="0.2">
      <c r="A730" s="663">
        <v>4344</v>
      </c>
      <c r="B730" s="629" t="s">
        <v>745</v>
      </c>
      <c r="C730" s="635">
        <f t="shared" ref="C730:D738" si="27">SUM(C731:C731)</f>
        <v>0</v>
      </c>
      <c r="D730" s="635">
        <f t="shared" si="27"/>
        <v>0</v>
      </c>
      <c r="E730" s="635"/>
      <c r="F730" s="635"/>
      <c r="G730" s="635"/>
      <c r="H730" s="636"/>
    </row>
    <row r="731" spans="1:8" s="98" customFormat="1" ht="30" customHeight="1" x14ac:dyDescent="0.2">
      <c r="A731" s="664"/>
      <c r="B731" s="629" t="s">
        <v>1685</v>
      </c>
      <c r="C731" s="644">
        <v>0</v>
      </c>
      <c r="D731" s="644">
        <v>0</v>
      </c>
      <c r="E731" s="644"/>
      <c r="F731" s="644"/>
      <c r="G731" s="644"/>
      <c r="H731" s="922"/>
    </row>
    <row r="732" spans="1:8" ht="30" customHeight="1" x14ac:dyDescent="0.2">
      <c r="A732" s="663">
        <v>4349</v>
      </c>
      <c r="B732" s="629" t="s">
        <v>747</v>
      </c>
      <c r="C732" s="635">
        <f t="shared" si="27"/>
        <v>300000</v>
      </c>
      <c r="D732" s="635">
        <f t="shared" si="27"/>
        <v>300000</v>
      </c>
      <c r="E732" s="635"/>
      <c r="F732" s="635"/>
      <c r="G732" s="635"/>
      <c r="H732" s="636"/>
    </row>
    <row r="733" spans="1:8" ht="30" customHeight="1" x14ac:dyDescent="0.2">
      <c r="A733" s="664"/>
      <c r="B733" s="643" t="s">
        <v>1686</v>
      </c>
      <c r="C733" s="644">
        <v>300000</v>
      </c>
      <c r="D733" s="644">
        <v>300000</v>
      </c>
      <c r="E733" s="644"/>
      <c r="F733" s="644"/>
      <c r="G733" s="644"/>
      <c r="H733" s="784"/>
    </row>
    <row r="734" spans="1:8" ht="30" customHeight="1" x14ac:dyDescent="0.2">
      <c r="A734" s="663">
        <v>4351</v>
      </c>
      <c r="B734" s="629" t="s">
        <v>750</v>
      </c>
      <c r="C734" s="635">
        <f t="shared" si="27"/>
        <v>0</v>
      </c>
      <c r="D734" s="635">
        <f t="shared" si="27"/>
        <v>0</v>
      </c>
      <c r="E734" s="635"/>
      <c r="F734" s="635"/>
      <c r="G734" s="635"/>
      <c r="H734" s="636"/>
    </row>
    <row r="735" spans="1:8" s="98" customFormat="1" ht="30" customHeight="1" x14ac:dyDescent="0.2">
      <c r="A735" s="664"/>
      <c r="B735" s="672" t="s">
        <v>1687</v>
      </c>
      <c r="C735" s="644">
        <v>0</v>
      </c>
      <c r="D735" s="644">
        <v>0</v>
      </c>
      <c r="E735" s="644"/>
      <c r="F735" s="644"/>
      <c r="G735" s="644"/>
      <c r="H735" s="645"/>
    </row>
    <row r="736" spans="1:8" ht="30" customHeight="1" x14ac:dyDescent="0.2">
      <c r="A736" s="663">
        <v>4371</v>
      </c>
      <c r="B736" s="629" t="s">
        <v>752</v>
      </c>
      <c r="C736" s="635">
        <f t="shared" si="27"/>
        <v>0</v>
      </c>
      <c r="D736" s="635">
        <f t="shared" si="27"/>
        <v>0</v>
      </c>
      <c r="E736" s="635"/>
      <c r="F736" s="635"/>
      <c r="G736" s="635"/>
      <c r="H736" s="636"/>
    </row>
    <row r="737" spans="1:8" ht="30" customHeight="1" x14ac:dyDescent="0.2">
      <c r="A737" s="664"/>
      <c r="B737" s="672" t="s">
        <v>1687</v>
      </c>
      <c r="C737" s="644">
        <v>0</v>
      </c>
      <c r="D737" s="644">
        <v>0</v>
      </c>
      <c r="E737" s="644"/>
      <c r="F737" s="644"/>
      <c r="G737" s="644"/>
      <c r="H737" s="645"/>
    </row>
    <row r="738" spans="1:8" s="98" customFormat="1" ht="30" customHeight="1" x14ac:dyDescent="0.2">
      <c r="A738" s="663">
        <v>4374</v>
      </c>
      <c r="B738" s="923" t="s">
        <v>753</v>
      </c>
      <c r="C738" s="635">
        <f t="shared" si="27"/>
        <v>0</v>
      </c>
      <c r="D738" s="635">
        <f t="shared" si="27"/>
        <v>0</v>
      </c>
      <c r="E738" s="635"/>
      <c r="F738" s="635"/>
      <c r="G738" s="635"/>
      <c r="H738" s="636"/>
    </row>
    <row r="739" spans="1:8" ht="30" customHeight="1" x14ac:dyDescent="0.2">
      <c r="A739" s="664"/>
      <c r="B739" s="672" t="s">
        <v>1687</v>
      </c>
      <c r="C739" s="644">
        <v>0</v>
      </c>
      <c r="D739" s="644">
        <v>0</v>
      </c>
      <c r="E739" s="644"/>
      <c r="F739" s="644"/>
      <c r="G739" s="644"/>
      <c r="H739" s="645"/>
    </row>
    <row r="740" spans="1:8" s="98" customFormat="1" ht="30" customHeight="1" x14ac:dyDescent="0.2">
      <c r="A740" s="663">
        <v>4379</v>
      </c>
      <c r="B740" s="629" t="s">
        <v>754</v>
      </c>
      <c r="C740" s="635">
        <f t="shared" ref="C740:D740" si="28">SUM(C741:C747)</f>
        <v>434000</v>
      </c>
      <c r="D740" s="635">
        <f t="shared" si="28"/>
        <v>484000</v>
      </c>
      <c r="E740" s="635"/>
      <c r="F740" s="635"/>
      <c r="G740" s="635"/>
      <c r="H740" s="636"/>
    </row>
    <row r="741" spans="1:8" ht="30" customHeight="1" x14ac:dyDescent="0.2">
      <c r="A741" s="664"/>
      <c r="B741" s="643" t="s">
        <v>1688</v>
      </c>
      <c r="C741" s="644">
        <v>209000</v>
      </c>
      <c r="D741" s="644">
        <v>209000</v>
      </c>
      <c r="E741" s="644"/>
      <c r="F741" s="644"/>
      <c r="G741" s="644"/>
      <c r="H741" s="645"/>
    </row>
    <row r="742" spans="1:8" s="419" customFormat="1" ht="30" customHeight="1" x14ac:dyDescent="0.2">
      <c r="A742" s="664"/>
      <c r="B742" s="643" t="s">
        <v>1689</v>
      </c>
      <c r="C742" s="644">
        <v>62000</v>
      </c>
      <c r="D742" s="644">
        <v>62000</v>
      </c>
      <c r="E742" s="644"/>
      <c r="F742" s="644"/>
      <c r="G742" s="644"/>
      <c r="H742" s="645"/>
    </row>
    <row r="743" spans="1:8" ht="30" customHeight="1" x14ac:dyDescent="0.2">
      <c r="A743" s="664"/>
      <c r="B743" s="643" t="s">
        <v>1690</v>
      </c>
      <c r="C743" s="644">
        <v>53000</v>
      </c>
      <c r="D743" s="644">
        <v>53000</v>
      </c>
      <c r="E743" s="644"/>
      <c r="F743" s="644"/>
      <c r="G743" s="644"/>
      <c r="H743" s="645"/>
    </row>
    <row r="744" spans="1:8" s="98" customFormat="1" ht="30" customHeight="1" x14ac:dyDescent="0.2">
      <c r="A744" s="664"/>
      <c r="B744" s="643" t="s">
        <v>1691</v>
      </c>
      <c r="C744" s="644">
        <v>10000</v>
      </c>
      <c r="D744" s="644">
        <v>10000</v>
      </c>
      <c r="E744" s="644"/>
      <c r="F744" s="644"/>
      <c r="G744" s="644"/>
      <c r="H744" s="645"/>
    </row>
    <row r="745" spans="1:8" s="98" customFormat="1" ht="30" customHeight="1" x14ac:dyDescent="0.2">
      <c r="A745" s="664"/>
      <c r="B745" s="643" t="s">
        <v>1692</v>
      </c>
      <c r="C745" s="644">
        <v>100000</v>
      </c>
      <c r="D745" s="644">
        <f>100000+50000</f>
        <v>150000</v>
      </c>
      <c r="E745" s="644"/>
      <c r="F745" s="644"/>
      <c r="G745" s="644"/>
      <c r="H745" s="645"/>
    </row>
    <row r="746" spans="1:8" s="98" customFormat="1" ht="30" customHeight="1" x14ac:dyDescent="0.2">
      <c r="A746" s="664"/>
      <c r="B746" s="643" t="s">
        <v>1693</v>
      </c>
      <c r="C746" s="644">
        <v>0</v>
      </c>
      <c r="D746" s="644">
        <v>0</v>
      </c>
      <c r="E746" s="644"/>
      <c r="F746" s="644"/>
      <c r="G746" s="644"/>
      <c r="H746" s="645"/>
    </row>
    <row r="747" spans="1:8" s="98" customFormat="1" ht="30" customHeight="1" x14ac:dyDescent="0.2">
      <c r="A747" s="664"/>
      <c r="B747" s="643" t="s">
        <v>1694</v>
      </c>
      <c r="C747" s="644">
        <v>0</v>
      </c>
      <c r="D747" s="644">
        <v>0</v>
      </c>
      <c r="E747" s="644"/>
      <c r="F747" s="644"/>
      <c r="G747" s="644"/>
      <c r="H747" s="645"/>
    </row>
    <row r="748" spans="1:8" ht="30" customHeight="1" x14ac:dyDescent="0.2">
      <c r="A748" s="663">
        <v>4399</v>
      </c>
      <c r="B748" s="629" t="s">
        <v>1695</v>
      </c>
      <c r="C748" s="637">
        <v>5000</v>
      </c>
      <c r="D748" s="637">
        <v>5000</v>
      </c>
      <c r="E748" s="637"/>
      <c r="F748" s="637"/>
      <c r="G748" s="637"/>
      <c r="H748" s="633"/>
    </row>
    <row r="749" spans="1:8" ht="30" customHeight="1" x14ac:dyDescent="0.2">
      <c r="A749" s="699">
        <v>6409</v>
      </c>
      <c r="B749" s="924" t="s">
        <v>1696</v>
      </c>
      <c r="C749" s="919">
        <v>100000</v>
      </c>
      <c r="D749" s="919">
        <f>100000-50000</f>
        <v>50000</v>
      </c>
      <c r="E749" s="919"/>
      <c r="F749" s="919"/>
      <c r="G749" s="919"/>
      <c r="H749" s="638"/>
    </row>
    <row r="750" spans="1:8" ht="30" customHeight="1" x14ac:dyDescent="0.25">
      <c r="A750" s="621"/>
      <c r="B750" s="657" t="s">
        <v>761</v>
      </c>
      <c r="C750" s="777">
        <f t="shared" ref="C750:D750" si="29">C751</f>
        <v>14623250</v>
      </c>
      <c r="D750" s="777">
        <f t="shared" si="29"/>
        <v>14623250</v>
      </c>
      <c r="E750" s="777"/>
      <c r="F750" s="777"/>
      <c r="G750" s="777"/>
      <c r="H750" s="685"/>
    </row>
    <row r="751" spans="1:8" ht="30" customHeight="1" x14ac:dyDescent="0.2">
      <c r="A751" s="692"/>
      <c r="B751" s="626" t="s">
        <v>762</v>
      </c>
      <c r="C751" s="635">
        <f>SUM(C752:C763)</f>
        <v>14623250</v>
      </c>
      <c r="D751" s="635">
        <f>SUM(D752:D763)</f>
        <v>14623250</v>
      </c>
      <c r="E751" s="635"/>
      <c r="F751" s="635"/>
      <c r="G751" s="635"/>
      <c r="H751" s="636"/>
    </row>
    <row r="752" spans="1:8" s="98" customFormat="1" ht="30" customHeight="1" x14ac:dyDescent="0.2">
      <c r="A752" s="692"/>
      <c r="B752" s="643" t="s">
        <v>763</v>
      </c>
      <c r="C752" s="644">
        <v>420000</v>
      </c>
      <c r="D752" s="644">
        <f>420000-157000</f>
        <v>263000</v>
      </c>
      <c r="E752" s="644"/>
      <c r="F752" s="644"/>
      <c r="G752" s="644"/>
      <c r="H752" s="925"/>
    </row>
    <row r="753" spans="1:8" ht="30" customHeight="1" x14ac:dyDescent="0.2">
      <c r="A753" s="692"/>
      <c r="B753" s="643" t="s">
        <v>764</v>
      </c>
      <c r="C753" s="644">
        <v>170000</v>
      </c>
      <c r="D753" s="644">
        <v>170000</v>
      </c>
      <c r="E753" s="644"/>
      <c r="F753" s="644"/>
      <c r="G753" s="644"/>
      <c r="H753" s="647"/>
    </row>
    <row r="754" spans="1:8" ht="30" customHeight="1" x14ac:dyDescent="0.2">
      <c r="A754" s="692"/>
      <c r="B754" s="643" t="s">
        <v>765</v>
      </c>
      <c r="C754" s="644">
        <v>8008175</v>
      </c>
      <c r="D754" s="644">
        <v>8008175</v>
      </c>
      <c r="E754" s="644"/>
      <c r="F754" s="644"/>
      <c r="G754" s="644"/>
      <c r="H754" s="645"/>
    </row>
    <row r="755" spans="1:8" ht="30" customHeight="1" x14ac:dyDescent="0.2">
      <c r="A755" s="692"/>
      <c r="B755" s="643" t="s">
        <v>766</v>
      </c>
      <c r="C755" s="644">
        <v>1102075</v>
      </c>
      <c r="D755" s="644">
        <v>1102075</v>
      </c>
      <c r="E755" s="644"/>
      <c r="F755" s="644"/>
      <c r="G755" s="644"/>
      <c r="H755" s="647"/>
    </row>
    <row r="756" spans="1:8" ht="30" customHeight="1" x14ac:dyDescent="0.2">
      <c r="A756" s="692"/>
      <c r="B756" s="643" t="s">
        <v>767</v>
      </c>
      <c r="C756" s="644">
        <v>200000</v>
      </c>
      <c r="D756" s="644">
        <f>200000-5000-15000</f>
        <v>180000</v>
      </c>
      <c r="E756" s="644"/>
      <c r="F756" s="644"/>
      <c r="G756" s="644"/>
      <c r="H756" s="645"/>
    </row>
    <row r="757" spans="1:8" ht="30" customHeight="1" x14ac:dyDescent="0.2">
      <c r="A757" s="692"/>
      <c r="B757" s="643" t="s">
        <v>768</v>
      </c>
      <c r="C757" s="644">
        <v>220000</v>
      </c>
      <c r="D757" s="644">
        <v>220000</v>
      </c>
      <c r="E757" s="644"/>
      <c r="F757" s="644"/>
      <c r="G757" s="644"/>
      <c r="H757" s="645"/>
    </row>
    <row r="758" spans="1:8" ht="30" customHeight="1" x14ac:dyDescent="0.2">
      <c r="A758" s="692"/>
      <c r="B758" s="643" t="s">
        <v>1697</v>
      </c>
      <c r="C758" s="644">
        <v>2000000</v>
      </c>
      <c r="D758" s="644">
        <v>2000000</v>
      </c>
      <c r="E758" s="644"/>
      <c r="F758" s="644"/>
      <c r="G758" s="644"/>
      <c r="H758" s="645"/>
    </row>
    <row r="759" spans="1:8" ht="30" customHeight="1" x14ac:dyDescent="0.2">
      <c r="A759" s="663"/>
      <c r="B759" s="643" t="s">
        <v>769</v>
      </c>
      <c r="C759" s="644">
        <v>150000</v>
      </c>
      <c r="D759" s="644">
        <v>150000</v>
      </c>
      <c r="E759" s="644"/>
      <c r="F759" s="644"/>
      <c r="G759" s="644"/>
      <c r="H759" s="645"/>
    </row>
    <row r="760" spans="1:8" ht="30" customHeight="1" x14ac:dyDescent="0.2">
      <c r="A760" s="663"/>
      <c r="B760" s="926" t="s">
        <v>1698</v>
      </c>
      <c r="C760" s="644">
        <v>0</v>
      </c>
      <c r="D760" s="644">
        <v>0</v>
      </c>
      <c r="E760" s="644"/>
      <c r="F760" s="644"/>
      <c r="G760" s="644"/>
      <c r="H760" s="925"/>
    </row>
    <row r="761" spans="1:8" ht="30" customHeight="1" x14ac:dyDescent="0.2">
      <c r="A761" s="663"/>
      <c r="B761" s="926" t="s">
        <v>1699</v>
      </c>
      <c r="C761" s="644">
        <v>2310000</v>
      </c>
      <c r="D761" s="644">
        <v>2310000</v>
      </c>
      <c r="E761" s="644"/>
      <c r="F761" s="644"/>
      <c r="G761" s="644"/>
      <c r="H761" s="925"/>
    </row>
    <row r="762" spans="1:8" ht="30" customHeight="1" x14ac:dyDescent="0.2">
      <c r="A762" s="663"/>
      <c r="B762" s="643" t="s">
        <v>770</v>
      </c>
      <c r="C762" s="644">
        <v>0</v>
      </c>
      <c r="D762" s="644">
        <f>5000+15000+157000</f>
        <v>177000</v>
      </c>
      <c r="E762" s="644"/>
      <c r="F762" s="644"/>
      <c r="G762" s="644"/>
      <c r="H762" s="645"/>
    </row>
    <row r="763" spans="1:8" ht="30" customHeight="1" x14ac:dyDescent="0.2">
      <c r="A763" s="663"/>
      <c r="B763" s="643" t="s">
        <v>1700</v>
      </c>
      <c r="C763" s="644">
        <v>43000</v>
      </c>
      <c r="D763" s="644">
        <v>43000</v>
      </c>
      <c r="E763" s="644"/>
      <c r="F763" s="644"/>
      <c r="G763" s="644"/>
      <c r="H763" s="645"/>
    </row>
    <row r="764" spans="1:8" ht="30" customHeight="1" x14ac:dyDescent="0.2">
      <c r="A764" s="699"/>
      <c r="B764" s="700"/>
      <c r="C764" s="694"/>
      <c r="D764" s="694"/>
      <c r="E764" s="694"/>
      <c r="F764" s="694"/>
      <c r="G764" s="694"/>
      <c r="H764" s="647"/>
    </row>
    <row r="765" spans="1:8" s="85" customFormat="1" ht="30" customHeight="1" x14ac:dyDescent="0.3">
      <c r="A765" s="853"/>
      <c r="B765" s="854" t="s">
        <v>771</v>
      </c>
      <c r="C765" s="855">
        <f t="shared" ref="C765:D765" si="30">C766</f>
        <v>18717400</v>
      </c>
      <c r="D765" s="855">
        <f t="shared" si="30"/>
        <v>24729128</v>
      </c>
      <c r="E765" s="855"/>
      <c r="F765" s="855"/>
      <c r="G765" s="855"/>
      <c r="H765" s="860"/>
    </row>
    <row r="766" spans="1:8" ht="30" customHeight="1" x14ac:dyDescent="0.2">
      <c r="A766" s="699">
        <v>4351</v>
      </c>
      <c r="B766" s="626" t="s">
        <v>772</v>
      </c>
      <c r="C766" s="927">
        <f t="shared" ref="C766:D766" si="31">SUM(C767:C770)</f>
        <v>18717400</v>
      </c>
      <c r="D766" s="927">
        <f t="shared" si="31"/>
        <v>24729128</v>
      </c>
      <c r="E766" s="927"/>
      <c r="F766" s="927"/>
      <c r="G766" s="927"/>
      <c r="H766" s="928"/>
    </row>
    <row r="767" spans="1:8" ht="60.75" x14ac:dyDescent="0.2">
      <c r="A767" s="664"/>
      <c r="B767" s="917" t="s">
        <v>1701</v>
      </c>
      <c r="C767" s="652">
        <v>8129900</v>
      </c>
      <c r="D767" s="652">
        <f>8129900+3134000+51728</f>
        <v>11315628</v>
      </c>
      <c r="E767" s="652"/>
      <c r="F767" s="652"/>
      <c r="G767" s="652"/>
      <c r="H767" s="651"/>
    </row>
    <row r="768" spans="1:8" ht="48.75" x14ac:dyDescent="0.2">
      <c r="A768" s="664"/>
      <c r="B768" s="917" t="s">
        <v>1702</v>
      </c>
      <c r="C768" s="644">
        <v>2171000</v>
      </c>
      <c r="D768" s="644">
        <f>2171000+740000</f>
        <v>2911000</v>
      </c>
      <c r="E768" s="644"/>
      <c r="F768" s="644"/>
      <c r="G768" s="644"/>
      <c r="H768" s="670"/>
    </row>
    <row r="769" spans="1:8" ht="36.75" x14ac:dyDescent="0.2">
      <c r="A769" s="663"/>
      <c r="B769" s="917" t="s">
        <v>1703</v>
      </c>
      <c r="C769" s="644">
        <v>6516500</v>
      </c>
      <c r="D769" s="644">
        <f>6516500+2086000</f>
        <v>8602500</v>
      </c>
      <c r="E769" s="644"/>
      <c r="F769" s="644"/>
      <c r="G769" s="644"/>
      <c r="H769" s="670"/>
    </row>
    <row r="770" spans="1:8" ht="30" customHeight="1" x14ac:dyDescent="0.2">
      <c r="A770" s="699"/>
      <c r="B770" s="929" t="s">
        <v>1704</v>
      </c>
      <c r="C770" s="678">
        <v>1900000</v>
      </c>
      <c r="D770" s="678">
        <v>1900000</v>
      </c>
      <c r="E770" s="678"/>
      <c r="F770" s="678"/>
      <c r="G770" s="678"/>
      <c r="H770" s="784"/>
    </row>
    <row r="771" spans="1:8" ht="30" customHeight="1" x14ac:dyDescent="0.2">
      <c r="A771" s="732"/>
      <c r="B771" s="776"/>
      <c r="C771" s="732"/>
      <c r="D771" s="732"/>
      <c r="E771" s="732"/>
      <c r="F771" s="732"/>
      <c r="G771" s="732"/>
      <c r="H771" s="930"/>
    </row>
    <row r="772" spans="1:8" s="85" customFormat="1" ht="30" customHeight="1" x14ac:dyDescent="0.3">
      <c r="A772" s="734"/>
      <c r="B772" s="757" t="s">
        <v>1871</v>
      </c>
      <c r="C772" s="859">
        <f>SUM(C773,C774,C775,C776,C777,C778,C779,C780,C784:C788,C793,C794,C795)</f>
        <v>87547000</v>
      </c>
      <c r="D772" s="859">
        <f>SUM(D773,D774,D775,D776,D777,D778,D779,D780,D784:D788,D793,D794,D795)</f>
        <v>92910285</v>
      </c>
      <c r="E772" s="859"/>
      <c r="F772" s="859"/>
      <c r="G772" s="859"/>
      <c r="H772" s="931"/>
    </row>
    <row r="773" spans="1:8" ht="30" customHeight="1" x14ac:dyDescent="0.2">
      <c r="A773" s="660">
        <v>1014</v>
      </c>
      <c r="B773" s="626" t="s">
        <v>776</v>
      </c>
      <c r="C773" s="637">
        <v>530000</v>
      </c>
      <c r="D773" s="637">
        <v>530000</v>
      </c>
      <c r="E773" s="637"/>
      <c r="F773" s="637"/>
      <c r="G773" s="637"/>
      <c r="H773" s="662"/>
    </row>
    <row r="774" spans="1:8" ht="30" customHeight="1" x14ac:dyDescent="0.2">
      <c r="A774" s="663">
        <v>1031</v>
      </c>
      <c r="B774" s="629" t="s">
        <v>1705</v>
      </c>
      <c r="C774" s="637">
        <v>651000</v>
      </c>
      <c r="D774" s="637">
        <v>651000</v>
      </c>
      <c r="E774" s="637"/>
      <c r="F774" s="637"/>
      <c r="G774" s="637"/>
      <c r="H774" s="639"/>
    </row>
    <row r="775" spans="1:8" ht="30" customHeight="1" x14ac:dyDescent="0.2">
      <c r="A775" s="663">
        <v>1036</v>
      </c>
      <c r="B775" s="629" t="s">
        <v>778</v>
      </c>
      <c r="C775" s="637">
        <v>120000</v>
      </c>
      <c r="D775" s="637">
        <v>120000</v>
      </c>
      <c r="E775" s="637"/>
      <c r="F775" s="637"/>
      <c r="G775" s="637"/>
      <c r="H775" s="639"/>
    </row>
    <row r="776" spans="1:8" s="244" customFormat="1" ht="30" customHeight="1" x14ac:dyDescent="0.25">
      <c r="A776" s="663">
        <v>1037</v>
      </c>
      <c r="B776" s="629" t="s">
        <v>1706</v>
      </c>
      <c r="C776" s="637">
        <v>21000</v>
      </c>
      <c r="D776" s="637">
        <v>21000</v>
      </c>
      <c r="E776" s="637"/>
      <c r="F776" s="637"/>
      <c r="G776" s="637"/>
      <c r="H776" s="639"/>
    </row>
    <row r="777" spans="1:8" s="98" customFormat="1" ht="30" customHeight="1" x14ac:dyDescent="0.2">
      <c r="A777" s="663">
        <v>1039</v>
      </c>
      <c r="B777" s="629" t="s">
        <v>780</v>
      </c>
      <c r="C777" s="637">
        <v>260000</v>
      </c>
      <c r="D777" s="637">
        <v>260000</v>
      </c>
      <c r="E777" s="637"/>
      <c r="F777" s="637"/>
      <c r="G777" s="637"/>
      <c r="H777" s="639"/>
    </row>
    <row r="778" spans="1:8" s="98" customFormat="1" ht="30" customHeight="1" x14ac:dyDescent="0.2">
      <c r="A778" s="663">
        <v>2369</v>
      </c>
      <c r="B778" s="629" t="s">
        <v>1707</v>
      </c>
      <c r="C778" s="637">
        <v>370000</v>
      </c>
      <c r="D778" s="637">
        <v>370000</v>
      </c>
      <c r="E778" s="637"/>
      <c r="F778" s="637"/>
      <c r="G778" s="637"/>
      <c r="H778" s="639"/>
    </row>
    <row r="779" spans="1:8" s="98" customFormat="1" ht="30" customHeight="1" x14ac:dyDescent="0.2">
      <c r="A779" s="663">
        <v>3721</v>
      </c>
      <c r="B779" s="629" t="s">
        <v>1708</v>
      </c>
      <c r="C779" s="637">
        <v>50000</v>
      </c>
      <c r="D779" s="637">
        <v>50000</v>
      </c>
      <c r="E779" s="637"/>
      <c r="F779" s="637"/>
      <c r="G779" s="637"/>
      <c r="H779" s="639"/>
    </row>
    <row r="780" spans="1:8" s="98" customFormat="1" ht="30" customHeight="1" x14ac:dyDescent="0.2">
      <c r="A780" s="663">
        <v>3722</v>
      </c>
      <c r="B780" s="629" t="s">
        <v>783</v>
      </c>
      <c r="C780" s="635">
        <f>SUM(C781:C783)</f>
        <v>37150000</v>
      </c>
      <c r="D780" s="635">
        <f>SUM(D781:D783)</f>
        <v>40813880</v>
      </c>
      <c r="E780" s="635"/>
      <c r="F780" s="635"/>
      <c r="G780" s="635"/>
      <c r="H780" s="636"/>
    </row>
    <row r="781" spans="1:8" s="98" customFormat="1" ht="30" customHeight="1" x14ac:dyDescent="0.2">
      <c r="A781" s="663"/>
      <c r="B781" s="672" t="s">
        <v>784</v>
      </c>
      <c r="C781" s="644">
        <v>30600000</v>
      </c>
      <c r="D781" s="644">
        <f>30600000+400000-400000</f>
        <v>30600000</v>
      </c>
      <c r="E781" s="644"/>
      <c r="F781" s="644"/>
      <c r="G781" s="644"/>
      <c r="H781" s="670"/>
    </row>
    <row r="782" spans="1:8" s="98" customFormat="1" ht="30" customHeight="1" x14ac:dyDescent="0.2">
      <c r="A782" s="663"/>
      <c r="B782" s="672" t="s">
        <v>785</v>
      </c>
      <c r="C782" s="644">
        <v>3050000</v>
      </c>
      <c r="D782" s="644">
        <v>3050000</v>
      </c>
      <c r="E782" s="644"/>
      <c r="F782" s="644"/>
      <c r="G782" s="644"/>
      <c r="H782" s="670"/>
    </row>
    <row r="783" spans="1:8" s="98" customFormat="1" ht="30" customHeight="1" x14ac:dyDescent="0.2">
      <c r="A783" s="663"/>
      <c r="B783" s="650" t="s">
        <v>1989</v>
      </c>
      <c r="C783" s="644">
        <v>3500000</v>
      </c>
      <c r="D783" s="644">
        <f>3500000+3663880</f>
        <v>7163880</v>
      </c>
      <c r="E783" s="644"/>
      <c r="F783" s="644"/>
      <c r="G783" s="644"/>
      <c r="H783" s="670"/>
    </row>
    <row r="784" spans="1:8" s="98" customFormat="1" ht="30" customHeight="1" x14ac:dyDescent="0.2">
      <c r="A784" s="663">
        <v>3725</v>
      </c>
      <c r="B784" s="629" t="s">
        <v>1990</v>
      </c>
      <c r="C784" s="637">
        <v>0</v>
      </c>
      <c r="D784" s="637">
        <v>1650000</v>
      </c>
      <c r="E784" s="637"/>
      <c r="F784" s="637"/>
      <c r="G784" s="637"/>
      <c r="H784" s="639"/>
    </row>
    <row r="785" spans="1:9" s="98" customFormat="1" ht="30" customHeight="1" x14ac:dyDescent="0.2">
      <c r="A785" s="663">
        <v>3733</v>
      </c>
      <c r="B785" s="629" t="s">
        <v>1710</v>
      </c>
      <c r="C785" s="637">
        <v>65000</v>
      </c>
      <c r="D785" s="637">
        <v>65000</v>
      </c>
      <c r="E785" s="637"/>
      <c r="F785" s="637"/>
      <c r="G785" s="637"/>
      <c r="H785" s="639"/>
    </row>
    <row r="786" spans="1:9" s="98" customFormat="1" ht="30" customHeight="1" x14ac:dyDescent="0.2">
      <c r="A786" s="663">
        <v>3742</v>
      </c>
      <c r="B786" s="634" t="s">
        <v>1711</v>
      </c>
      <c r="C786" s="637">
        <v>100000</v>
      </c>
      <c r="D786" s="637">
        <v>100000</v>
      </c>
      <c r="E786" s="637"/>
      <c r="F786" s="637"/>
      <c r="G786" s="637"/>
      <c r="H786" s="639"/>
    </row>
    <row r="787" spans="1:9" s="98" customFormat="1" ht="30" customHeight="1" x14ac:dyDescent="0.2">
      <c r="A787" s="663">
        <v>3743</v>
      </c>
      <c r="B787" s="629" t="s">
        <v>789</v>
      </c>
      <c r="C787" s="637">
        <v>0</v>
      </c>
      <c r="D787" s="637">
        <v>0</v>
      </c>
      <c r="E787" s="637"/>
      <c r="F787" s="637"/>
      <c r="G787" s="637"/>
      <c r="H787" s="639"/>
    </row>
    <row r="788" spans="1:9" s="98" customFormat="1" ht="30" customHeight="1" x14ac:dyDescent="0.2">
      <c r="A788" s="663">
        <v>3745</v>
      </c>
      <c r="B788" s="629" t="s">
        <v>790</v>
      </c>
      <c r="C788" s="635">
        <f>SUM(C789:C792)</f>
        <v>47785000</v>
      </c>
      <c r="D788" s="635">
        <f>SUM(D789:D792)</f>
        <v>47785000</v>
      </c>
      <c r="E788" s="635"/>
      <c r="F788" s="635"/>
      <c r="G788" s="635"/>
      <c r="H788" s="636"/>
    </row>
    <row r="789" spans="1:9" s="98" customFormat="1" ht="30" customHeight="1" x14ac:dyDescent="0.2">
      <c r="A789" s="663"/>
      <c r="B789" s="672" t="s">
        <v>1712</v>
      </c>
      <c r="C789" s="644">
        <v>250000</v>
      </c>
      <c r="D789" s="644">
        <v>250000</v>
      </c>
      <c r="E789" s="644"/>
      <c r="F789" s="644"/>
      <c r="G789" s="644"/>
      <c r="H789" s="670"/>
    </row>
    <row r="790" spans="1:9" s="98" customFormat="1" ht="30" customHeight="1" x14ac:dyDescent="0.2">
      <c r="A790" s="664"/>
      <c r="B790" s="672" t="s">
        <v>792</v>
      </c>
      <c r="C790" s="644">
        <v>19450000</v>
      </c>
      <c r="D790" s="644">
        <v>19450000</v>
      </c>
      <c r="E790" s="644"/>
      <c r="F790" s="644"/>
      <c r="G790" s="644"/>
      <c r="H790" s="670"/>
    </row>
    <row r="791" spans="1:9" s="98" customFormat="1" ht="30" customHeight="1" x14ac:dyDescent="0.2">
      <c r="A791" s="664"/>
      <c r="B791" s="672" t="s">
        <v>793</v>
      </c>
      <c r="C791" s="644">
        <v>2150000</v>
      </c>
      <c r="D791" s="644">
        <v>2150000</v>
      </c>
      <c r="E791" s="644"/>
      <c r="F791" s="644"/>
      <c r="G791" s="644"/>
      <c r="H791" s="670"/>
    </row>
    <row r="792" spans="1:9" s="98" customFormat="1" ht="30" customHeight="1" x14ac:dyDescent="0.2">
      <c r="A792" s="663"/>
      <c r="B792" s="650" t="s">
        <v>1713</v>
      </c>
      <c r="C792" s="644">
        <v>25935000</v>
      </c>
      <c r="D792" s="644">
        <v>25935000</v>
      </c>
      <c r="E792" s="644"/>
      <c r="F792" s="644"/>
      <c r="G792" s="644"/>
      <c r="H792" s="670"/>
    </row>
    <row r="793" spans="1:9" ht="30" customHeight="1" x14ac:dyDescent="0.2">
      <c r="A793" s="663">
        <v>3792</v>
      </c>
      <c r="B793" s="629" t="s">
        <v>795</v>
      </c>
      <c r="C793" s="637">
        <v>145000</v>
      </c>
      <c r="D793" s="637">
        <f>145000+(14200+35205)</f>
        <v>194405</v>
      </c>
      <c r="E793" s="637"/>
      <c r="F793" s="637"/>
      <c r="G793" s="637"/>
      <c r="H793" s="932"/>
    </row>
    <row r="794" spans="1:9" ht="30" customHeight="1" x14ac:dyDescent="0.2">
      <c r="A794" s="663">
        <v>3639</v>
      </c>
      <c r="B794" s="629" t="s">
        <v>1714</v>
      </c>
      <c r="C794" s="637">
        <v>0</v>
      </c>
      <c r="D794" s="637">
        <v>0</v>
      </c>
      <c r="E794" s="637"/>
      <c r="F794" s="637"/>
      <c r="G794" s="637"/>
      <c r="H794" s="930"/>
    </row>
    <row r="795" spans="1:9" ht="30" customHeight="1" x14ac:dyDescent="0.25">
      <c r="A795" s="933"/>
      <c r="B795" s="934" t="s">
        <v>1715</v>
      </c>
      <c r="C795" s="935">
        <f>SUM(C796:C797)</f>
        <v>300000</v>
      </c>
      <c r="D795" s="935">
        <f>SUM(D796:D797)</f>
        <v>300000</v>
      </c>
      <c r="E795" s="935"/>
      <c r="F795" s="935"/>
      <c r="G795" s="935"/>
      <c r="H795" s="936"/>
    </row>
    <row r="796" spans="1:9" ht="30" customHeight="1" x14ac:dyDescent="0.2">
      <c r="A796" s="937" t="s">
        <v>1716</v>
      </c>
      <c r="B796" s="938" t="s">
        <v>600</v>
      </c>
      <c r="C796" s="687">
        <v>150000</v>
      </c>
      <c r="D796" s="687">
        <v>150000</v>
      </c>
      <c r="E796" s="687"/>
      <c r="F796" s="687"/>
      <c r="G796" s="687"/>
      <c r="H796" s="939"/>
    </row>
    <row r="797" spans="1:9" ht="30" customHeight="1" x14ac:dyDescent="0.2">
      <c r="A797" s="1126" t="s">
        <v>1717</v>
      </c>
      <c r="B797" s="1127" t="s">
        <v>602</v>
      </c>
      <c r="C797" s="795">
        <v>150000</v>
      </c>
      <c r="D797" s="795">
        <v>150000</v>
      </c>
      <c r="E797" s="795"/>
      <c r="F797" s="795"/>
      <c r="G797" s="795"/>
      <c r="H797" s="1158"/>
    </row>
    <row r="798" spans="1:9" ht="30" customHeight="1" x14ac:dyDescent="0.2">
      <c r="A798" s="1128"/>
      <c r="B798" s="1129"/>
      <c r="C798" s="728"/>
      <c r="D798" s="728"/>
      <c r="E798" s="728"/>
      <c r="F798" s="728"/>
      <c r="G798" s="728"/>
      <c r="H798" s="1130"/>
    </row>
    <row r="799" spans="1:9" s="85" customFormat="1" ht="30" customHeight="1" x14ac:dyDescent="0.3">
      <c r="A799" s="945"/>
      <c r="B799" s="865" t="s">
        <v>797</v>
      </c>
      <c r="C799" s="855">
        <f>SUM(C800,C801,C836,C885,C944,C958,C959,C963+C970)</f>
        <v>151698000</v>
      </c>
      <c r="D799" s="855">
        <f>SUM(D800,D801,D836,D885,D944,D958,D959,D963+D970)</f>
        <v>144705227.56999999</v>
      </c>
      <c r="E799" s="855"/>
      <c r="F799" s="855"/>
      <c r="G799" s="855"/>
      <c r="H799" s="859"/>
    </row>
    <row r="800" spans="1:9" ht="30" customHeight="1" x14ac:dyDescent="0.2">
      <c r="A800" s="946">
        <v>3122</v>
      </c>
      <c r="B800" s="947" t="s">
        <v>1718</v>
      </c>
      <c r="C800" s="637">
        <v>403000</v>
      </c>
      <c r="D800" s="637">
        <v>403000</v>
      </c>
      <c r="E800" s="637"/>
      <c r="F800" s="637"/>
      <c r="G800" s="637"/>
      <c r="H800" s="948"/>
      <c r="I800" s="19"/>
    </row>
    <row r="801" spans="1:9" ht="30" customHeight="1" x14ac:dyDescent="0.25">
      <c r="A801" s="628">
        <v>3412</v>
      </c>
      <c r="B801" s="629" t="s">
        <v>799</v>
      </c>
      <c r="C801" s="635">
        <f>C802+C823</f>
        <v>55320000</v>
      </c>
      <c r="D801" s="635">
        <f>D802+D823</f>
        <v>55014154.57</v>
      </c>
      <c r="E801" s="635"/>
      <c r="F801" s="635"/>
      <c r="G801" s="635"/>
      <c r="H801" s="839"/>
      <c r="I801" s="19"/>
    </row>
    <row r="802" spans="1:9" ht="30" customHeight="1" x14ac:dyDescent="0.2">
      <c r="A802" s="628"/>
      <c r="B802" s="949" t="s">
        <v>1719</v>
      </c>
      <c r="C802" s="635">
        <f>C803+C807+C817</f>
        <v>33650000</v>
      </c>
      <c r="D802" s="635">
        <f>D803+D807+D817</f>
        <v>34413154.57</v>
      </c>
      <c r="E802" s="635"/>
      <c r="F802" s="635"/>
      <c r="G802" s="635"/>
      <c r="H802" s="950"/>
      <c r="I802" s="19"/>
    </row>
    <row r="803" spans="1:9" ht="30" customHeight="1" x14ac:dyDescent="0.2">
      <c r="A803" s="628"/>
      <c r="B803" s="720" t="s">
        <v>801</v>
      </c>
      <c r="C803" s="951">
        <f>C804+C805+C806</f>
        <v>1680000</v>
      </c>
      <c r="D803" s="951">
        <f>D804+D805+D806</f>
        <v>741374</v>
      </c>
      <c r="E803" s="951"/>
      <c r="F803" s="951"/>
      <c r="G803" s="951"/>
      <c r="H803" s="950"/>
      <c r="I803" s="19"/>
    </row>
    <row r="804" spans="1:9" ht="30" customHeight="1" x14ac:dyDescent="0.2">
      <c r="A804" s="628"/>
      <c r="B804" s="668" t="s">
        <v>1720</v>
      </c>
      <c r="C804" s="652">
        <v>0</v>
      </c>
      <c r="D804" s="652">
        <v>0</v>
      </c>
      <c r="E804" s="652"/>
      <c r="F804" s="652"/>
      <c r="G804" s="652"/>
      <c r="H804" s="950"/>
      <c r="I804" s="19"/>
    </row>
    <row r="805" spans="1:9" ht="30" customHeight="1" x14ac:dyDescent="0.2">
      <c r="A805" s="628"/>
      <c r="B805" s="952" t="s">
        <v>1721</v>
      </c>
      <c r="C805" s="652">
        <v>1500000</v>
      </c>
      <c r="D805" s="652">
        <f>1500000-431000-400000</f>
        <v>669000</v>
      </c>
      <c r="E805" s="652"/>
      <c r="F805" s="652"/>
      <c r="G805" s="652"/>
      <c r="H805" s="950"/>
      <c r="I805" s="19"/>
    </row>
    <row r="806" spans="1:9" ht="30" customHeight="1" x14ac:dyDescent="0.2">
      <c r="A806" s="628"/>
      <c r="B806" s="952" t="s">
        <v>1993</v>
      </c>
      <c r="C806" s="652">
        <v>180000</v>
      </c>
      <c r="D806" s="652">
        <f>180000+45254-152880</f>
        <v>72374</v>
      </c>
      <c r="E806" s="652"/>
      <c r="F806" s="652"/>
      <c r="G806" s="652"/>
      <c r="H806" s="950"/>
      <c r="I806" s="19"/>
    </row>
    <row r="807" spans="1:9" s="953" customFormat="1" ht="30" customHeight="1" x14ac:dyDescent="0.25">
      <c r="A807" s="628"/>
      <c r="B807" s="954" t="s">
        <v>823</v>
      </c>
      <c r="C807" s="955">
        <f>SUM(C808:C816)</f>
        <v>1900000</v>
      </c>
      <c r="D807" s="955">
        <f>SUM(D808:D816)</f>
        <v>200000</v>
      </c>
      <c r="E807" s="955"/>
      <c r="F807" s="955"/>
      <c r="G807" s="955"/>
      <c r="H807" s="956"/>
      <c r="I807" s="957"/>
    </row>
    <row r="808" spans="1:9" ht="30" customHeight="1" x14ac:dyDescent="0.2">
      <c r="A808" s="628"/>
      <c r="B808" s="668" t="s">
        <v>1723</v>
      </c>
      <c r="C808" s="652">
        <v>150000</v>
      </c>
      <c r="D808" s="652">
        <f>150000-150000</f>
        <v>0</v>
      </c>
      <c r="E808" s="652"/>
      <c r="F808" s="652"/>
      <c r="G808" s="652"/>
      <c r="H808" s="950"/>
      <c r="I808" s="19"/>
    </row>
    <row r="809" spans="1:9" ht="30" customHeight="1" x14ac:dyDescent="0.2">
      <c r="A809" s="628"/>
      <c r="B809" s="668" t="s">
        <v>1724</v>
      </c>
      <c r="C809" s="694">
        <v>100000</v>
      </c>
      <c r="D809" s="694">
        <f>100000-100000</f>
        <v>0</v>
      </c>
      <c r="E809" s="694"/>
      <c r="F809" s="694"/>
      <c r="G809" s="694"/>
      <c r="H809" s="950"/>
      <c r="I809" s="19"/>
    </row>
    <row r="810" spans="1:9" ht="30" customHeight="1" x14ac:dyDescent="0.2">
      <c r="A810" s="628"/>
      <c r="B810" s="668" t="s">
        <v>1725</v>
      </c>
      <c r="C810" s="652">
        <v>0</v>
      </c>
      <c r="D810" s="652">
        <v>0</v>
      </c>
      <c r="E810" s="652"/>
      <c r="F810" s="652"/>
      <c r="G810" s="652"/>
      <c r="H810" s="950"/>
      <c r="I810" s="19"/>
    </row>
    <row r="811" spans="1:9" ht="30" customHeight="1" x14ac:dyDescent="0.2">
      <c r="A811" s="628"/>
      <c r="B811" s="668" t="s">
        <v>1726</v>
      </c>
      <c r="C811" s="652">
        <v>0</v>
      </c>
      <c r="D811" s="652">
        <v>0</v>
      </c>
      <c r="E811" s="652"/>
      <c r="F811" s="652"/>
      <c r="G811" s="652"/>
      <c r="H811" s="950"/>
      <c r="I811" s="19"/>
    </row>
    <row r="812" spans="1:9" ht="30" customHeight="1" x14ac:dyDescent="0.2">
      <c r="A812" s="628"/>
      <c r="B812" s="958" t="s">
        <v>1727</v>
      </c>
      <c r="C812" s="652">
        <v>350000</v>
      </c>
      <c r="D812" s="652">
        <f>350000-250000</f>
        <v>100000</v>
      </c>
      <c r="E812" s="652"/>
      <c r="F812" s="652"/>
      <c r="G812" s="652"/>
      <c r="H812" s="950"/>
      <c r="I812" s="19"/>
    </row>
    <row r="813" spans="1:9" ht="30" customHeight="1" x14ac:dyDescent="0.2">
      <c r="A813" s="628"/>
      <c r="B813" s="958" t="s">
        <v>1728</v>
      </c>
      <c r="C813" s="652">
        <v>100000</v>
      </c>
      <c r="D813" s="652">
        <f>100000-100000</f>
        <v>0</v>
      </c>
      <c r="E813" s="652"/>
      <c r="F813" s="652"/>
      <c r="G813" s="652"/>
      <c r="H813" s="950"/>
      <c r="I813" s="19"/>
    </row>
    <row r="814" spans="1:9" ht="30" customHeight="1" x14ac:dyDescent="0.2">
      <c r="A814" s="628"/>
      <c r="B814" s="958" t="s">
        <v>1729</v>
      </c>
      <c r="C814" s="652">
        <v>100000</v>
      </c>
      <c r="D814" s="652">
        <v>100000</v>
      </c>
      <c r="E814" s="652"/>
      <c r="F814" s="652"/>
      <c r="G814" s="652"/>
      <c r="H814" s="950"/>
      <c r="I814" s="19"/>
    </row>
    <row r="815" spans="1:9" ht="30" customHeight="1" x14ac:dyDescent="0.2">
      <c r="A815" s="628"/>
      <c r="B815" s="958" t="s">
        <v>1730</v>
      </c>
      <c r="C815" s="652">
        <v>800000</v>
      </c>
      <c r="D815" s="652">
        <f>800000-800000</f>
        <v>0</v>
      </c>
      <c r="E815" s="652"/>
      <c r="F815" s="652"/>
      <c r="G815" s="652"/>
      <c r="H815" s="950"/>
      <c r="I815" s="19"/>
    </row>
    <row r="816" spans="1:9" ht="30" customHeight="1" x14ac:dyDescent="0.2">
      <c r="A816" s="628"/>
      <c r="B816" s="958" t="s">
        <v>1731</v>
      </c>
      <c r="C816" s="652">
        <v>300000</v>
      </c>
      <c r="D816" s="652">
        <f>300000-300000</f>
        <v>0</v>
      </c>
      <c r="E816" s="652"/>
      <c r="F816" s="652"/>
      <c r="G816" s="652"/>
      <c r="H816" s="950"/>
      <c r="I816" s="19"/>
    </row>
    <row r="817" spans="1:9" s="98" customFormat="1" ht="30" customHeight="1" x14ac:dyDescent="0.25">
      <c r="A817" s="628"/>
      <c r="B817" s="959" t="s">
        <v>813</v>
      </c>
      <c r="C817" s="951">
        <f>SUM(C818:C822)</f>
        <v>30070000</v>
      </c>
      <c r="D817" s="951">
        <f>SUM(D818:D822)</f>
        <v>33471780.57</v>
      </c>
      <c r="E817" s="951"/>
      <c r="F817" s="951"/>
      <c r="G817" s="951"/>
      <c r="H817" s="839"/>
      <c r="I817" s="244"/>
    </row>
    <row r="818" spans="1:9" ht="30" customHeight="1" x14ac:dyDescent="0.2">
      <c r="A818" s="628"/>
      <c r="B818" s="668" t="s">
        <v>1732</v>
      </c>
      <c r="C818" s="652">
        <v>30020000</v>
      </c>
      <c r="D818" s="652">
        <f>30020000+1812000-617845.43-45254-20971-13463.31+2100000-63727</f>
        <v>33170739.260000002</v>
      </c>
      <c r="E818" s="652"/>
      <c r="F818" s="652"/>
      <c r="G818" s="652"/>
      <c r="H818" s="950"/>
      <c r="I818" s="19"/>
    </row>
    <row r="819" spans="1:9" ht="30" customHeight="1" x14ac:dyDescent="0.2">
      <c r="A819" s="628"/>
      <c r="B819" s="668" t="s">
        <v>815</v>
      </c>
      <c r="C819" s="652">
        <v>0</v>
      </c>
      <c r="D819" s="652">
        <v>0</v>
      </c>
      <c r="E819" s="652"/>
      <c r="F819" s="652"/>
      <c r="G819" s="652"/>
      <c r="H819" s="950"/>
      <c r="I819" s="19"/>
    </row>
    <row r="820" spans="1:9" ht="30" customHeight="1" x14ac:dyDescent="0.2">
      <c r="A820" s="628"/>
      <c r="B820" s="672" t="s">
        <v>816</v>
      </c>
      <c r="C820" s="652">
        <v>0</v>
      </c>
      <c r="D820" s="652">
        <v>0</v>
      </c>
      <c r="E820" s="652"/>
      <c r="F820" s="652"/>
      <c r="G820" s="652"/>
      <c r="H820" s="950"/>
      <c r="I820" s="19"/>
    </row>
    <row r="821" spans="1:9" ht="30" customHeight="1" x14ac:dyDescent="0.2">
      <c r="A821" s="628"/>
      <c r="B821" s="679" t="s">
        <v>1994</v>
      </c>
      <c r="C821" s="652">
        <v>0</v>
      </c>
      <c r="D821" s="652">
        <f>(152880+4000)+20971+13463.31+63727</f>
        <v>255041.31</v>
      </c>
      <c r="E821" s="652"/>
      <c r="F821" s="652"/>
      <c r="G821" s="652"/>
      <c r="H821" s="950"/>
      <c r="I821" s="19"/>
    </row>
    <row r="822" spans="1:9" ht="30" customHeight="1" x14ac:dyDescent="0.2">
      <c r="A822" s="628"/>
      <c r="B822" s="679" t="s">
        <v>1733</v>
      </c>
      <c r="C822" s="652">
        <v>50000</v>
      </c>
      <c r="D822" s="652">
        <f>50000-4000</f>
        <v>46000</v>
      </c>
      <c r="E822" s="652"/>
      <c r="F822" s="652"/>
      <c r="G822" s="652"/>
      <c r="H822" s="950"/>
      <c r="I822" s="19"/>
    </row>
    <row r="823" spans="1:9" s="98" customFormat="1" ht="30" customHeight="1" x14ac:dyDescent="0.25">
      <c r="A823" s="628"/>
      <c r="B823" s="960" t="s">
        <v>1734</v>
      </c>
      <c r="C823" s="635">
        <f>C824+C827+C831</f>
        <v>21670000</v>
      </c>
      <c r="D823" s="635">
        <f>D824+D827+D831</f>
        <v>20601000</v>
      </c>
      <c r="E823" s="635"/>
      <c r="F823" s="635"/>
      <c r="G823" s="635"/>
      <c r="H823" s="839"/>
      <c r="I823" s="244"/>
    </row>
    <row r="824" spans="1:9" ht="30" customHeight="1" x14ac:dyDescent="0.2">
      <c r="A824" s="649"/>
      <c r="B824" s="720" t="s">
        <v>801</v>
      </c>
      <c r="C824" s="951">
        <f>C825+C826</f>
        <v>5500000</v>
      </c>
      <c r="D824" s="951">
        <f>D825+D826</f>
        <v>5931000</v>
      </c>
      <c r="E824" s="951"/>
      <c r="F824" s="951"/>
      <c r="G824" s="951"/>
      <c r="H824" s="950"/>
      <c r="I824" s="19"/>
    </row>
    <row r="825" spans="1:9" ht="30" customHeight="1" x14ac:dyDescent="0.2">
      <c r="A825" s="649"/>
      <c r="B825" s="672" t="s">
        <v>1735</v>
      </c>
      <c r="C825" s="652">
        <v>4650000</v>
      </c>
      <c r="D825" s="652">
        <f>4650000+431000</f>
        <v>5081000</v>
      </c>
      <c r="E825" s="652"/>
      <c r="F825" s="652"/>
      <c r="G825" s="652"/>
      <c r="H825" s="950"/>
      <c r="I825" s="19"/>
    </row>
    <row r="826" spans="1:9" ht="30" customHeight="1" x14ac:dyDescent="0.2">
      <c r="A826" s="649"/>
      <c r="B826" s="672" t="s">
        <v>1736</v>
      </c>
      <c r="C826" s="652">
        <v>850000</v>
      </c>
      <c r="D826" s="652">
        <v>850000</v>
      </c>
      <c r="E826" s="652"/>
      <c r="F826" s="652"/>
      <c r="G826" s="652"/>
      <c r="H826" s="950"/>
      <c r="I826" s="19"/>
    </row>
    <row r="827" spans="1:9" ht="30" customHeight="1" x14ac:dyDescent="0.2">
      <c r="A827" s="649"/>
      <c r="B827" s="720" t="s">
        <v>813</v>
      </c>
      <c r="C827" s="961">
        <f>C828+C829+C830</f>
        <v>14350000</v>
      </c>
      <c r="D827" s="961">
        <f>D828+D829+D830</f>
        <v>14350000</v>
      </c>
      <c r="E827" s="961"/>
      <c r="F827" s="961"/>
      <c r="G827" s="961"/>
      <c r="H827" s="950"/>
      <c r="I827" s="19"/>
    </row>
    <row r="828" spans="1:9" ht="30" customHeight="1" x14ac:dyDescent="0.2">
      <c r="A828" s="649"/>
      <c r="B828" s="668" t="s">
        <v>1737</v>
      </c>
      <c r="C828" s="652">
        <v>14300000</v>
      </c>
      <c r="D828" s="652">
        <v>14300000</v>
      </c>
      <c r="E828" s="652"/>
      <c r="F828" s="652"/>
      <c r="G828" s="652"/>
      <c r="H828" s="950"/>
      <c r="I828" s="19"/>
    </row>
    <row r="829" spans="1:9" ht="30" customHeight="1" x14ac:dyDescent="0.2">
      <c r="A829" s="649"/>
      <c r="B829" s="962" t="s">
        <v>821</v>
      </c>
      <c r="C829" s="652">
        <v>0</v>
      </c>
      <c r="D829" s="652">
        <v>0</v>
      </c>
      <c r="E829" s="652"/>
      <c r="F829" s="652"/>
      <c r="G829" s="652"/>
      <c r="H829" s="950"/>
      <c r="I829" s="19"/>
    </row>
    <row r="830" spans="1:9" ht="30" customHeight="1" x14ac:dyDescent="0.2">
      <c r="A830" s="649"/>
      <c r="B830" s="962" t="s">
        <v>1738</v>
      </c>
      <c r="C830" s="652">
        <v>50000</v>
      </c>
      <c r="D830" s="652">
        <v>50000</v>
      </c>
      <c r="E830" s="652"/>
      <c r="F830" s="652"/>
      <c r="G830" s="652"/>
      <c r="H830" s="950"/>
      <c r="I830" s="19"/>
    </row>
    <row r="831" spans="1:9" ht="30" customHeight="1" x14ac:dyDescent="0.2">
      <c r="A831" s="649"/>
      <c r="B831" s="720" t="s">
        <v>823</v>
      </c>
      <c r="C831" s="951">
        <f>C832+C833+C834+C835</f>
        <v>1820000</v>
      </c>
      <c r="D831" s="951">
        <f>D832+D833+D834+D835</f>
        <v>320000</v>
      </c>
      <c r="E831" s="951"/>
      <c r="F831" s="951"/>
      <c r="G831" s="951"/>
      <c r="H831" s="950"/>
      <c r="I831" s="19"/>
    </row>
    <row r="832" spans="1:9" ht="30" customHeight="1" x14ac:dyDescent="0.2">
      <c r="A832" s="649"/>
      <c r="B832" s="672" t="s">
        <v>824</v>
      </c>
      <c r="C832" s="652">
        <v>200000</v>
      </c>
      <c r="D832" s="652">
        <v>200000</v>
      </c>
      <c r="E832" s="652"/>
      <c r="F832" s="652"/>
      <c r="G832" s="652"/>
      <c r="H832" s="950"/>
      <c r="I832" s="19"/>
    </row>
    <row r="833" spans="1:9" ht="30" customHeight="1" x14ac:dyDescent="0.2">
      <c r="A833" s="649"/>
      <c r="B833" s="672" t="s">
        <v>1739</v>
      </c>
      <c r="C833" s="652">
        <v>0</v>
      </c>
      <c r="D833" s="652">
        <v>0</v>
      </c>
      <c r="E833" s="652"/>
      <c r="F833" s="652"/>
      <c r="G833" s="652"/>
      <c r="H833" s="950"/>
      <c r="I833" s="19"/>
    </row>
    <row r="834" spans="1:9" ht="30" customHeight="1" x14ac:dyDescent="0.2">
      <c r="A834" s="649"/>
      <c r="B834" s="672" t="s">
        <v>1740</v>
      </c>
      <c r="C834" s="652">
        <v>120000</v>
      </c>
      <c r="D834" s="652">
        <v>120000</v>
      </c>
      <c r="E834" s="652"/>
      <c r="F834" s="652"/>
      <c r="G834" s="652"/>
      <c r="H834" s="950"/>
      <c r="I834" s="19"/>
    </row>
    <row r="835" spans="1:9" ht="30" customHeight="1" x14ac:dyDescent="0.2">
      <c r="A835" s="649"/>
      <c r="B835" s="668" t="s">
        <v>826</v>
      </c>
      <c r="C835" s="652">
        <v>1500000</v>
      </c>
      <c r="D835" s="652">
        <f>1500000-1500000</f>
        <v>0</v>
      </c>
      <c r="E835" s="652"/>
      <c r="F835" s="652"/>
      <c r="G835" s="652"/>
      <c r="H835" s="950"/>
      <c r="I835" s="19"/>
    </row>
    <row r="836" spans="1:9" ht="30" customHeight="1" x14ac:dyDescent="0.2">
      <c r="A836" s="628">
        <v>3612</v>
      </c>
      <c r="B836" s="629" t="s">
        <v>827</v>
      </c>
      <c r="C836" s="635">
        <f>C837+C844</f>
        <v>56000000</v>
      </c>
      <c r="D836" s="635">
        <f>D837+D844</f>
        <v>53313073</v>
      </c>
      <c r="E836" s="635"/>
      <c r="F836" s="635"/>
      <c r="G836" s="635"/>
      <c r="H836" s="950"/>
      <c r="I836" s="19"/>
    </row>
    <row r="837" spans="1:9" ht="30" customHeight="1" x14ac:dyDescent="0.2">
      <c r="A837" s="649"/>
      <c r="B837" s="720" t="s">
        <v>801</v>
      </c>
      <c r="C837" s="951">
        <f>C838+C839+C840+C841+C842+C843</f>
        <v>1000000</v>
      </c>
      <c r="D837" s="951">
        <f>D838+D839+D840+D841+D842+D843</f>
        <v>1000000</v>
      </c>
      <c r="E837" s="951"/>
      <c r="F837" s="951"/>
      <c r="G837" s="951"/>
      <c r="H837" s="950"/>
      <c r="I837" s="19"/>
    </row>
    <row r="838" spans="1:9" ht="30" customHeight="1" x14ac:dyDescent="0.2">
      <c r="A838" s="628"/>
      <c r="B838" s="672" t="s">
        <v>1741</v>
      </c>
      <c r="C838" s="652">
        <v>0</v>
      </c>
      <c r="D838" s="652">
        <v>0</v>
      </c>
      <c r="E838" s="652"/>
      <c r="F838" s="652"/>
      <c r="G838" s="652"/>
      <c r="H838" s="950"/>
      <c r="I838" s="19"/>
    </row>
    <row r="839" spans="1:9" ht="30" customHeight="1" x14ac:dyDescent="0.2">
      <c r="A839" s="649"/>
      <c r="B839" s="672" t="s">
        <v>1742</v>
      </c>
      <c r="C839" s="652">
        <v>1000000</v>
      </c>
      <c r="D839" s="652">
        <v>1000000</v>
      </c>
      <c r="E839" s="652"/>
      <c r="F839" s="652"/>
      <c r="G839" s="652"/>
      <c r="H839" s="950"/>
      <c r="I839" s="19"/>
    </row>
    <row r="840" spans="1:9" ht="30" customHeight="1" x14ac:dyDescent="0.2">
      <c r="A840" s="628"/>
      <c r="B840" s="672" t="s">
        <v>1743</v>
      </c>
      <c r="C840" s="644">
        <v>0</v>
      </c>
      <c r="D840" s="644">
        <v>0</v>
      </c>
      <c r="E840" s="644"/>
      <c r="F840" s="644"/>
      <c r="G840" s="644"/>
      <c r="H840" s="950"/>
      <c r="I840" s="19"/>
    </row>
    <row r="841" spans="1:9" ht="30" customHeight="1" x14ac:dyDescent="0.2">
      <c r="A841" s="628"/>
      <c r="B841" s="672" t="s">
        <v>1744</v>
      </c>
      <c r="C841" s="709">
        <v>0</v>
      </c>
      <c r="D841" s="709">
        <v>0</v>
      </c>
      <c r="E841" s="709"/>
      <c r="F841" s="709"/>
      <c r="G841" s="709"/>
      <c r="H841" s="950"/>
      <c r="I841" s="19"/>
    </row>
    <row r="842" spans="1:9" ht="30" customHeight="1" x14ac:dyDescent="0.2">
      <c r="A842" s="628"/>
      <c r="B842" s="668" t="s">
        <v>1745</v>
      </c>
      <c r="C842" s="652">
        <v>0</v>
      </c>
      <c r="D842" s="652">
        <v>0</v>
      </c>
      <c r="E842" s="652"/>
      <c r="F842" s="652"/>
      <c r="G842" s="652"/>
      <c r="H842" s="950"/>
      <c r="I842" s="19"/>
    </row>
    <row r="843" spans="1:9" ht="30" customHeight="1" x14ac:dyDescent="0.2">
      <c r="A843" s="628"/>
      <c r="B843" s="672" t="s">
        <v>1746</v>
      </c>
      <c r="C843" s="712">
        <v>0</v>
      </c>
      <c r="D843" s="712">
        <v>0</v>
      </c>
      <c r="E843" s="712"/>
      <c r="F843" s="712"/>
      <c r="G843" s="712"/>
      <c r="H843" s="950"/>
      <c r="I843" s="19"/>
    </row>
    <row r="844" spans="1:9" ht="30" customHeight="1" x14ac:dyDescent="0.2">
      <c r="A844" s="628"/>
      <c r="B844" s="963" t="s">
        <v>838</v>
      </c>
      <c r="C844" s="964">
        <f>C845+C852+C859+C868+C874+C875+C876+C877+C878+C883+C884</f>
        <v>55000000</v>
      </c>
      <c r="D844" s="964">
        <f>D845+D852+D859+D868+D874+D875+D876+D877+D878+D883+D884</f>
        <v>52313073</v>
      </c>
      <c r="E844" s="964"/>
      <c r="F844" s="964"/>
      <c r="G844" s="964"/>
      <c r="H844" s="950"/>
      <c r="I844" s="19"/>
    </row>
    <row r="845" spans="1:9" s="488" customFormat="1" ht="30" customHeight="1" x14ac:dyDescent="0.2">
      <c r="A845" s="965"/>
      <c r="B845" s="949" t="s">
        <v>839</v>
      </c>
      <c r="C845" s="966">
        <f t="shared" ref="C845:D845" si="32">SUM(C846:C851)</f>
        <v>10750000</v>
      </c>
      <c r="D845" s="966">
        <f t="shared" si="32"/>
        <v>8050000</v>
      </c>
      <c r="E845" s="966"/>
      <c r="F845" s="966"/>
      <c r="G845" s="966"/>
      <c r="H845" s="967"/>
      <c r="I845" s="968"/>
    </row>
    <row r="846" spans="1:9" ht="30" customHeight="1" x14ac:dyDescent="0.2">
      <c r="A846" s="628"/>
      <c r="B846" s="668" t="s">
        <v>1747</v>
      </c>
      <c r="C846" s="712">
        <v>5750000</v>
      </c>
      <c r="D846" s="712">
        <f>5750000-700000</f>
        <v>5050000</v>
      </c>
      <c r="E846" s="712"/>
      <c r="F846" s="712"/>
      <c r="G846" s="712"/>
      <c r="H846" s="950"/>
      <c r="I846" s="19"/>
    </row>
    <row r="847" spans="1:9" ht="30" customHeight="1" x14ac:dyDescent="0.2">
      <c r="A847" s="628"/>
      <c r="B847" s="668" t="s">
        <v>1748</v>
      </c>
      <c r="C847" s="709">
        <v>1000000</v>
      </c>
      <c r="D847" s="709">
        <v>1000000</v>
      </c>
      <c r="E847" s="709"/>
      <c r="F847" s="709"/>
      <c r="G847" s="709"/>
      <c r="H847" s="950"/>
      <c r="I847" s="19"/>
    </row>
    <row r="848" spans="1:9" ht="30" customHeight="1" x14ac:dyDescent="0.2">
      <c r="A848" s="628"/>
      <c r="B848" s="668" t="s">
        <v>1749</v>
      </c>
      <c r="C848" s="709">
        <v>2000000</v>
      </c>
      <c r="D848" s="709">
        <v>2000000</v>
      </c>
      <c r="E848" s="709"/>
      <c r="F848" s="709"/>
      <c r="G848" s="709"/>
      <c r="H848" s="950"/>
      <c r="I848" s="19"/>
    </row>
    <row r="849" spans="1:9" s="488" customFormat="1" ht="30" customHeight="1" x14ac:dyDescent="0.2">
      <c r="A849" s="969"/>
      <c r="B849" s="952" t="s">
        <v>1750</v>
      </c>
      <c r="C849" s="970">
        <v>0</v>
      </c>
      <c r="D849" s="970">
        <v>0</v>
      </c>
      <c r="E849" s="970"/>
      <c r="F849" s="970"/>
      <c r="G849" s="970"/>
      <c r="H849" s="967"/>
      <c r="I849" s="968"/>
    </row>
    <row r="850" spans="1:9" ht="30" customHeight="1" x14ac:dyDescent="0.2">
      <c r="A850" s="628"/>
      <c r="B850" s="668" t="s">
        <v>1751</v>
      </c>
      <c r="C850" s="709">
        <v>2000000</v>
      </c>
      <c r="D850" s="709">
        <f>2000000-1500000-500000</f>
        <v>0</v>
      </c>
      <c r="E850" s="709"/>
      <c r="F850" s="709"/>
      <c r="G850" s="709"/>
      <c r="H850" s="950"/>
      <c r="I850" s="19"/>
    </row>
    <row r="851" spans="1:9" ht="30" customHeight="1" x14ac:dyDescent="0.2">
      <c r="A851" s="649">
        <v>5169</v>
      </c>
      <c r="B851" s="672" t="s">
        <v>1752</v>
      </c>
      <c r="C851" s="644">
        <v>0</v>
      </c>
      <c r="D851" s="644">
        <v>0</v>
      </c>
      <c r="E851" s="644"/>
      <c r="F851" s="644"/>
      <c r="G851" s="644"/>
      <c r="H851" s="950"/>
      <c r="I851" s="19"/>
    </row>
    <row r="852" spans="1:9" s="98" customFormat="1" ht="30" customHeight="1" x14ac:dyDescent="0.25">
      <c r="A852" s="628"/>
      <c r="B852" s="971" t="s">
        <v>1753</v>
      </c>
      <c r="C852" s="972">
        <f t="shared" ref="C852:D852" si="33">C853+C854</f>
        <v>3400000</v>
      </c>
      <c r="D852" s="972">
        <f t="shared" si="33"/>
        <v>3400000</v>
      </c>
      <c r="E852" s="972"/>
      <c r="F852" s="972"/>
      <c r="G852" s="972"/>
      <c r="H852" s="839"/>
      <c r="I852" s="244"/>
    </row>
    <row r="853" spans="1:9" ht="30" customHeight="1" x14ac:dyDescent="0.2">
      <c r="A853" s="649"/>
      <c r="B853" s="668" t="s">
        <v>1754</v>
      </c>
      <c r="C853" s="652">
        <v>3000000</v>
      </c>
      <c r="D853" s="652">
        <v>3000000</v>
      </c>
      <c r="E853" s="652"/>
      <c r="F853" s="652"/>
      <c r="G853" s="652"/>
      <c r="H853" s="950"/>
      <c r="I853" s="19"/>
    </row>
    <row r="854" spans="1:9" ht="30" customHeight="1" x14ac:dyDescent="0.2">
      <c r="A854" s="649"/>
      <c r="B854" s="679" t="s">
        <v>845</v>
      </c>
      <c r="C854" s="652">
        <f>C858+C857+C856+C855</f>
        <v>400000</v>
      </c>
      <c r="D854" s="652">
        <f>D858+D857+D856+D855</f>
        <v>400000</v>
      </c>
      <c r="E854" s="652"/>
      <c r="F854" s="652"/>
      <c r="G854" s="652"/>
      <c r="H854" s="950"/>
      <c r="I854" s="19"/>
    </row>
    <row r="855" spans="1:9" ht="30" customHeight="1" x14ac:dyDescent="0.2">
      <c r="A855" s="649"/>
      <c r="B855" s="679" t="s">
        <v>1755</v>
      </c>
      <c r="C855" s="652">
        <v>400000</v>
      </c>
      <c r="D855" s="652">
        <v>400000</v>
      </c>
      <c r="E855" s="652"/>
      <c r="F855" s="652"/>
      <c r="G855" s="652"/>
      <c r="H855" s="950"/>
      <c r="I855" s="19"/>
    </row>
    <row r="856" spans="1:9" ht="30" customHeight="1" x14ac:dyDescent="0.2">
      <c r="A856" s="628"/>
      <c r="B856" s="679" t="s">
        <v>1756</v>
      </c>
      <c r="C856" s="652">
        <v>0</v>
      </c>
      <c r="D856" s="652">
        <v>0</v>
      </c>
      <c r="E856" s="652"/>
      <c r="F856" s="652"/>
      <c r="G856" s="652"/>
      <c r="H856" s="950"/>
      <c r="I856" s="19"/>
    </row>
    <row r="857" spans="1:9" ht="30" customHeight="1" x14ac:dyDescent="0.2">
      <c r="A857" s="649"/>
      <c r="B857" s="679" t="s">
        <v>1757</v>
      </c>
      <c r="C857" s="652">
        <v>0</v>
      </c>
      <c r="D857" s="652">
        <v>0</v>
      </c>
      <c r="E857" s="652"/>
      <c r="F857" s="652"/>
      <c r="G857" s="652"/>
      <c r="H857" s="950"/>
      <c r="I857" s="19"/>
    </row>
    <row r="858" spans="1:9" ht="30" customHeight="1" x14ac:dyDescent="0.2">
      <c r="A858" s="649"/>
      <c r="B858" s="679" t="s">
        <v>1758</v>
      </c>
      <c r="C858" s="652">
        <v>0</v>
      </c>
      <c r="D858" s="652">
        <v>0</v>
      </c>
      <c r="E858" s="652"/>
      <c r="F858" s="652"/>
      <c r="G858" s="652"/>
      <c r="H858" s="950"/>
      <c r="I858" s="19"/>
    </row>
    <row r="859" spans="1:9" s="488" customFormat="1" ht="30" customHeight="1" x14ac:dyDescent="0.2">
      <c r="A859" s="969"/>
      <c r="B859" s="973" t="s">
        <v>1759</v>
      </c>
      <c r="C859" s="972">
        <f t="shared" ref="C859:D859" si="34">C860+C861</f>
        <v>5350000</v>
      </c>
      <c r="D859" s="972">
        <f t="shared" si="34"/>
        <v>5363073</v>
      </c>
      <c r="E859" s="972"/>
      <c r="F859" s="972"/>
      <c r="G859" s="972"/>
      <c r="H859" s="950"/>
      <c r="I859" s="968"/>
    </row>
    <row r="860" spans="1:9" s="488" customFormat="1" ht="30" customHeight="1" x14ac:dyDescent="0.2">
      <c r="A860" s="969"/>
      <c r="B860" s="974" t="s">
        <v>844</v>
      </c>
      <c r="C860" s="975">
        <v>3000000</v>
      </c>
      <c r="D860" s="975">
        <v>3000000</v>
      </c>
      <c r="E860" s="975"/>
      <c r="F860" s="975"/>
      <c r="G860" s="975"/>
      <c r="H860" s="967"/>
      <c r="I860" s="968"/>
    </row>
    <row r="861" spans="1:9" s="488" customFormat="1" ht="30" customHeight="1" x14ac:dyDescent="0.2">
      <c r="A861" s="649"/>
      <c r="B861" s="679" t="s">
        <v>849</v>
      </c>
      <c r="C861" s="652">
        <f>C862+C863+C864+C865+C866+C867</f>
        <v>2350000</v>
      </c>
      <c r="D861" s="652">
        <f>D862+D863+D864+D865+D866+D867</f>
        <v>2363073</v>
      </c>
      <c r="E861" s="652"/>
      <c r="F861" s="652"/>
      <c r="G861" s="652"/>
      <c r="H861" s="967"/>
      <c r="I861" s="968"/>
    </row>
    <row r="862" spans="1:9" ht="30" customHeight="1" x14ac:dyDescent="0.2">
      <c r="A862" s="649"/>
      <c r="B862" s="672" t="s">
        <v>1760</v>
      </c>
      <c r="C862" s="652">
        <v>500000</v>
      </c>
      <c r="D862" s="652">
        <v>500000</v>
      </c>
      <c r="E862" s="652"/>
      <c r="F862" s="652"/>
      <c r="G862" s="652"/>
      <c r="H862" s="950"/>
      <c r="I862" s="19"/>
    </row>
    <row r="863" spans="1:9" ht="30" customHeight="1" x14ac:dyDescent="0.2">
      <c r="A863" s="649"/>
      <c r="B863" s="679" t="s">
        <v>1761</v>
      </c>
      <c r="C863" s="644">
        <v>250000</v>
      </c>
      <c r="D863" s="644">
        <f>250000+13073</f>
        <v>263073</v>
      </c>
      <c r="E863" s="644"/>
      <c r="F863" s="644"/>
      <c r="G863" s="644"/>
      <c r="H863" s="950"/>
      <c r="I863" s="19"/>
    </row>
    <row r="864" spans="1:9" ht="30" customHeight="1" x14ac:dyDescent="0.2">
      <c r="A864" s="969"/>
      <c r="B864" s="668" t="s">
        <v>1762</v>
      </c>
      <c r="C864" s="652">
        <v>600000</v>
      </c>
      <c r="D864" s="652">
        <v>600000</v>
      </c>
      <c r="E864" s="652"/>
      <c r="F864" s="652"/>
      <c r="G864" s="652"/>
      <c r="H864" s="950"/>
      <c r="I864" s="19"/>
    </row>
    <row r="865" spans="1:9" ht="30" customHeight="1" x14ac:dyDescent="0.2">
      <c r="A865" s="969"/>
      <c r="B865" s="668" t="s">
        <v>1763</v>
      </c>
      <c r="C865" s="652">
        <v>1000000</v>
      </c>
      <c r="D865" s="652">
        <v>1000000</v>
      </c>
      <c r="E865" s="652"/>
      <c r="F865" s="652"/>
      <c r="G865" s="652"/>
      <c r="H865" s="950"/>
      <c r="I865" s="19"/>
    </row>
    <row r="866" spans="1:9" s="488" customFormat="1" ht="30" customHeight="1" x14ac:dyDescent="0.2">
      <c r="A866" s="969"/>
      <c r="B866" s="668" t="s">
        <v>1764</v>
      </c>
      <c r="C866" s="652">
        <v>0</v>
      </c>
      <c r="D866" s="652">
        <v>0</v>
      </c>
      <c r="E866" s="652"/>
      <c r="F866" s="652"/>
      <c r="G866" s="652"/>
      <c r="H866" s="967"/>
      <c r="I866" s="968"/>
    </row>
    <row r="867" spans="1:9" s="488" customFormat="1" ht="30" customHeight="1" x14ac:dyDescent="0.2">
      <c r="A867" s="969"/>
      <c r="B867" s="668" t="s">
        <v>1765</v>
      </c>
      <c r="C867" s="652">
        <v>0</v>
      </c>
      <c r="D867" s="652">
        <v>0</v>
      </c>
      <c r="E867" s="652"/>
      <c r="F867" s="652"/>
      <c r="G867" s="652"/>
      <c r="H867" s="967"/>
      <c r="I867" s="968"/>
    </row>
    <row r="868" spans="1:9" s="488" customFormat="1" ht="30" customHeight="1" x14ac:dyDescent="0.2">
      <c r="A868" s="969"/>
      <c r="B868" s="976" t="s">
        <v>1766</v>
      </c>
      <c r="C868" s="977">
        <f t="shared" ref="C868:D868" si="35">C869+C870</f>
        <v>2750000</v>
      </c>
      <c r="D868" s="977">
        <f t="shared" si="35"/>
        <v>2750000</v>
      </c>
      <c r="E868" s="977"/>
      <c r="F868" s="977"/>
      <c r="G868" s="977"/>
      <c r="H868" s="978"/>
      <c r="I868" s="968"/>
    </row>
    <row r="869" spans="1:9" s="488" customFormat="1" ht="30" customHeight="1" x14ac:dyDescent="0.2">
      <c r="A869" s="969"/>
      <c r="B869" s="668" t="s">
        <v>858</v>
      </c>
      <c r="C869" s="644">
        <v>2500000</v>
      </c>
      <c r="D869" s="644">
        <v>2500000</v>
      </c>
      <c r="E869" s="644"/>
      <c r="F869" s="644"/>
      <c r="G869" s="644"/>
      <c r="H869" s="978"/>
      <c r="I869" s="968"/>
    </row>
    <row r="870" spans="1:9" s="488" customFormat="1" ht="30" customHeight="1" x14ac:dyDescent="0.2">
      <c r="A870" s="649"/>
      <c r="B870" s="672" t="s">
        <v>859</v>
      </c>
      <c r="C870" s="644">
        <f>C871+C872+C873</f>
        <v>250000</v>
      </c>
      <c r="D870" s="644">
        <f>D871+D872+D873</f>
        <v>250000</v>
      </c>
      <c r="E870" s="644"/>
      <c r="F870" s="644"/>
      <c r="G870" s="644"/>
      <c r="H870" s="967"/>
      <c r="I870" s="968"/>
    </row>
    <row r="871" spans="1:9" ht="30" customHeight="1" x14ac:dyDescent="0.2">
      <c r="A871" s="649"/>
      <c r="B871" s="672" t="s">
        <v>863</v>
      </c>
      <c r="C871" s="644">
        <v>250000</v>
      </c>
      <c r="D871" s="644">
        <v>250000</v>
      </c>
      <c r="E871" s="644"/>
      <c r="F871" s="644"/>
      <c r="G871" s="644"/>
      <c r="H871" s="950"/>
      <c r="I871" s="19"/>
    </row>
    <row r="872" spans="1:9" ht="30" customHeight="1" x14ac:dyDescent="0.2">
      <c r="A872" s="649"/>
      <c r="B872" s="979" t="s">
        <v>866</v>
      </c>
      <c r="C872" s="644">
        <v>0</v>
      </c>
      <c r="D872" s="644">
        <v>0</v>
      </c>
      <c r="E872" s="644"/>
      <c r="F872" s="644"/>
      <c r="G872" s="644"/>
      <c r="H872" s="950"/>
      <c r="I872" s="19"/>
    </row>
    <row r="873" spans="1:9" ht="30" customHeight="1" x14ac:dyDescent="0.2">
      <c r="A873" s="969"/>
      <c r="B873" s="979" t="s">
        <v>1767</v>
      </c>
      <c r="C873" s="644">
        <v>0</v>
      </c>
      <c r="D873" s="644">
        <v>0</v>
      </c>
      <c r="E873" s="644"/>
      <c r="F873" s="644"/>
      <c r="G873" s="644"/>
      <c r="H873" s="950"/>
      <c r="I873" s="19"/>
    </row>
    <row r="874" spans="1:9" s="488" customFormat="1" ht="30" customHeight="1" x14ac:dyDescent="0.2">
      <c r="A874" s="969"/>
      <c r="B874" s="980" t="s">
        <v>1768</v>
      </c>
      <c r="C874" s="644">
        <v>400000</v>
      </c>
      <c r="D874" s="644">
        <v>400000</v>
      </c>
      <c r="E874" s="644"/>
      <c r="F874" s="644"/>
      <c r="G874" s="644"/>
      <c r="H874" s="967"/>
      <c r="I874" s="968"/>
    </row>
    <row r="875" spans="1:9" s="488" customFormat="1" ht="30" customHeight="1" x14ac:dyDescent="0.2">
      <c r="A875" s="969"/>
      <c r="B875" s="980" t="s">
        <v>1769</v>
      </c>
      <c r="C875" s="644">
        <v>3000000</v>
      </c>
      <c r="D875" s="644">
        <v>3000000</v>
      </c>
      <c r="E875" s="644"/>
      <c r="F875" s="644"/>
      <c r="G875" s="644"/>
      <c r="H875" s="967"/>
      <c r="I875" s="968"/>
    </row>
    <row r="876" spans="1:9" s="488" customFormat="1" ht="30" customHeight="1" x14ac:dyDescent="0.2">
      <c r="A876" s="969"/>
      <c r="B876" s="981" t="s">
        <v>1770</v>
      </c>
      <c r="C876" s="644">
        <v>100000</v>
      </c>
      <c r="D876" s="644">
        <v>100000</v>
      </c>
      <c r="E876" s="644"/>
      <c r="F876" s="644"/>
      <c r="G876" s="644"/>
      <c r="H876" s="967"/>
      <c r="I876" s="968"/>
    </row>
    <row r="877" spans="1:9" s="488" customFormat="1" ht="30" customHeight="1" x14ac:dyDescent="0.2">
      <c r="A877" s="969"/>
      <c r="B877" s="982" t="s">
        <v>1771</v>
      </c>
      <c r="C877" s="652">
        <v>100000</v>
      </c>
      <c r="D877" s="652">
        <v>100000</v>
      </c>
      <c r="E877" s="652"/>
      <c r="F877" s="652"/>
      <c r="G877" s="652"/>
      <c r="H877" s="967"/>
      <c r="I877" s="968"/>
    </row>
    <row r="878" spans="1:9" s="488" customFormat="1" ht="30" customHeight="1" x14ac:dyDescent="0.2">
      <c r="A878" s="969"/>
      <c r="B878" s="982" t="s">
        <v>1772</v>
      </c>
      <c r="C878" s="644">
        <f>C879+C880+C881+C882</f>
        <v>29050000</v>
      </c>
      <c r="D878" s="644">
        <f>D879+D880+D881+D882</f>
        <v>29050000</v>
      </c>
      <c r="E878" s="644"/>
      <c r="F878" s="644"/>
      <c r="G878" s="644"/>
      <c r="H878" s="967"/>
      <c r="I878" s="968"/>
    </row>
    <row r="879" spans="1:9" s="488" customFormat="1" ht="30" customHeight="1" x14ac:dyDescent="0.2">
      <c r="A879" s="969"/>
      <c r="B879" s="983" t="s">
        <v>1773</v>
      </c>
      <c r="C879" s="652">
        <v>5600000</v>
      </c>
      <c r="D879" s="652">
        <v>5600000</v>
      </c>
      <c r="E879" s="652"/>
      <c r="F879" s="652"/>
      <c r="G879" s="652"/>
      <c r="H879" s="967"/>
      <c r="I879" s="968"/>
    </row>
    <row r="880" spans="1:9" s="488" customFormat="1" ht="30" customHeight="1" x14ac:dyDescent="0.2">
      <c r="A880" s="649"/>
      <c r="B880" s="979" t="s">
        <v>1774</v>
      </c>
      <c r="C880" s="644">
        <v>20000000</v>
      </c>
      <c r="D880" s="644">
        <v>20000000</v>
      </c>
      <c r="E880" s="644"/>
      <c r="F880" s="644"/>
      <c r="G880" s="644"/>
      <c r="H880" s="967"/>
      <c r="I880" s="968"/>
    </row>
    <row r="881" spans="1:9" s="488" customFormat="1" ht="30" customHeight="1" x14ac:dyDescent="0.2">
      <c r="A881" s="649">
        <v>9</v>
      </c>
      <c r="B881" s="672" t="s">
        <v>1775</v>
      </c>
      <c r="C881" s="644">
        <v>900000</v>
      </c>
      <c r="D881" s="644">
        <v>900000</v>
      </c>
      <c r="E881" s="644"/>
      <c r="F881" s="644"/>
      <c r="G881" s="644"/>
      <c r="H881" s="967"/>
      <c r="I881" s="968"/>
    </row>
    <row r="882" spans="1:9" ht="30" customHeight="1" x14ac:dyDescent="0.2">
      <c r="A882" s="649"/>
      <c r="B882" s="668" t="s">
        <v>1776</v>
      </c>
      <c r="C882" s="644">
        <v>2550000</v>
      </c>
      <c r="D882" s="644">
        <v>2550000</v>
      </c>
      <c r="E882" s="644"/>
      <c r="F882" s="644"/>
      <c r="G882" s="644"/>
      <c r="H882" s="950"/>
      <c r="I882" s="19"/>
    </row>
    <row r="883" spans="1:9" ht="30" customHeight="1" x14ac:dyDescent="0.2">
      <c r="A883" s="649"/>
      <c r="B883" s="668" t="s">
        <v>872</v>
      </c>
      <c r="C883" s="644">
        <v>100000</v>
      </c>
      <c r="D883" s="644">
        <v>100000</v>
      </c>
      <c r="E883" s="644"/>
      <c r="F883" s="644"/>
      <c r="G883" s="644"/>
      <c r="H883" s="950"/>
      <c r="I883" s="19"/>
    </row>
    <row r="884" spans="1:9" ht="30" customHeight="1" x14ac:dyDescent="0.2">
      <c r="A884" s="649"/>
      <c r="B884" s="668" t="s">
        <v>1777</v>
      </c>
      <c r="C884" s="644">
        <v>0</v>
      </c>
      <c r="D884" s="644">
        <v>0</v>
      </c>
      <c r="E884" s="644"/>
      <c r="F884" s="644"/>
      <c r="G884" s="644"/>
      <c r="H884" s="950"/>
      <c r="I884" s="19"/>
    </row>
    <row r="885" spans="1:9" s="98" customFormat="1" ht="30" customHeight="1" x14ac:dyDescent="0.25">
      <c r="A885" s="628">
        <v>3613</v>
      </c>
      <c r="B885" s="634" t="s">
        <v>873</v>
      </c>
      <c r="C885" s="637">
        <f>C886+C902+C903+C904+C909+C923+C924</f>
        <v>32875000</v>
      </c>
      <c r="D885" s="637">
        <f>D886+D902+D903+D904+D909+D923+D924</f>
        <v>28875000</v>
      </c>
      <c r="E885" s="637"/>
      <c r="F885" s="637"/>
      <c r="G885" s="637"/>
      <c r="H885" s="839"/>
      <c r="I885" s="244"/>
    </row>
    <row r="886" spans="1:9" s="488" customFormat="1" ht="30" customHeight="1" x14ac:dyDescent="0.2">
      <c r="A886" s="984"/>
      <c r="B886" s="985" t="s">
        <v>874</v>
      </c>
      <c r="C886" s="961">
        <f>SUM(C887:C901)</f>
        <v>7570000</v>
      </c>
      <c r="D886" s="961">
        <f>SUM(D887:D901)</f>
        <v>3900000</v>
      </c>
      <c r="E886" s="961"/>
      <c r="F886" s="961"/>
      <c r="G886" s="961"/>
      <c r="H886" s="967"/>
      <c r="I886" s="968"/>
    </row>
    <row r="887" spans="1:9" ht="30" customHeight="1" x14ac:dyDescent="0.2">
      <c r="A887" s="625"/>
      <c r="B887" s="668" t="s">
        <v>1778</v>
      </c>
      <c r="C887" s="644">
        <v>400000</v>
      </c>
      <c r="D887" s="644">
        <v>400000</v>
      </c>
      <c r="E887" s="644"/>
      <c r="F887" s="644"/>
      <c r="G887" s="644"/>
      <c r="H887" s="950"/>
      <c r="I887" s="19"/>
    </row>
    <row r="888" spans="1:9" ht="30" customHeight="1" x14ac:dyDescent="0.2">
      <c r="A888" s="965"/>
      <c r="B888" s="668" t="s">
        <v>1779</v>
      </c>
      <c r="C888" s="652">
        <v>0</v>
      </c>
      <c r="D888" s="652">
        <v>0</v>
      </c>
      <c r="E888" s="652"/>
      <c r="F888" s="652"/>
      <c r="G888" s="652"/>
      <c r="H888" s="950"/>
      <c r="I888" s="19"/>
    </row>
    <row r="889" spans="1:9" ht="30" customHeight="1" x14ac:dyDescent="0.2">
      <c r="A889" s="965"/>
      <c r="B889" s="668" t="s">
        <v>1780</v>
      </c>
      <c r="C889" s="652">
        <v>220000</v>
      </c>
      <c r="D889" s="652">
        <v>220000</v>
      </c>
      <c r="E889" s="652"/>
      <c r="F889" s="652"/>
      <c r="G889" s="652"/>
      <c r="H889" s="950"/>
      <c r="I889" s="19"/>
    </row>
    <row r="890" spans="1:9" s="2" customFormat="1" ht="30" customHeight="1" x14ac:dyDescent="0.2">
      <c r="A890" s="628"/>
      <c r="B890" s="668" t="s">
        <v>1781</v>
      </c>
      <c r="C890" s="975">
        <v>0</v>
      </c>
      <c r="D890" s="975">
        <v>0</v>
      </c>
      <c r="E890" s="975"/>
      <c r="F890" s="975"/>
      <c r="G890" s="975"/>
      <c r="H890" s="950"/>
      <c r="I890" s="19"/>
    </row>
    <row r="891" spans="1:9" ht="30" customHeight="1" x14ac:dyDescent="0.2">
      <c r="A891" s="628"/>
      <c r="B891" s="986" t="s">
        <v>2029</v>
      </c>
      <c r="C891" s="644">
        <v>150000</v>
      </c>
      <c r="D891" s="644">
        <v>150000</v>
      </c>
      <c r="E891" s="644"/>
      <c r="F891" s="644"/>
      <c r="G891" s="644"/>
      <c r="H891" s="950"/>
      <c r="I891" s="19"/>
    </row>
    <row r="892" spans="1:9" ht="30" customHeight="1" x14ac:dyDescent="0.2">
      <c r="A892" s="965"/>
      <c r="B892" s="668" t="s">
        <v>2030</v>
      </c>
      <c r="C892" s="652">
        <v>0</v>
      </c>
      <c r="D892" s="652">
        <f>330000</f>
        <v>330000</v>
      </c>
      <c r="E892" s="652"/>
      <c r="F892" s="652"/>
      <c r="G892" s="652"/>
      <c r="H892" s="950"/>
      <c r="I892" s="19"/>
    </row>
    <row r="893" spans="1:9" ht="30" customHeight="1" x14ac:dyDescent="0.2">
      <c r="A893" s="628"/>
      <c r="B893" s="987" t="s">
        <v>1783</v>
      </c>
      <c r="C893" s="644">
        <v>0</v>
      </c>
      <c r="D893" s="644">
        <v>0</v>
      </c>
      <c r="E893" s="644"/>
      <c r="F893" s="644"/>
      <c r="G893" s="644"/>
      <c r="H893" s="950"/>
      <c r="I893" s="19"/>
    </row>
    <row r="894" spans="1:9" ht="30" customHeight="1" x14ac:dyDescent="0.2">
      <c r="A894" s="625"/>
      <c r="B894" s="987" t="s">
        <v>1784</v>
      </c>
      <c r="C894" s="644">
        <v>0</v>
      </c>
      <c r="D894" s="644">
        <v>0</v>
      </c>
      <c r="E894" s="644"/>
      <c r="F894" s="644"/>
      <c r="G894" s="644"/>
      <c r="H894" s="950"/>
      <c r="I894" s="19"/>
    </row>
    <row r="895" spans="1:9" ht="30" customHeight="1" x14ac:dyDescent="0.2">
      <c r="A895" s="625"/>
      <c r="B895" s="987" t="s">
        <v>1785</v>
      </c>
      <c r="C895" s="644">
        <v>0</v>
      </c>
      <c r="D895" s="644">
        <v>0</v>
      </c>
      <c r="E895" s="644"/>
      <c r="F895" s="644"/>
      <c r="G895" s="644"/>
      <c r="H895" s="950"/>
      <c r="I895" s="19"/>
    </row>
    <row r="896" spans="1:9" ht="30" customHeight="1" x14ac:dyDescent="0.2">
      <c r="A896" s="625"/>
      <c r="B896" s="672" t="s">
        <v>885</v>
      </c>
      <c r="C896" s="644">
        <v>0</v>
      </c>
      <c r="D896" s="644">
        <v>0</v>
      </c>
      <c r="E896" s="644"/>
      <c r="F896" s="644"/>
      <c r="G896" s="644"/>
      <c r="H896" s="950"/>
      <c r="I896" s="19"/>
    </row>
    <row r="897" spans="1:9" ht="30" customHeight="1" x14ac:dyDescent="0.2">
      <c r="A897" s="625"/>
      <c r="B897" s="986" t="s">
        <v>1786</v>
      </c>
      <c r="C897" s="644">
        <v>800000</v>
      </c>
      <c r="D897" s="644">
        <v>800000</v>
      </c>
      <c r="E897" s="644"/>
      <c r="F897" s="644"/>
      <c r="G897" s="644"/>
      <c r="H897" s="950"/>
      <c r="I897" s="19"/>
    </row>
    <row r="898" spans="1:9" ht="30" customHeight="1" x14ac:dyDescent="0.2">
      <c r="A898" s="625"/>
      <c r="B898" s="672" t="s">
        <v>1787</v>
      </c>
      <c r="C898" s="644">
        <v>4000000</v>
      </c>
      <c r="D898" s="644">
        <f>4000000-4000000</f>
        <v>0</v>
      </c>
      <c r="E898" s="644"/>
      <c r="F898" s="644"/>
      <c r="G898" s="644"/>
      <c r="H898" s="950"/>
      <c r="I898" s="19"/>
    </row>
    <row r="899" spans="1:9" ht="30" customHeight="1" x14ac:dyDescent="0.2">
      <c r="A899" s="625"/>
      <c r="B899" s="672" t="s">
        <v>1788</v>
      </c>
      <c r="C899" s="644">
        <v>700000</v>
      </c>
      <c r="D899" s="644">
        <v>700000</v>
      </c>
      <c r="E899" s="644"/>
      <c r="F899" s="644"/>
      <c r="G899" s="644"/>
      <c r="H899" s="950"/>
      <c r="I899" s="19"/>
    </row>
    <row r="900" spans="1:9" ht="30" customHeight="1" x14ac:dyDescent="0.2">
      <c r="A900" s="625"/>
      <c r="B900" s="672" t="s">
        <v>1789</v>
      </c>
      <c r="C900" s="644">
        <v>900000</v>
      </c>
      <c r="D900" s="644">
        <v>900000</v>
      </c>
      <c r="E900" s="644"/>
      <c r="F900" s="644"/>
      <c r="G900" s="644"/>
      <c r="H900" s="950"/>
      <c r="I900" s="19"/>
    </row>
    <row r="901" spans="1:9" ht="30" customHeight="1" x14ac:dyDescent="0.2">
      <c r="A901" s="625"/>
      <c r="B901" s="987" t="s">
        <v>1790</v>
      </c>
      <c r="C901" s="644">
        <v>400000</v>
      </c>
      <c r="D901" s="644">
        <v>400000</v>
      </c>
      <c r="E901" s="644"/>
      <c r="F901" s="644"/>
      <c r="G901" s="644"/>
      <c r="H901" s="950"/>
      <c r="I901" s="19"/>
    </row>
    <row r="902" spans="1:9" ht="30" customHeight="1" x14ac:dyDescent="0.2">
      <c r="A902" s="625"/>
      <c r="B902" s="720" t="s">
        <v>1791</v>
      </c>
      <c r="C902" s="652">
        <v>30000</v>
      </c>
      <c r="D902" s="652">
        <v>30000</v>
      </c>
      <c r="E902" s="652"/>
      <c r="F902" s="652"/>
      <c r="G902" s="652"/>
      <c r="H902" s="950"/>
      <c r="I902" s="19"/>
    </row>
    <row r="903" spans="1:9" ht="30" customHeight="1" x14ac:dyDescent="0.2">
      <c r="A903" s="625"/>
      <c r="B903" s="720" t="s">
        <v>1792</v>
      </c>
      <c r="C903" s="961">
        <v>80000</v>
      </c>
      <c r="D903" s="961">
        <v>80000</v>
      </c>
      <c r="E903" s="961"/>
      <c r="F903" s="961"/>
      <c r="G903" s="961"/>
      <c r="H903" s="950"/>
      <c r="I903" s="19"/>
    </row>
    <row r="904" spans="1:9" ht="30" customHeight="1" x14ac:dyDescent="0.2">
      <c r="A904" s="965"/>
      <c r="B904" s="720" t="s">
        <v>1793</v>
      </c>
      <c r="C904" s="961">
        <f>C905+C906+C907+C908</f>
        <v>7900000</v>
      </c>
      <c r="D904" s="961">
        <f>D905+D906+D907+D908</f>
        <v>7900000</v>
      </c>
      <c r="E904" s="961"/>
      <c r="F904" s="961"/>
      <c r="G904" s="961"/>
      <c r="H904" s="950"/>
      <c r="I904" s="19"/>
    </row>
    <row r="905" spans="1:9" ht="30" customHeight="1" x14ac:dyDescent="0.2">
      <c r="A905" s="965"/>
      <c r="B905" s="720" t="s">
        <v>1794</v>
      </c>
      <c r="C905" s="644">
        <v>1000000</v>
      </c>
      <c r="D905" s="644">
        <v>1000000</v>
      </c>
      <c r="E905" s="644"/>
      <c r="F905" s="644"/>
      <c r="G905" s="644"/>
      <c r="H905" s="950"/>
      <c r="I905" s="19"/>
    </row>
    <row r="906" spans="1:9" ht="30" customHeight="1" x14ac:dyDescent="0.2">
      <c r="A906" s="965"/>
      <c r="B906" s="720" t="s">
        <v>891</v>
      </c>
      <c r="C906" s="644">
        <v>2000000</v>
      </c>
      <c r="D906" s="644">
        <v>2000000</v>
      </c>
      <c r="E906" s="644"/>
      <c r="F906" s="644"/>
      <c r="G906" s="644"/>
      <c r="H906" s="950"/>
      <c r="I906" s="19"/>
    </row>
    <row r="907" spans="1:9" ht="30" customHeight="1" x14ac:dyDescent="0.2">
      <c r="A907" s="628"/>
      <c r="B907" s="979" t="s">
        <v>892</v>
      </c>
      <c r="C907" s="652">
        <v>2050000</v>
      </c>
      <c r="D907" s="652">
        <v>2050000</v>
      </c>
      <c r="E907" s="652"/>
      <c r="F907" s="652"/>
      <c r="G907" s="652"/>
      <c r="H907" s="950"/>
      <c r="I907" s="19"/>
    </row>
    <row r="908" spans="1:9" ht="30" customHeight="1" x14ac:dyDescent="0.2">
      <c r="A908" s="628"/>
      <c r="B908" s="979" t="s">
        <v>1795</v>
      </c>
      <c r="C908" s="652">
        <v>2850000</v>
      </c>
      <c r="D908" s="652">
        <v>2850000</v>
      </c>
      <c r="E908" s="652"/>
      <c r="F908" s="652"/>
      <c r="G908" s="652"/>
      <c r="H908" s="950"/>
      <c r="I908" s="19"/>
    </row>
    <row r="909" spans="1:9" ht="30" customHeight="1" x14ac:dyDescent="0.2">
      <c r="A909" s="628"/>
      <c r="B909" s="985" t="s">
        <v>894</v>
      </c>
      <c r="C909" s="951">
        <f>SUM(C910:C922)</f>
        <v>7495000</v>
      </c>
      <c r="D909" s="951">
        <f>SUM(D910:D922)</f>
        <v>7495000</v>
      </c>
      <c r="E909" s="951"/>
      <c r="F909" s="951"/>
      <c r="G909" s="951"/>
      <c r="H909" s="950"/>
      <c r="I909" s="19"/>
    </row>
    <row r="910" spans="1:9" ht="30" customHeight="1" x14ac:dyDescent="0.2">
      <c r="A910" s="628"/>
      <c r="B910" s="979" t="s">
        <v>1796</v>
      </c>
      <c r="C910" s="652">
        <v>700000</v>
      </c>
      <c r="D910" s="652">
        <v>700000</v>
      </c>
      <c r="E910" s="652"/>
      <c r="F910" s="652"/>
      <c r="G910" s="652"/>
      <c r="H910" s="950"/>
      <c r="I910" s="19"/>
    </row>
    <row r="911" spans="1:9" ht="30" customHeight="1" x14ac:dyDescent="0.2">
      <c r="A911" s="628"/>
      <c r="B911" s="679" t="s">
        <v>1797</v>
      </c>
      <c r="C911" s="652">
        <v>1300000</v>
      </c>
      <c r="D911" s="652">
        <v>1300000</v>
      </c>
      <c r="E911" s="652"/>
      <c r="F911" s="652"/>
      <c r="G911" s="652"/>
      <c r="H911" s="950"/>
      <c r="I911" s="19"/>
    </row>
    <row r="912" spans="1:9" ht="30" customHeight="1" x14ac:dyDescent="0.2">
      <c r="A912" s="628"/>
      <c r="B912" s="679" t="s">
        <v>1798</v>
      </c>
      <c r="C912" s="652">
        <v>50000</v>
      </c>
      <c r="D912" s="652">
        <v>50000</v>
      </c>
      <c r="E912" s="652"/>
      <c r="F912" s="652"/>
      <c r="G912" s="652"/>
      <c r="H912" s="950"/>
      <c r="I912" s="19"/>
    </row>
    <row r="913" spans="1:9" ht="30" customHeight="1" x14ac:dyDescent="0.2">
      <c r="A913" s="628"/>
      <c r="B913" s="672" t="s">
        <v>900</v>
      </c>
      <c r="C913" s="652">
        <v>100000</v>
      </c>
      <c r="D913" s="652">
        <v>100000</v>
      </c>
      <c r="E913" s="652"/>
      <c r="F913" s="652"/>
      <c r="G913" s="652"/>
      <c r="H913" s="950"/>
      <c r="I913" s="19"/>
    </row>
    <row r="914" spans="1:9" ht="30" customHeight="1" x14ac:dyDescent="0.2">
      <c r="A914" s="628"/>
      <c r="B914" s="979" t="s">
        <v>1799</v>
      </c>
      <c r="C914" s="652">
        <v>50000</v>
      </c>
      <c r="D914" s="652">
        <v>50000</v>
      </c>
      <c r="E914" s="652"/>
      <c r="F914" s="652"/>
      <c r="G914" s="652"/>
      <c r="H914" s="950"/>
      <c r="I914" s="19"/>
    </row>
    <row r="915" spans="1:9" ht="30" customHeight="1" x14ac:dyDescent="0.2">
      <c r="A915" s="628"/>
      <c r="B915" s="987" t="s">
        <v>1800</v>
      </c>
      <c r="C915" s="652">
        <v>350000</v>
      </c>
      <c r="D915" s="652">
        <v>350000</v>
      </c>
      <c r="E915" s="652"/>
      <c r="F915" s="652"/>
      <c r="G915" s="652"/>
      <c r="H915" s="950"/>
      <c r="I915" s="19"/>
    </row>
    <row r="916" spans="1:9" ht="30" customHeight="1" x14ac:dyDescent="0.2">
      <c r="A916" s="628"/>
      <c r="B916" s="988" t="s">
        <v>1801</v>
      </c>
      <c r="C916" s="652">
        <v>150000</v>
      </c>
      <c r="D916" s="652">
        <v>150000</v>
      </c>
      <c r="E916" s="652"/>
      <c r="F916" s="652"/>
      <c r="G916" s="652"/>
      <c r="H916" s="950"/>
      <c r="I916" s="19"/>
    </row>
    <row r="917" spans="1:9" ht="30" customHeight="1" x14ac:dyDescent="0.2">
      <c r="A917" s="628"/>
      <c r="B917" s="679" t="s">
        <v>1996</v>
      </c>
      <c r="C917" s="652">
        <v>2180000</v>
      </c>
      <c r="D917" s="652">
        <v>2180000</v>
      </c>
      <c r="E917" s="652"/>
      <c r="F917" s="652"/>
      <c r="G917" s="652"/>
      <c r="H917" s="950"/>
      <c r="I917" s="19"/>
    </row>
    <row r="918" spans="1:9" ht="30" customHeight="1" x14ac:dyDescent="0.2">
      <c r="A918" s="628"/>
      <c r="B918" s="987" t="s">
        <v>904</v>
      </c>
      <c r="C918" s="652">
        <v>100000</v>
      </c>
      <c r="D918" s="652">
        <v>100000</v>
      </c>
      <c r="E918" s="652"/>
      <c r="F918" s="652"/>
      <c r="G918" s="652"/>
      <c r="H918" s="950"/>
      <c r="I918" s="19"/>
    </row>
    <row r="919" spans="1:9" ht="30" customHeight="1" x14ac:dyDescent="0.2">
      <c r="A919" s="628"/>
      <c r="B919" s="672" t="s">
        <v>905</v>
      </c>
      <c r="C919" s="652">
        <v>15000</v>
      </c>
      <c r="D919" s="652">
        <v>15000</v>
      </c>
      <c r="E919" s="652"/>
      <c r="F919" s="652"/>
      <c r="G919" s="652"/>
      <c r="H919" s="950"/>
      <c r="I919" s="19"/>
    </row>
    <row r="920" spans="1:9" ht="30" customHeight="1" x14ac:dyDescent="0.2">
      <c r="A920" s="628"/>
      <c r="B920" s="987" t="s">
        <v>1803</v>
      </c>
      <c r="C920" s="652">
        <v>0</v>
      </c>
      <c r="D920" s="652">
        <v>0</v>
      </c>
      <c r="E920" s="652"/>
      <c r="F920" s="652"/>
      <c r="G920" s="652"/>
      <c r="H920" s="950"/>
      <c r="I920" s="19"/>
    </row>
    <row r="921" spans="1:9" ht="30" customHeight="1" x14ac:dyDescent="0.2">
      <c r="A921" s="628"/>
      <c r="B921" s="668" t="s">
        <v>1804</v>
      </c>
      <c r="C921" s="652">
        <v>2500000</v>
      </c>
      <c r="D921" s="652">
        <v>2500000</v>
      </c>
      <c r="E921" s="652"/>
      <c r="F921" s="652"/>
      <c r="G921" s="652"/>
      <c r="H921" s="950"/>
      <c r="I921" s="19"/>
    </row>
    <row r="922" spans="1:9" ht="30" customHeight="1" x14ac:dyDescent="0.2">
      <c r="A922" s="628"/>
      <c r="B922" s="979" t="s">
        <v>906</v>
      </c>
      <c r="C922" s="652">
        <v>0</v>
      </c>
      <c r="D922" s="652">
        <v>0</v>
      </c>
      <c r="E922" s="652"/>
      <c r="F922" s="652"/>
      <c r="G922" s="652"/>
      <c r="H922" s="950"/>
      <c r="I922" s="19"/>
    </row>
    <row r="923" spans="1:9" ht="30" customHeight="1" x14ac:dyDescent="0.2">
      <c r="A923" s="965"/>
      <c r="B923" s="720" t="s">
        <v>907</v>
      </c>
      <c r="C923" s="951">
        <f>C925+C929+C938</f>
        <v>9470000</v>
      </c>
      <c r="D923" s="951">
        <f>D925+D929+D938</f>
        <v>9470000</v>
      </c>
      <c r="E923" s="951"/>
      <c r="F923" s="951"/>
      <c r="G923" s="951"/>
      <c r="H923" s="950"/>
      <c r="I923" s="19"/>
    </row>
    <row r="924" spans="1:9" ht="43.5" customHeight="1" x14ac:dyDescent="0.2">
      <c r="A924" s="965"/>
      <c r="B924" s="668" t="s">
        <v>1805</v>
      </c>
      <c r="C924" s="652">
        <v>330000</v>
      </c>
      <c r="D924" s="652">
        <f>330000-330000</f>
        <v>0</v>
      </c>
      <c r="E924" s="652"/>
      <c r="F924" s="652"/>
      <c r="G924" s="652"/>
      <c r="H924" s="950"/>
      <c r="I924" s="19"/>
    </row>
    <row r="925" spans="1:9" ht="30" customHeight="1" x14ac:dyDescent="0.2">
      <c r="A925" s="965"/>
      <c r="B925" s="629" t="s">
        <v>1806</v>
      </c>
      <c r="C925" s="972">
        <f t="shared" ref="C925:D925" si="36">C926+C927</f>
        <v>3700000</v>
      </c>
      <c r="D925" s="972">
        <f t="shared" si="36"/>
        <v>3700000</v>
      </c>
      <c r="E925" s="972"/>
      <c r="F925" s="972"/>
      <c r="G925" s="972"/>
      <c r="H925" s="950"/>
      <c r="I925" s="19"/>
    </row>
    <row r="926" spans="1:9" ht="30" customHeight="1" x14ac:dyDescent="0.2">
      <c r="A926" s="965"/>
      <c r="B926" s="987" t="s">
        <v>910</v>
      </c>
      <c r="C926" s="652">
        <v>2000000</v>
      </c>
      <c r="D926" s="652">
        <v>2000000</v>
      </c>
      <c r="E926" s="652"/>
      <c r="F926" s="652"/>
      <c r="G926" s="652"/>
      <c r="H926" s="950"/>
      <c r="I926" s="19"/>
    </row>
    <row r="927" spans="1:9" ht="30" customHeight="1" x14ac:dyDescent="0.2">
      <c r="A927" s="628"/>
      <c r="B927" s="672" t="s">
        <v>1807</v>
      </c>
      <c r="C927" s="652">
        <f>C928</f>
        <v>1700000</v>
      </c>
      <c r="D927" s="652">
        <f>D928</f>
        <v>1700000</v>
      </c>
      <c r="E927" s="652"/>
      <c r="F927" s="652"/>
      <c r="G927" s="652"/>
      <c r="H927" s="950"/>
      <c r="I927" s="19"/>
    </row>
    <row r="928" spans="1:9" ht="30" customHeight="1" x14ac:dyDescent="0.2">
      <c r="A928" s="628"/>
      <c r="B928" s="672" t="s">
        <v>1808</v>
      </c>
      <c r="C928" s="652">
        <v>1700000</v>
      </c>
      <c r="D928" s="652">
        <v>1700000</v>
      </c>
      <c r="E928" s="652"/>
      <c r="F928" s="652"/>
      <c r="G928" s="652"/>
      <c r="H928" s="950"/>
      <c r="I928" s="19"/>
    </row>
    <row r="929" spans="1:9" s="488" customFormat="1" ht="30" customHeight="1" x14ac:dyDescent="0.2">
      <c r="A929" s="965"/>
      <c r="B929" s="989" t="s">
        <v>1809</v>
      </c>
      <c r="C929" s="972">
        <f t="shared" ref="C929:D929" si="37">SUM(C930:C931)</f>
        <v>3270000</v>
      </c>
      <c r="D929" s="972">
        <f t="shared" si="37"/>
        <v>3270000</v>
      </c>
      <c r="E929" s="972"/>
      <c r="F929" s="972"/>
      <c r="G929" s="972"/>
      <c r="H929" s="967"/>
      <c r="I929" s="968"/>
    </row>
    <row r="930" spans="1:9" s="488" customFormat="1" ht="30" customHeight="1" x14ac:dyDescent="0.2">
      <c r="A930" s="965"/>
      <c r="B930" s="990" t="s">
        <v>921</v>
      </c>
      <c r="C930" s="652">
        <v>1000000</v>
      </c>
      <c r="D930" s="652">
        <v>1000000</v>
      </c>
      <c r="E930" s="652"/>
      <c r="F930" s="652"/>
      <c r="G930" s="652"/>
      <c r="H930" s="967"/>
      <c r="I930" s="968"/>
    </row>
    <row r="931" spans="1:9" s="488" customFormat="1" ht="30" customHeight="1" x14ac:dyDescent="0.2">
      <c r="A931" s="965"/>
      <c r="B931" s="990" t="s">
        <v>1810</v>
      </c>
      <c r="C931" s="652">
        <f>C932+C933+C934+C935+C936+C937</f>
        <v>2270000</v>
      </c>
      <c r="D931" s="652">
        <f>D932+D933+D934+D935+D936+D937</f>
        <v>2270000</v>
      </c>
      <c r="E931" s="652"/>
      <c r="F931" s="652"/>
      <c r="G931" s="652"/>
      <c r="H931" s="967"/>
      <c r="I931" s="968"/>
    </row>
    <row r="932" spans="1:9" s="488" customFormat="1" ht="30" customHeight="1" x14ac:dyDescent="0.2">
      <c r="A932" s="628"/>
      <c r="B932" s="672" t="s">
        <v>926</v>
      </c>
      <c r="C932" s="652">
        <v>100000</v>
      </c>
      <c r="D932" s="652">
        <v>100000</v>
      </c>
      <c r="E932" s="652"/>
      <c r="F932" s="652"/>
      <c r="G932" s="652"/>
      <c r="H932" s="967"/>
      <c r="I932" s="968"/>
    </row>
    <row r="933" spans="1:9" s="488" customFormat="1" ht="30" customHeight="1" x14ac:dyDescent="0.2">
      <c r="A933" s="628"/>
      <c r="B933" s="672" t="s">
        <v>1811</v>
      </c>
      <c r="C933" s="652">
        <v>850000</v>
      </c>
      <c r="D933" s="652">
        <v>850000</v>
      </c>
      <c r="E933" s="652"/>
      <c r="F933" s="652"/>
      <c r="G933" s="652"/>
      <c r="H933" s="967"/>
      <c r="I933" s="968"/>
    </row>
    <row r="934" spans="1:9" ht="30" customHeight="1" x14ac:dyDescent="0.2">
      <c r="A934" s="965"/>
      <c r="B934" s="668" t="s">
        <v>1812</v>
      </c>
      <c r="C934" s="644">
        <v>0</v>
      </c>
      <c r="D934" s="644">
        <v>0</v>
      </c>
      <c r="E934" s="644"/>
      <c r="F934" s="644"/>
      <c r="G934" s="644"/>
      <c r="H934" s="950"/>
      <c r="I934" s="19"/>
    </row>
    <row r="935" spans="1:9" ht="30" customHeight="1" x14ac:dyDescent="0.2">
      <c r="A935" s="965"/>
      <c r="B935" s="981" t="s">
        <v>1813</v>
      </c>
      <c r="C935" s="652">
        <v>620000</v>
      </c>
      <c r="D935" s="652">
        <v>620000</v>
      </c>
      <c r="E935" s="652"/>
      <c r="F935" s="652"/>
      <c r="G935" s="652"/>
      <c r="H935" s="950"/>
      <c r="I935" s="19"/>
    </row>
    <row r="936" spans="1:9" s="488" customFormat="1" ht="30" customHeight="1" x14ac:dyDescent="0.2">
      <c r="A936" s="965"/>
      <c r="B936" s="981" t="s">
        <v>1814</v>
      </c>
      <c r="C936" s="652">
        <v>500000</v>
      </c>
      <c r="D936" s="652">
        <v>500000</v>
      </c>
      <c r="E936" s="652"/>
      <c r="F936" s="652"/>
      <c r="G936" s="652"/>
      <c r="H936" s="967"/>
      <c r="I936" s="968"/>
    </row>
    <row r="937" spans="1:9" s="488" customFormat="1" ht="30" customHeight="1" x14ac:dyDescent="0.2">
      <c r="A937" s="965"/>
      <c r="B937" s="668" t="s">
        <v>1815</v>
      </c>
      <c r="C937" s="652">
        <v>200000</v>
      </c>
      <c r="D937" s="652">
        <v>200000</v>
      </c>
      <c r="E937" s="652"/>
      <c r="F937" s="652"/>
      <c r="G937" s="652"/>
      <c r="H937" s="967"/>
      <c r="I937" s="968"/>
    </row>
    <row r="938" spans="1:9" s="488" customFormat="1" ht="30" customHeight="1" x14ac:dyDescent="0.2">
      <c r="A938" s="965"/>
      <c r="B938" s="991" t="s">
        <v>1816</v>
      </c>
      <c r="C938" s="951">
        <f>SUM(C939:C943)</f>
        <v>2500000</v>
      </c>
      <c r="D938" s="951">
        <f>SUM(D939:D943)</f>
        <v>2500000</v>
      </c>
      <c r="E938" s="951"/>
      <c r="F938" s="951"/>
      <c r="G938" s="951"/>
      <c r="H938" s="967"/>
      <c r="I938" s="968"/>
    </row>
    <row r="939" spans="1:9" s="488" customFormat="1" ht="30" customHeight="1" x14ac:dyDescent="0.2">
      <c r="A939" s="965"/>
      <c r="B939" s="981" t="s">
        <v>1817</v>
      </c>
      <c r="C939" s="644">
        <v>700000</v>
      </c>
      <c r="D939" s="644">
        <v>700000</v>
      </c>
      <c r="E939" s="644"/>
      <c r="F939" s="644"/>
      <c r="G939" s="644"/>
      <c r="H939" s="967"/>
      <c r="I939" s="968"/>
    </row>
    <row r="940" spans="1:9" s="488" customFormat="1" ht="30" customHeight="1" x14ac:dyDescent="0.2">
      <c r="A940" s="965"/>
      <c r="B940" s="981" t="s">
        <v>1818</v>
      </c>
      <c r="C940" s="652">
        <v>700000</v>
      </c>
      <c r="D940" s="652">
        <v>700000</v>
      </c>
      <c r="E940" s="652"/>
      <c r="F940" s="652"/>
      <c r="G940" s="652"/>
      <c r="H940" s="967"/>
      <c r="I940" s="968"/>
    </row>
    <row r="941" spans="1:9" s="488" customFormat="1" ht="30" customHeight="1" x14ac:dyDescent="0.2">
      <c r="A941" s="965"/>
      <c r="B941" s="980" t="s">
        <v>1819</v>
      </c>
      <c r="C941" s="644">
        <v>200000</v>
      </c>
      <c r="D941" s="644">
        <v>200000</v>
      </c>
      <c r="E941" s="644"/>
      <c r="F941" s="644"/>
      <c r="G941" s="644"/>
      <c r="H941" s="967"/>
      <c r="I941" s="968"/>
    </row>
    <row r="942" spans="1:9" s="488" customFormat="1" ht="30" customHeight="1" x14ac:dyDescent="0.2">
      <c r="A942" s="965"/>
      <c r="B942" s="987" t="s">
        <v>1820</v>
      </c>
      <c r="C942" s="975">
        <v>200000</v>
      </c>
      <c r="D942" s="975">
        <v>200000</v>
      </c>
      <c r="E942" s="975"/>
      <c r="F942" s="975"/>
      <c r="G942" s="975"/>
      <c r="H942" s="967"/>
      <c r="I942" s="968"/>
    </row>
    <row r="943" spans="1:9" s="488" customFormat="1" ht="30" customHeight="1" x14ac:dyDescent="0.2">
      <c r="A943" s="628"/>
      <c r="B943" s="979" t="s">
        <v>1821</v>
      </c>
      <c r="C943" s="644">
        <v>700000</v>
      </c>
      <c r="D943" s="644">
        <v>700000</v>
      </c>
      <c r="E943" s="644"/>
      <c r="F943" s="644"/>
      <c r="G943" s="644"/>
      <c r="H943" s="967"/>
      <c r="I943" s="968"/>
    </row>
    <row r="944" spans="1:9" s="992" customFormat="1" ht="30" customHeight="1" x14ac:dyDescent="0.25">
      <c r="A944" s="628">
        <v>3634</v>
      </c>
      <c r="B944" s="993" t="s">
        <v>1822</v>
      </c>
      <c r="C944" s="637">
        <f>SUM(C945:C949)</f>
        <v>4450000</v>
      </c>
      <c r="D944" s="637">
        <f>SUM(D945:D949)</f>
        <v>4450000</v>
      </c>
      <c r="E944" s="637"/>
      <c r="F944" s="637"/>
      <c r="G944" s="637"/>
      <c r="H944" s="839"/>
      <c r="I944" s="994"/>
    </row>
    <row r="945" spans="1:9" s="488" customFormat="1" ht="30" customHeight="1" x14ac:dyDescent="0.2">
      <c r="A945" s="628"/>
      <c r="B945" s="981" t="s">
        <v>1823</v>
      </c>
      <c r="C945" s="644">
        <v>350000</v>
      </c>
      <c r="D945" s="644">
        <v>350000</v>
      </c>
      <c r="E945" s="644"/>
      <c r="F945" s="644"/>
      <c r="G945" s="644"/>
      <c r="H945" s="967"/>
      <c r="I945" s="968"/>
    </row>
    <row r="946" spans="1:9" s="488" customFormat="1" ht="30" customHeight="1" x14ac:dyDescent="0.2">
      <c r="A946" s="628"/>
      <c r="B946" s="981" t="s">
        <v>1824</v>
      </c>
      <c r="C946" s="644">
        <v>1000000</v>
      </c>
      <c r="D946" s="644">
        <v>1000000</v>
      </c>
      <c r="E946" s="644"/>
      <c r="F946" s="644"/>
      <c r="G946" s="644"/>
      <c r="H946" s="967"/>
      <c r="I946" s="968"/>
    </row>
    <row r="947" spans="1:9" ht="30" customHeight="1" x14ac:dyDescent="0.2">
      <c r="A947" s="1141"/>
      <c r="B947" s="1142" t="s">
        <v>943</v>
      </c>
      <c r="C947" s="678">
        <v>500000</v>
      </c>
      <c r="D947" s="678">
        <v>500000</v>
      </c>
      <c r="E947" s="678"/>
      <c r="F947" s="678"/>
      <c r="G947" s="678"/>
      <c r="H947" s="950"/>
      <c r="I947" s="19"/>
    </row>
    <row r="948" spans="1:9" ht="30" customHeight="1" x14ac:dyDescent="0.2">
      <c r="A948" s="1143"/>
      <c r="B948" s="1144" t="s">
        <v>1825</v>
      </c>
      <c r="C948" s="1073">
        <v>500000</v>
      </c>
      <c r="D948" s="1073">
        <v>500000</v>
      </c>
      <c r="E948" s="1073"/>
      <c r="F948" s="1073"/>
      <c r="G948" s="1073"/>
      <c r="H948" s="950"/>
      <c r="I948" s="19"/>
    </row>
    <row r="949" spans="1:9" ht="30" customHeight="1" x14ac:dyDescent="0.2">
      <c r="A949" s="625"/>
      <c r="B949" s="995" t="s">
        <v>945</v>
      </c>
      <c r="C949" s="644">
        <f>C950+C951+C952+C953+C954+C955+C956+C957</f>
        <v>2100000</v>
      </c>
      <c r="D949" s="644">
        <f>D950+D951+D952+D953+D954+D955+D956+D957</f>
        <v>2100000</v>
      </c>
      <c r="E949" s="644"/>
      <c r="F949" s="644"/>
      <c r="G949" s="644"/>
      <c r="H949" s="950"/>
      <c r="I949" s="19"/>
    </row>
    <row r="950" spans="1:9" ht="30" customHeight="1" x14ac:dyDescent="0.2">
      <c r="A950" s="649"/>
      <c r="B950" s="987" t="s">
        <v>1826</v>
      </c>
      <c r="C950" s="652">
        <v>0</v>
      </c>
      <c r="D950" s="652">
        <v>0</v>
      </c>
      <c r="E950" s="652"/>
      <c r="F950" s="652"/>
      <c r="G950" s="652"/>
      <c r="H950" s="950"/>
      <c r="I950" s="19"/>
    </row>
    <row r="951" spans="1:9" s="2" customFormat="1" ht="30" customHeight="1" x14ac:dyDescent="0.2">
      <c r="A951" s="649"/>
      <c r="B951" s="987" t="s">
        <v>1827</v>
      </c>
      <c r="C951" s="652">
        <v>0</v>
      </c>
      <c r="D951" s="652">
        <v>0</v>
      </c>
      <c r="E951" s="652"/>
      <c r="F951" s="652"/>
      <c r="G951" s="652"/>
      <c r="H951" s="950"/>
      <c r="I951" s="19"/>
    </row>
    <row r="952" spans="1:9" s="2" customFormat="1" ht="30" customHeight="1" x14ac:dyDescent="0.2">
      <c r="A952" s="649"/>
      <c r="B952" s="987" t="s">
        <v>1828</v>
      </c>
      <c r="C952" s="652">
        <v>0</v>
      </c>
      <c r="D952" s="652">
        <v>0</v>
      </c>
      <c r="E952" s="652"/>
      <c r="F952" s="652"/>
      <c r="G952" s="652"/>
      <c r="H952" s="950"/>
      <c r="I952" s="19"/>
    </row>
    <row r="953" spans="1:9" s="2" customFormat="1" ht="30" customHeight="1" x14ac:dyDescent="0.2">
      <c r="A953" s="649"/>
      <c r="B953" s="987" t="s">
        <v>1829</v>
      </c>
      <c r="C953" s="652">
        <v>0</v>
      </c>
      <c r="D953" s="652">
        <v>0</v>
      </c>
      <c r="E953" s="652"/>
      <c r="F953" s="652"/>
      <c r="G953" s="652"/>
      <c r="H953" s="950"/>
      <c r="I953" s="19"/>
    </row>
    <row r="954" spans="1:9" s="2" customFormat="1" ht="30" customHeight="1" x14ac:dyDescent="0.2">
      <c r="A954" s="649"/>
      <c r="B954" s="996" t="s">
        <v>1830</v>
      </c>
      <c r="C954" s="652">
        <v>0</v>
      </c>
      <c r="D954" s="652">
        <v>0</v>
      </c>
      <c r="E954" s="652"/>
      <c r="F954" s="652"/>
      <c r="G954" s="652"/>
      <c r="H954" s="950"/>
      <c r="I954" s="19"/>
    </row>
    <row r="955" spans="1:9" s="2" customFormat="1" ht="30" customHeight="1" x14ac:dyDescent="0.2">
      <c r="A955" s="649"/>
      <c r="B955" s="997" t="s">
        <v>1831</v>
      </c>
      <c r="C955" s="652">
        <v>600000</v>
      </c>
      <c r="D955" s="652">
        <v>600000</v>
      </c>
      <c r="E955" s="652"/>
      <c r="F955" s="652"/>
      <c r="G955" s="652"/>
      <c r="H955" s="950"/>
      <c r="I955" s="19"/>
    </row>
    <row r="956" spans="1:9" s="2" customFormat="1" ht="30" customHeight="1" x14ac:dyDescent="0.2">
      <c r="A956" s="649"/>
      <c r="B956" s="997" t="s">
        <v>1832</v>
      </c>
      <c r="C956" s="644">
        <v>0</v>
      </c>
      <c r="D956" s="644">
        <v>0</v>
      </c>
      <c r="E956" s="644"/>
      <c r="F956" s="644"/>
      <c r="G956" s="644"/>
      <c r="H956" s="950"/>
      <c r="I956" s="19"/>
    </row>
    <row r="957" spans="1:9" s="2" customFormat="1" ht="30" customHeight="1" x14ac:dyDescent="0.2">
      <c r="A957" s="649"/>
      <c r="B957" s="997" t="s">
        <v>1833</v>
      </c>
      <c r="C957" s="644">
        <v>1500000</v>
      </c>
      <c r="D957" s="644">
        <v>1500000</v>
      </c>
      <c r="E957" s="644"/>
      <c r="F957" s="644"/>
      <c r="G957" s="644"/>
      <c r="H957" s="950"/>
      <c r="I957" s="19"/>
    </row>
    <row r="958" spans="1:9" s="2" customFormat="1" ht="30" customHeight="1" x14ac:dyDescent="0.2">
      <c r="A958" s="628">
        <v>4351</v>
      </c>
      <c r="B958" s="998" t="s">
        <v>1834</v>
      </c>
      <c r="C958" s="635">
        <v>10000</v>
      </c>
      <c r="D958" s="635">
        <v>10000</v>
      </c>
      <c r="E958" s="635"/>
      <c r="F958" s="635"/>
      <c r="G958" s="635"/>
      <c r="H958" s="950"/>
      <c r="I958" s="19"/>
    </row>
    <row r="959" spans="1:9" s="2" customFormat="1" ht="30" customHeight="1" x14ac:dyDescent="0.2">
      <c r="A959" s="628">
        <v>4374</v>
      </c>
      <c r="B959" s="998" t="s">
        <v>753</v>
      </c>
      <c r="C959" s="635">
        <f>C960</f>
        <v>1140000</v>
      </c>
      <c r="D959" s="635">
        <f>D960</f>
        <v>1140000</v>
      </c>
      <c r="E959" s="635"/>
      <c r="F959" s="635"/>
      <c r="G959" s="635"/>
      <c r="H959" s="950"/>
      <c r="I959" s="19"/>
    </row>
    <row r="960" spans="1:9" s="2" customFormat="1" ht="30" customHeight="1" x14ac:dyDescent="0.2">
      <c r="A960" s="649"/>
      <c r="B960" s="997" t="s">
        <v>1835</v>
      </c>
      <c r="C960" s="652">
        <f>C961+C962</f>
        <v>1140000</v>
      </c>
      <c r="D960" s="652">
        <f>D961+D962</f>
        <v>1140000</v>
      </c>
      <c r="E960" s="652"/>
      <c r="F960" s="652"/>
      <c r="G960" s="652"/>
      <c r="H960" s="950"/>
      <c r="I960" s="19"/>
    </row>
    <row r="961" spans="1:252" s="2" customFormat="1" ht="30" customHeight="1" x14ac:dyDescent="0.2">
      <c r="A961" s="649"/>
      <c r="B961" s="997" t="s">
        <v>1836</v>
      </c>
      <c r="C961" s="644">
        <v>1000000</v>
      </c>
      <c r="D961" s="644">
        <v>1000000</v>
      </c>
      <c r="E961" s="644"/>
      <c r="F961" s="644"/>
      <c r="G961" s="644"/>
      <c r="H961" s="950"/>
      <c r="I961" s="19"/>
    </row>
    <row r="962" spans="1:252" s="2" customFormat="1" ht="30" customHeight="1" x14ac:dyDescent="0.2">
      <c r="A962" s="628"/>
      <c r="B962" s="679" t="s">
        <v>1837</v>
      </c>
      <c r="C962" s="652">
        <v>140000</v>
      </c>
      <c r="D962" s="652">
        <v>140000</v>
      </c>
      <c r="E962" s="652"/>
      <c r="F962" s="652"/>
      <c r="G962" s="652"/>
      <c r="H962" s="950"/>
      <c r="I962" s="19"/>
    </row>
    <row r="963" spans="1:252" s="2" customFormat="1" ht="30" customHeight="1" x14ac:dyDescent="0.2">
      <c r="A963" s="628">
        <v>6171</v>
      </c>
      <c r="B963" s="999" t="s">
        <v>969</v>
      </c>
      <c r="C963" s="637">
        <f>SUM(C964:C969)</f>
        <v>1500000</v>
      </c>
      <c r="D963" s="637">
        <f>SUM(D964:D969)</f>
        <v>1500000</v>
      </c>
      <c r="E963" s="637"/>
      <c r="F963" s="637"/>
      <c r="G963" s="637"/>
      <c r="H963" s="950"/>
      <c r="I963" s="19"/>
    </row>
    <row r="964" spans="1:252" s="2" customFormat="1" ht="30" customHeight="1" x14ac:dyDescent="0.2">
      <c r="A964" s="628"/>
      <c r="B964" s="679" t="s">
        <v>970</v>
      </c>
      <c r="C964" s="652">
        <v>50000</v>
      </c>
      <c r="D964" s="652">
        <v>50000</v>
      </c>
      <c r="E964" s="652"/>
      <c r="F964" s="652"/>
      <c r="G964" s="652"/>
      <c r="H964" s="950"/>
      <c r="I964" s="19"/>
    </row>
    <row r="965" spans="1:252" ht="30" customHeight="1" x14ac:dyDescent="0.2">
      <c r="A965" s="1000"/>
      <c r="B965" s="1001" t="s">
        <v>1997</v>
      </c>
      <c r="C965" s="652">
        <v>820000</v>
      </c>
      <c r="D965" s="652">
        <v>820000</v>
      </c>
      <c r="E965" s="652"/>
      <c r="F965" s="652"/>
      <c r="G965" s="652"/>
      <c r="H965" s="950"/>
      <c r="I965" s="19"/>
    </row>
    <row r="966" spans="1:252" ht="30" customHeight="1" x14ac:dyDescent="0.2">
      <c r="A966" s="1000"/>
      <c r="B966" s="1001" t="s">
        <v>1839</v>
      </c>
      <c r="C966" s="652">
        <v>180000</v>
      </c>
      <c r="D966" s="652">
        <v>180000</v>
      </c>
      <c r="E966" s="652"/>
      <c r="F966" s="652"/>
      <c r="G966" s="652"/>
      <c r="H966" s="950"/>
      <c r="I966" s="19"/>
    </row>
    <row r="967" spans="1:252" ht="30" customHeight="1" x14ac:dyDescent="0.2">
      <c r="A967" s="628"/>
      <c r="B967" s="679" t="s">
        <v>1840</v>
      </c>
      <c r="C967" s="652">
        <v>0</v>
      </c>
      <c r="D967" s="652">
        <v>0</v>
      </c>
      <c r="E967" s="652"/>
      <c r="F967" s="652"/>
      <c r="G967" s="652"/>
      <c r="H967" s="1002"/>
      <c r="I967" s="19"/>
    </row>
    <row r="968" spans="1:252" ht="30" customHeight="1" x14ac:dyDescent="0.2">
      <c r="A968" s="649"/>
      <c r="B968" s="679" t="s">
        <v>1841</v>
      </c>
      <c r="C968" s="652">
        <v>200000</v>
      </c>
      <c r="D968" s="652">
        <v>200000</v>
      </c>
      <c r="E968" s="652"/>
      <c r="F968" s="652"/>
      <c r="G968" s="652"/>
      <c r="H968" s="950"/>
      <c r="I968" s="19"/>
    </row>
    <row r="969" spans="1:252" ht="30" customHeight="1" x14ac:dyDescent="0.2">
      <c r="A969" s="1000"/>
      <c r="B969" s="1003" t="s">
        <v>1842</v>
      </c>
      <c r="C969" s="785">
        <v>250000</v>
      </c>
      <c r="D969" s="785">
        <v>250000</v>
      </c>
      <c r="E969" s="785"/>
      <c r="F969" s="785"/>
      <c r="G969" s="785"/>
      <c r="H969" s="950"/>
      <c r="I969" s="19"/>
    </row>
    <row r="970" spans="1:252" ht="30" customHeight="1" x14ac:dyDescent="0.2">
      <c r="A970" s="1004"/>
      <c r="B970" s="809" t="s">
        <v>1843</v>
      </c>
      <c r="C970" s="695">
        <v>0</v>
      </c>
      <c r="D970" s="695">
        <v>0</v>
      </c>
      <c r="E970" s="695"/>
      <c r="F970" s="695"/>
      <c r="G970" s="695"/>
      <c r="H970" s="1005"/>
      <c r="I970" s="19"/>
    </row>
    <row r="971" spans="1:252" ht="30" customHeight="1" x14ac:dyDescent="0.2">
      <c r="A971" s="1006"/>
      <c r="B971" s="1007"/>
      <c r="C971" s="739"/>
      <c r="D971" s="739"/>
      <c r="E971" s="739"/>
      <c r="F971" s="739"/>
      <c r="G971" s="739"/>
      <c r="H971" s="1008"/>
    </row>
    <row r="972" spans="1:252" s="1009" customFormat="1" ht="30" customHeight="1" x14ac:dyDescent="0.3">
      <c r="A972" s="734"/>
      <c r="B972" s="757" t="s">
        <v>1872</v>
      </c>
      <c r="C972" s="859">
        <f>SUM(C973+C977+C980)</f>
        <v>1145000</v>
      </c>
      <c r="D972" s="859">
        <f>SUM(D973+D977+D980)</f>
        <v>1145000</v>
      </c>
      <c r="E972" s="859"/>
      <c r="F972" s="859"/>
      <c r="G972" s="859"/>
      <c r="H972" s="860"/>
      <c r="IL972" s="558"/>
      <c r="IM972" s="558"/>
      <c r="IN972" s="558"/>
      <c r="IO972" s="558"/>
      <c r="IP972" s="558"/>
      <c r="IQ972" s="558"/>
      <c r="IR972" s="558"/>
    </row>
    <row r="973" spans="1:252" s="545" customFormat="1" ht="30" customHeight="1" x14ac:dyDescent="0.2">
      <c r="A973" s="660">
        <v>2169</v>
      </c>
      <c r="B973" s="626" t="s">
        <v>1844</v>
      </c>
      <c r="C973" s="637">
        <f t="shared" ref="C973:D973" si="38">SUM(C974:C976)</f>
        <v>250000</v>
      </c>
      <c r="D973" s="637">
        <f t="shared" si="38"/>
        <v>250000</v>
      </c>
      <c r="E973" s="637"/>
      <c r="F973" s="637"/>
      <c r="G973" s="637"/>
      <c r="H973" s="639"/>
      <c r="IL973" s="98"/>
      <c r="IM973" s="98"/>
      <c r="IN973" s="98"/>
      <c r="IO973" s="98"/>
      <c r="IP973" s="98"/>
      <c r="IQ973" s="98"/>
      <c r="IR973" s="98"/>
    </row>
    <row r="974" spans="1:252" s="545" customFormat="1" ht="30" customHeight="1" x14ac:dyDescent="0.2">
      <c r="A974" s="660"/>
      <c r="B974" s="679" t="s">
        <v>976</v>
      </c>
      <c r="C974" s="644">
        <v>47000</v>
      </c>
      <c r="D974" s="644">
        <v>47000</v>
      </c>
      <c r="E974" s="644"/>
      <c r="F974" s="644"/>
      <c r="G974" s="644"/>
      <c r="H974" s="670"/>
      <c r="IL974" s="98"/>
      <c r="IM974" s="98"/>
      <c r="IN974" s="98"/>
      <c r="IO974" s="98"/>
      <c r="IP974" s="98"/>
      <c r="IQ974" s="98"/>
      <c r="IR974" s="98"/>
    </row>
    <row r="975" spans="1:252" s="545" customFormat="1" ht="30" customHeight="1" x14ac:dyDescent="0.2">
      <c r="A975" s="660"/>
      <c r="B975" s="679" t="s">
        <v>977</v>
      </c>
      <c r="C975" s="644">
        <v>200000</v>
      </c>
      <c r="D975" s="644">
        <v>200000</v>
      </c>
      <c r="E975" s="644"/>
      <c r="F975" s="644"/>
      <c r="G975" s="644"/>
      <c r="H975" s="670"/>
      <c r="IL975" s="98"/>
      <c r="IM975" s="98"/>
      <c r="IN975" s="98"/>
      <c r="IO975" s="98"/>
      <c r="IP975" s="98"/>
      <c r="IQ975" s="98"/>
      <c r="IR975" s="98"/>
    </row>
    <row r="976" spans="1:252" s="545" customFormat="1" ht="30" customHeight="1" x14ac:dyDescent="0.2">
      <c r="A976" s="660"/>
      <c r="B976" s="679" t="s">
        <v>978</v>
      </c>
      <c r="C976" s="644">
        <v>3000</v>
      </c>
      <c r="D976" s="644">
        <v>3000</v>
      </c>
      <c r="E976" s="644"/>
      <c r="F976" s="644"/>
      <c r="G976" s="644"/>
      <c r="H976" s="670"/>
      <c r="IL976" s="98"/>
      <c r="IM976" s="98"/>
      <c r="IN976" s="98"/>
      <c r="IO976" s="98"/>
      <c r="IP976" s="98"/>
      <c r="IQ976" s="98"/>
      <c r="IR976" s="98"/>
    </row>
    <row r="977" spans="1:252" s="545" customFormat="1" ht="30" customHeight="1" x14ac:dyDescent="0.2">
      <c r="A977" s="663">
        <v>3635</v>
      </c>
      <c r="B977" s="629" t="s">
        <v>980</v>
      </c>
      <c r="C977" s="635">
        <f t="shared" ref="C977:D977" si="39">SUM(C978:C979)</f>
        <v>300000</v>
      </c>
      <c r="D977" s="635">
        <f t="shared" si="39"/>
        <v>300000</v>
      </c>
      <c r="E977" s="635"/>
      <c r="F977" s="635"/>
      <c r="G977" s="635"/>
      <c r="H977" s="636"/>
      <c r="IL977" s="98"/>
      <c r="IM977" s="98"/>
      <c r="IN977" s="98"/>
      <c r="IO977" s="98"/>
      <c r="IP977" s="98"/>
      <c r="IQ977" s="98"/>
      <c r="IR977" s="98"/>
    </row>
    <row r="978" spans="1:252" s="545" customFormat="1" ht="30" customHeight="1" x14ac:dyDescent="0.2">
      <c r="A978" s="664"/>
      <c r="B978" s="643" t="s">
        <v>981</v>
      </c>
      <c r="C978" s="644">
        <v>0</v>
      </c>
      <c r="D978" s="644">
        <v>0</v>
      </c>
      <c r="E978" s="644"/>
      <c r="F978" s="644"/>
      <c r="G978" s="644"/>
      <c r="H978" s="670"/>
      <c r="IL978" s="98"/>
      <c r="IM978" s="98"/>
      <c r="IN978" s="98"/>
      <c r="IO978" s="98"/>
      <c r="IP978" s="98"/>
      <c r="IQ978" s="98"/>
      <c r="IR978" s="98"/>
    </row>
    <row r="979" spans="1:252" s="545" customFormat="1" ht="30" customHeight="1" x14ac:dyDescent="0.2">
      <c r="A979" s="664"/>
      <c r="B979" s="643" t="s">
        <v>1845</v>
      </c>
      <c r="C979" s="644">
        <v>300000</v>
      </c>
      <c r="D979" s="644">
        <v>300000</v>
      </c>
      <c r="E979" s="644"/>
      <c r="F979" s="644"/>
      <c r="G979" s="644"/>
      <c r="H979" s="670"/>
      <c r="IL979" s="98"/>
      <c r="IM979" s="98"/>
      <c r="IN979" s="98"/>
      <c r="IO979" s="98"/>
      <c r="IP979" s="98"/>
      <c r="IQ979" s="98"/>
      <c r="IR979" s="98"/>
    </row>
    <row r="980" spans="1:252" s="545" customFormat="1" ht="30" customHeight="1" x14ac:dyDescent="0.25">
      <c r="A980" s="1010"/>
      <c r="B980" s="657" t="s">
        <v>985</v>
      </c>
      <c r="C980" s="764">
        <v>595000</v>
      </c>
      <c r="D980" s="764">
        <v>595000</v>
      </c>
      <c r="E980" s="764"/>
      <c r="F980" s="764"/>
      <c r="G980" s="764"/>
      <c r="H980" s="1011"/>
      <c r="IL980" s="98"/>
      <c r="IM980" s="98"/>
      <c r="IN980" s="98"/>
      <c r="IO980" s="98"/>
      <c r="IP980" s="98"/>
      <c r="IQ980" s="98"/>
      <c r="IR980" s="98"/>
    </row>
    <row r="981" spans="1:252" s="545" customFormat="1" ht="30" customHeight="1" x14ac:dyDescent="0.2">
      <c r="A981" s="699">
        <v>3699</v>
      </c>
      <c r="B981" s="626" t="s">
        <v>1846</v>
      </c>
      <c r="C981" s="637">
        <v>595000</v>
      </c>
      <c r="D981" s="637">
        <v>595000</v>
      </c>
      <c r="E981" s="637"/>
      <c r="F981" s="637"/>
      <c r="G981" s="637"/>
      <c r="H981" s="1012"/>
      <c r="IL981" s="98"/>
      <c r="IM981" s="98"/>
      <c r="IN981" s="98"/>
      <c r="IO981" s="98"/>
      <c r="IP981" s="98"/>
      <c r="IQ981" s="98"/>
      <c r="IR981" s="98"/>
    </row>
    <row r="982" spans="1:252" s="550" customFormat="1" ht="30" customHeight="1" x14ac:dyDescent="0.2">
      <c r="A982" s="692"/>
      <c r="B982" s="1013"/>
      <c r="C982" s="785"/>
      <c r="D982" s="785"/>
      <c r="E982" s="785"/>
      <c r="F982" s="785"/>
      <c r="G982" s="785"/>
      <c r="H982" s="1014"/>
      <c r="IL982" s="1"/>
      <c r="IM982" s="1"/>
      <c r="IN982" s="1"/>
      <c r="IO982" s="1"/>
      <c r="IP982" s="1"/>
      <c r="IQ982" s="1"/>
      <c r="IR982" s="1"/>
    </row>
    <row r="983" spans="1:252" s="558" customFormat="1" ht="30" customHeight="1" x14ac:dyDescent="0.3">
      <c r="A983" s="1015"/>
      <c r="B983" s="787" t="s">
        <v>54</v>
      </c>
      <c r="C983" s="871">
        <f>SUM(C984:C991,C993,C994,C997,C1003)-C986</f>
        <v>85052500</v>
      </c>
      <c r="D983" s="871">
        <f>SUM(D984:D991,D993,D994,D997,D1003)-D986</f>
        <v>78137398.710000008</v>
      </c>
      <c r="E983" s="871"/>
      <c r="F983" s="871"/>
      <c r="G983" s="871"/>
      <c r="H983" s="761"/>
    </row>
    <row r="984" spans="1:252" s="553" customFormat="1" ht="30" customHeight="1" x14ac:dyDescent="0.2">
      <c r="A984" s="1016" t="s">
        <v>1847</v>
      </c>
      <c r="B984" s="688" t="s">
        <v>1848</v>
      </c>
      <c r="C984" s="637">
        <v>242500</v>
      </c>
      <c r="D984" s="637">
        <f>242500-242500</f>
        <v>0</v>
      </c>
      <c r="E984" s="637"/>
      <c r="F984" s="637"/>
      <c r="G984" s="637"/>
      <c r="H984" s="639"/>
    </row>
    <row r="985" spans="1:252" s="98" customFormat="1" ht="30" customHeight="1" x14ac:dyDescent="0.3">
      <c r="A985" s="628" t="s">
        <v>1949</v>
      </c>
      <c r="B985" s="629" t="s">
        <v>1849</v>
      </c>
      <c r="C985" s="637">
        <f>C986</f>
        <v>0</v>
      </c>
      <c r="D985" s="637">
        <f>D986</f>
        <v>858339.22</v>
      </c>
      <c r="E985" s="637"/>
      <c r="F985" s="637"/>
      <c r="G985" s="637"/>
      <c r="H985" s="639"/>
      <c r="J985" s="557"/>
    </row>
    <row r="986" spans="1:252" s="98" customFormat="1" ht="30" customHeight="1" x14ac:dyDescent="0.3">
      <c r="A986" s="663"/>
      <c r="B986" s="672" t="s">
        <v>1998</v>
      </c>
      <c r="C986" s="644">
        <v>0</v>
      </c>
      <c r="D986" s="644">
        <f>(15614.79+57246.53+130295.27+210485.42+444697.21)</f>
        <v>858339.22</v>
      </c>
      <c r="E986" s="644"/>
      <c r="F986" s="644"/>
      <c r="G986" s="644"/>
      <c r="H986" s="639"/>
      <c r="J986" s="557"/>
    </row>
    <row r="987" spans="1:252" s="98" customFormat="1" ht="30" customHeight="1" x14ac:dyDescent="0.3">
      <c r="A987" s="663">
        <v>3612</v>
      </c>
      <c r="B987" s="629" t="s">
        <v>1999</v>
      </c>
      <c r="C987" s="637">
        <v>0</v>
      </c>
      <c r="D987" s="637">
        <v>1000000</v>
      </c>
      <c r="E987" s="637"/>
      <c r="F987" s="637"/>
      <c r="G987" s="637"/>
      <c r="H987" s="639"/>
      <c r="J987" s="558"/>
    </row>
    <row r="988" spans="1:252" s="98" customFormat="1" ht="30" customHeight="1" x14ac:dyDescent="0.3">
      <c r="A988" s="663">
        <v>3634</v>
      </c>
      <c r="B988" s="629" t="s">
        <v>1851</v>
      </c>
      <c r="C988" s="637">
        <v>8000000</v>
      </c>
      <c r="D988" s="637">
        <f>8000000-285281</f>
        <v>7714719</v>
      </c>
      <c r="E988" s="637"/>
      <c r="F988" s="637"/>
      <c r="G988" s="637"/>
      <c r="H988" s="639"/>
      <c r="J988" s="558"/>
    </row>
    <row r="989" spans="1:252" s="553" customFormat="1" ht="30" customHeight="1" x14ac:dyDescent="0.2">
      <c r="A989" s="660">
        <v>3639</v>
      </c>
      <c r="B989" s="626" t="s">
        <v>1852</v>
      </c>
      <c r="C989" s="637">
        <v>200000</v>
      </c>
      <c r="D989" s="637">
        <v>200000</v>
      </c>
      <c r="E989" s="637"/>
      <c r="F989" s="637"/>
      <c r="G989" s="637"/>
      <c r="H989" s="639"/>
    </row>
    <row r="990" spans="1:252" ht="30" customHeight="1" x14ac:dyDescent="0.2">
      <c r="A990" s="663">
        <v>6171</v>
      </c>
      <c r="B990" s="1017" t="s">
        <v>1853</v>
      </c>
      <c r="C990" s="637">
        <v>100000</v>
      </c>
      <c r="D990" s="637">
        <v>100000</v>
      </c>
      <c r="E990" s="637"/>
      <c r="F990" s="637"/>
      <c r="G990" s="637"/>
      <c r="H990" s="639"/>
    </row>
    <row r="991" spans="1:252" ht="30" customHeight="1" x14ac:dyDescent="0.2">
      <c r="A991" s="663">
        <v>6221</v>
      </c>
      <c r="B991" s="1017" t="s">
        <v>1854</v>
      </c>
      <c r="C991" s="637">
        <v>0</v>
      </c>
      <c r="D991" s="637">
        <v>0</v>
      </c>
      <c r="E991" s="637"/>
      <c r="F991" s="637"/>
      <c r="G991" s="637"/>
      <c r="H991" s="639"/>
    </row>
    <row r="992" spans="1:252" ht="30" customHeight="1" x14ac:dyDescent="0.2">
      <c r="A992" s="663"/>
      <c r="B992" s="1018" t="s">
        <v>1855</v>
      </c>
      <c r="C992" s="644">
        <f>C991</f>
        <v>0</v>
      </c>
      <c r="D992" s="644">
        <f>D991</f>
        <v>0</v>
      </c>
      <c r="E992" s="644"/>
      <c r="F992" s="644"/>
      <c r="G992" s="644"/>
      <c r="H992" s="639"/>
    </row>
    <row r="993" spans="1:10" ht="30" customHeight="1" x14ac:dyDescent="0.2">
      <c r="A993" s="663">
        <v>6310</v>
      </c>
      <c r="B993" s="629" t="s">
        <v>1856</v>
      </c>
      <c r="C993" s="637">
        <v>200000</v>
      </c>
      <c r="D993" s="637">
        <f>200000+50000</f>
        <v>250000</v>
      </c>
      <c r="E993" s="637"/>
      <c r="F993" s="637"/>
      <c r="G993" s="637"/>
      <c r="H993" s="639"/>
    </row>
    <row r="994" spans="1:10" ht="30" customHeight="1" x14ac:dyDescent="0.2">
      <c r="A994" s="663">
        <v>6399</v>
      </c>
      <c r="B994" s="629" t="s">
        <v>999</v>
      </c>
      <c r="C994" s="635">
        <f t="shared" ref="C994:D994" si="40">SUM(C995:C996)</f>
        <v>73000000</v>
      </c>
      <c r="D994" s="635">
        <f t="shared" si="40"/>
        <v>59949700</v>
      </c>
      <c r="E994" s="635"/>
      <c r="F994" s="635"/>
      <c r="G994" s="635"/>
      <c r="H994" s="636"/>
    </row>
    <row r="995" spans="1:10" ht="30" customHeight="1" x14ac:dyDescent="0.2">
      <c r="A995" s="664"/>
      <c r="B995" s="643" t="s">
        <v>1857</v>
      </c>
      <c r="C995" s="712">
        <v>40000000</v>
      </c>
      <c r="D995" s="712">
        <f>40000000-10050300</f>
        <v>29949700</v>
      </c>
      <c r="E995" s="712"/>
      <c r="F995" s="712"/>
      <c r="G995" s="712"/>
      <c r="H995" s="651"/>
    </row>
    <row r="996" spans="1:10" ht="30" customHeight="1" x14ac:dyDescent="0.2">
      <c r="A996" s="664"/>
      <c r="B996" s="643" t="s">
        <v>1858</v>
      </c>
      <c r="C996" s="644">
        <v>33000000</v>
      </c>
      <c r="D996" s="644">
        <f>33000000-3000000</f>
        <v>30000000</v>
      </c>
      <c r="E996" s="644"/>
      <c r="F996" s="644"/>
      <c r="G996" s="644"/>
      <c r="H996" s="670"/>
    </row>
    <row r="997" spans="1:10" s="98" customFormat="1" ht="30" customHeight="1" x14ac:dyDescent="0.3">
      <c r="A997" s="663">
        <v>6402</v>
      </c>
      <c r="B997" s="629" t="s">
        <v>1002</v>
      </c>
      <c r="C997" s="635">
        <f>SUM(C998:C1002)</f>
        <v>0</v>
      </c>
      <c r="D997" s="635">
        <f>SUM(D998:D1002)</f>
        <v>2112030.2800000003</v>
      </c>
      <c r="E997" s="635"/>
      <c r="F997" s="635"/>
      <c r="G997" s="635"/>
      <c r="H997" s="636"/>
      <c r="J997" s="558"/>
    </row>
    <row r="998" spans="1:10" s="2" customFormat="1" ht="30" customHeight="1" x14ac:dyDescent="0.3">
      <c r="A998" s="715"/>
      <c r="B998" s="1151" t="s">
        <v>2000</v>
      </c>
      <c r="C998" s="644">
        <v>0</v>
      </c>
      <c r="D998" s="816">
        <v>8015</v>
      </c>
      <c r="E998" s="644"/>
      <c r="F998" s="644"/>
      <c r="G998" s="644"/>
      <c r="H998" s="670"/>
      <c r="J998" s="558"/>
    </row>
    <row r="999" spans="1:10" s="2" customFormat="1" ht="30" customHeight="1" x14ac:dyDescent="0.3">
      <c r="A999" s="715"/>
      <c r="B999" s="1151" t="s">
        <v>2001</v>
      </c>
      <c r="C999" s="644">
        <v>0</v>
      </c>
      <c r="D999" s="816">
        <v>33210</v>
      </c>
      <c r="E999" s="644"/>
      <c r="F999" s="644"/>
      <c r="G999" s="644"/>
      <c r="H999" s="670"/>
      <c r="J999" s="558"/>
    </row>
    <row r="1000" spans="1:10" s="2" customFormat="1" ht="30" customHeight="1" x14ac:dyDescent="0.3">
      <c r="A1000" s="715"/>
      <c r="B1000" s="1151" t="s">
        <v>2031</v>
      </c>
      <c r="C1000" s="644">
        <v>0</v>
      </c>
      <c r="D1000" s="816">
        <v>221800</v>
      </c>
      <c r="E1000" s="644"/>
      <c r="F1000" s="644"/>
      <c r="G1000" s="644"/>
      <c r="H1000" s="670"/>
      <c r="J1000" s="558"/>
    </row>
    <row r="1001" spans="1:10" s="2" customFormat="1" ht="30" customHeight="1" x14ac:dyDescent="0.3">
      <c r="A1001" s="715"/>
      <c r="B1001" s="1151" t="s">
        <v>2032</v>
      </c>
      <c r="C1001" s="644">
        <v>0</v>
      </c>
      <c r="D1001" s="816">
        <v>1449005.28</v>
      </c>
      <c r="E1001" s="644"/>
      <c r="F1001" s="644"/>
      <c r="G1001" s="644"/>
      <c r="H1001" s="670"/>
      <c r="J1001" s="558"/>
    </row>
    <row r="1002" spans="1:10" s="2" customFormat="1" ht="30" customHeight="1" x14ac:dyDescent="0.3">
      <c r="A1002" s="715"/>
      <c r="B1002" s="1151" t="s">
        <v>2005</v>
      </c>
      <c r="C1002" s="644">
        <v>0</v>
      </c>
      <c r="D1002" s="816">
        <v>400000</v>
      </c>
      <c r="E1002" s="644"/>
      <c r="F1002" s="644"/>
      <c r="G1002" s="644"/>
      <c r="H1002" s="670"/>
      <c r="J1002" s="558"/>
    </row>
    <row r="1003" spans="1:10" s="244" customFormat="1" ht="30" customHeight="1" x14ac:dyDescent="0.25">
      <c r="A1003" s="663">
        <v>6409</v>
      </c>
      <c r="B1003" s="629" t="s">
        <v>1008</v>
      </c>
      <c r="C1003" s="635">
        <f>SUM(C1004:C1006)</f>
        <v>3310000</v>
      </c>
      <c r="D1003" s="635">
        <f>SUM(D1004:D1006)</f>
        <v>5952610.2100000009</v>
      </c>
      <c r="E1003" s="635"/>
      <c r="F1003" s="635"/>
      <c r="G1003" s="635"/>
      <c r="H1003" s="636"/>
    </row>
    <row r="1004" spans="1:10" s="98" customFormat="1" ht="30" customHeight="1" x14ac:dyDescent="0.2">
      <c r="A1004" s="1019"/>
      <c r="B1004" s="690" t="s">
        <v>1009</v>
      </c>
      <c r="C1004" s="694">
        <v>3000000</v>
      </c>
      <c r="D1004" s="694">
        <f>3000000-508200+45455-2500000+2499800-1812000-76493.01-33698-3663880-120860.71-221800+50161+14000000+14055.43-1700000-300000-1938178.27-436000-175000+5706845.54+285281-7381538+384+80676.71+248308.32-1750000+43797-84940+3705.41-231000-50000+270+2989.27+(1200000-96800)+921600+(-89825-296450-213204)-1000000+(20000+76497+20200+36600+156589.67+5360+147136+87410+265673.13+2870000)-147136-176-1449005.28</f>
        <v>5512610.2100000009</v>
      </c>
      <c r="E1004" s="694"/>
      <c r="F1004" s="694"/>
      <c r="G1004" s="694"/>
      <c r="H1004" s="670"/>
    </row>
    <row r="1005" spans="1:10" s="98" customFormat="1" ht="38.25" x14ac:dyDescent="0.2">
      <c r="A1005" s="832"/>
      <c r="B1005" s="884" t="s">
        <v>1862</v>
      </c>
      <c r="C1005" s="695">
        <f>80000+90000+85000+55000</f>
        <v>310000</v>
      </c>
      <c r="D1005" s="695">
        <f>80000+90000+85000+55000+(40000+10000)+80000</f>
        <v>440000</v>
      </c>
      <c r="E1005" s="695"/>
      <c r="F1005" s="695"/>
      <c r="G1005" s="695"/>
      <c r="H1005" s="784"/>
    </row>
    <row r="1006" spans="1:10" s="98" customFormat="1" ht="30" customHeight="1" x14ac:dyDescent="0.2">
      <c r="A1006" s="832"/>
      <c r="B1006" s="884" t="s">
        <v>1863</v>
      </c>
      <c r="C1006" s="695">
        <v>0</v>
      </c>
      <c r="D1006" s="695">
        <v>0</v>
      </c>
      <c r="E1006" s="695"/>
      <c r="F1006" s="695"/>
      <c r="G1006" s="695"/>
      <c r="H1006" s="695"/>
    </row>
    <row r="1007" spans="1:10" s="98" customFormat="1" ht="30" customHeight="1" x14ac:dyDescent="0.2">
      <c r="A1007" s="749"/>
      <c r="B1007" s="727"/>
      <c r="C1007" s="682"/>
      <c r="D1007" s="682"/>
      <c r="E1007" s="682"/>
      <c r="F1007" s="682"/>
      <c r="G1007" s="682"/>
      <c r="H1007" s="1020"/>
    </row>
    <row r="1008" spans="1:10" s="98" customFormat="1" ht="30" customHeight="1" x14ac:dyDescent="0.35">
      <c r="A1008" s="613"/>
      <c r="B1008" s="1021" t="s">
        <v>55</v>
      </c>
      <c r="C1008" s="1022">
        <f>SUM(C262+C374+C572+C575+C581+C590+C594+C598+C690+C694+C714+C722+C765+C772+C799+C972+C983)</f>
        <v>1000477597.2</v>
      </c>
      <c r="D1008" s="1022">
        <f>SUM(D262+D374+D572+D575+D581+D590+D594+D598+D690+D694+D714+D722+D765+D772+D799+D972+D983)</f>
        <v>1016896537.8599999</v>
      </c>
      <c r="E1008" s="1022"/>
      <c r="F1008" s="1022"/>
      <c r="G1008" s="1022"/>
      <c r="H1008" s="1023"/>
    </row>
    <row r="1009" spans="1:8" ht="23.25" x14ac:dyDescent="0.35">
      <c r="B1009" s="1024"/>
    </row>
    <row r="1010" spans="1:8" x14ac:dyDescent="0.2">
      <c r="B1010" s="564"/>
    </row>
    <row r="1011" spans="1:8" s="98" customFormat="1" x14ac:dyDescent="0.2">
      <c r="A1011" s="1"/>
      <c r="B1011" s="1"/>
      <c r="C1011" s="29">
        <f t="shared" ref="C1011:H1011" si="41">C9-C1008</f>
        <v>0</v>
      </c>
      <c r="D1011" s="29">
        <f t="shared" si="41"/>
        <v>0</v>
      </c>
      <c r="E1011" s="29">
        <f t="shared" si="41"/>
        <v>0</v>
      </c>
      <c r="F1011" s="29">
        <f t="shared" si="41"/>
        <v>0</v>
      </c>
      <c r="G1011" s="29">
        <f t="shared" si="41"/>
        <v>0</v>
      </c>
      <c r="H1011" s="29">
        <f t="shared" si="41"/>
        <v>0</v>
      </c>
    </row>
    <row r="1012" spans="1:8" s="98" customFormat="1" x14ac:dyDescent="0.2">
      <c r="A1012" s="1"/>
      <c r="B1012" s="1"/>
      <c r="C1012" s="1"/>
      <c r="D1012" s="1"/>
      <c r="E1012" s="1"/>
      <c r="F1012" s="1"/>
      <c r="G1012" s="1"/>
    </row>
  </sheetData>
  <sheetProtection selectLockedCells="1" selectUnlockedCells="1"/>
  <pageMargins left="0" right="0" top="0.39370078740157477" bottom="0.39370078740157477" header="0.51181102362204722" footer="0.19685039370078738"/>
  <pageSetup paperSize="9" scale="65" firstPageNumber="0" orientation="landscape" horizontalDpi="300" verticalDpi="300"/>
  <headerFooter>
    <oddFooter>&amp;C&amp;P</oddFooter>
  </headerFooter>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9"/>
  <sheetViews>
    <sheetView workbookViewId="0">
      <selection activeCell="M65" sqref="M65"/>
    </sheetView>
  </sheetViews>
  <sheetFormatPr defaultRowHeight="15" x14ac:dyDescent="0.2"/>
  <cols>
    <col min="2" max="3" width="8.28515625" customWidth="1"/>
    <col min="4" max="4" width="5" customWidth="1"/>
    <col min="5" max="5" width="8.28515625" customWidth="1"/>
    <col min="6" max="6" width="16.7109375" customWidth="1"/>
    <col min="7" max="7" width="18.85546875" style="1104" customWidth="1"/>
    <col min="8" max="8" width="4.7109375" style="29" customWidth="1"/>
    <col min="9" max="9" width="16.85546875" customWidth="1"/>
    <col min="10" max="10" width="1.5703125" customWidth="1"/>
    <col min="11" max="11" width="14.5703125" customWidth="1"/>
    <col min="12" max="12" width="17.7109375" customWidth="1"/>
    <col min="258" max="259" width="8.28515625" customWidth="1"/>
    <col min="260" max="260" width="5" customWidth="1"/>
    <col min="261" max="261" width="8.28515625" customWidth="1"/>
    <col min="262" max="262" width="16.7109375" customWidth="1"/>
    <col min="263" max="263" width="17.7109375" customWidth="1"/>
    <col min="264" max="264" width="4.7109375" customWidth="1"/>
    <col min="265" max="265" width="16.85546875" customWidth="1"/>
    <col min="266" max="266" width="1.5703125" customWidth="1"/>
    <col min="267" max="267" width="14.5703125" customWidth="1"/>
    <col min="268" max="268" width="17.7109375" customWidth="1"/>
    <col min="514" max="515" width="8.28515625" customWidth="1"/>
    <col min="516" max="516" width="5" customWidth="1"/>
    <col min="517" max="517" width="8.28515625" customWidth="1"/>
    <col min="518" max="518" width="16.7109375" customWidth="1"/>
    <col min="519" max="519" width="17.7109375" customWidth="1"/>
    <col min="520" max="520" width="4.7109375" customWidth="1"/>
    <col min="521" max="521" width="16.85546875" customWidth="1"/>
    <col min="522" max="522" width="1.5703125" customWidth="1"/>
    <col min="523" max="523" width="14.5703125" customWidth="1"/>
    <col min="524" max="524" width="17.7109375" customWidth="1"/>
    <col min="770" max="771" width="8.28515625" customWidth="1"/>
    <col min="772" max="772" width="5" customWidth="1"/>
    <col min="773" max="773" width="8.28515625" customWidth="1"/>
    <col min="774" max="774" width="16.7109375" customWidth="1"/>
    <col min="775" max="775" width="17.7109375" customWidth="1"/>
    <col min="776" max="776" width="4.7109375" customWidth="1"/>
    <col min="777" max="777" width="16.85546875" customWidth="1"/>
    <col min="778" max="778" width="1.5703125" customWidth="1"/>
    <col min="779" max="779" width="14.5703125" customWidth="1"/>
    <col min="780" max="780" width="17.7109375" customWidth="1"/>
    <col min="1026" max="1027" width="8.28515625" customWidth="1"/>
    <col min="1028" max="1028" width="5" customWidth="1"/>
    <col min="1029" max="1029" width="8.28515625" customWidth="1"/>
    <col min="1030" max="1030" width="16.7109375" customWidth="1"/>
    <col min="1031" max="1031" width="17.7109375" customWidth="1"/>
    <col min="1032" max="1032" width="4.7109375" customWidth="1"/>
    <col min="1033" max="1033" width="16.85546875" customWidth="1"/>
    <col min="1034" max="1034" width="1.5703125" customWidth="1"/>
    <col min="1035" max="1035" width="14.5703125" customWidth="1"/>
    <col min="1036" max="1036" width="17.7109375" customWidth="1"/>
    <col min="1282" max="1283" width="8.28515625" customWidth="1"/>
    <col min="1284" max="1284" width="5" customWidth="1"/>
    <col min="1285" max="1285" width="8.28515625" customWidth="1"/>
    <col min="1286" max="1286" width="16.7109375" customWidth="1"/>
    <col min="1287" max="1287" width="17.7109375" customWidth="1"/>
    <col min="1288" max="1288" width="4.7109375" customWidth="1"/>
    <col min="1289" max="1289" width="16.85546875" customWidth="1"/>
    <col min="1290" max="1290" width="1.5703125" customWidth="1"/>
    <col min="1291" max="1291" width="14.5703125" customWidth="1"/>
    <col min="1292" max="1292" width="17.7109375" customWidth="1"/>
    <col min="1538" max="1539" width="8.28515625" customWidth="1"/>
    <col min="1540" max="1540" width="5" customWidth="1"/>
    <col min="1541" max="1541" width="8.28515625" customWidth="1"/>
    <col min="1542" max="1542" width="16.7109375" customWidth="1"/>
    <col min="1543" max="1543" width="17.7109375" customWidth="1"/>
    <col min="1544" max="1544" width="4.7109375" customWidth="1"/>
    <col min="1545" max="1545" width="16.85546875" customWidth="1"/>
    <col min="1546" max="1546" width="1.5703125" customWidth="1"/>
    <col min="1547" max="1547" width="14.5703125" customWidth="1"/>
    <col min="1548" max="1548" width="17.7109375" customWidth="1"/>
    <col min="1794" max="1795" width="8.28515625" customWidth="1"/>
    <col min="1796" max="1796" width="5" customWidth="1"/>
    <col min="1797" max="1797" width="8.28515625" customWidth="1"/>
    <col min="1798" max="1798" width="16.7109375" customWidth="1"/>
    <col min="1799" max="1799" width="17.7109375" customWidth="1"/>
    <col min="1800" max="1800" width="4.7109375" customWidth="1"/>
    <col min="1801" max="1801" width="16.85546875" customWidth="1"/>
    <col min="1802" max="1802" width="1.5703125" customWidth="1"/>
    <col min="1803" max="1803" width="14.5703125" customWidth="1"/>
    <col min="1804" max="1804" width="17.7109375" customWidth="1"/>
    <col min="2050" max="2051" width="8.28515625" customWidth="1"/>
    <col min="2052" max="2052" width="5" customWidth="1"/>
    <col min="2053" max="2053" width="8.28515625" customWidth="1"/>
    <col min="2054" max="2054" width="16.7109375" customWidth="1"/>
    <col min="2055" max="2055" width="17.7109375" customWidth="1"/>
    <col min="2056" max="2056" width="4.7109375" customWidth="1"/>
    <col min="2057" max="2057" width="16.85546875" customWidth="1"/>
    <col min="2058" max="2058" width="1.5703125" customWidth="1"/>
    <col min="2059" max="2059" width="14.5703125" customWidth="1"/>
    <col min="2060" max="2060" width="17.7109375" customWidth="1"/>
    <col min="2306" max="2307" width="8.28515625" customWidth="1"/>
    <col min="2308" max="2308" width="5" customWidth="1"/>
    <col min="2309" max="2309" width="8.28515625" customWidth="1"/>
    <col min="2310" max="2310" width="16.7109375" customWidth="1"/>
    <col min="2311" max="2311" width="17.7109375" customWidth="1"/>
    <col min="2312" max="2312" width="4.7109375" customWidth="1"/>
    <col min="2313" max="2313" width="16.85546875" customWidth="1"/>
    <col min="2314" max="2314" width="1.5703125" customWidth="1"/>
    <col min="2315" max="2315" width="14.5703125" customWidth="1"/>
    <col min="2316" max="2316" width="17.7109375" customWidth="1"/>
    <col min="2562" max="2563" width="8.28515625" customWidth="1"/>
    <col min="2564" max="2564" width="5" customWidth="1"/>
    <col min="2565" max="2565" width="8.28515625" customWidth="1"/>
    <col min="2566" max="2566" width="16.7109375" customWidth="1"/>
    <col min="2567" max="2567" width="17.7109375" customWidth="1"/>
    <col min="2568" max="2568" width="4.7109375" customWidth="1"/>
    <col min="2569" max="2569" width="16.85546875" customWidth="1"/>
    <col min="2570" max="2570" width="1.5703125" customWidth="1"/>
    <col min="2571" max="2571" width="14.5703125" customWidth="1"/>
    <col min="2572" max="2572" width="17.7109375" customWidth="1"/>
    <col min="2818" max="2819" width="8.28515625" customWidth="1"/>
    <col min="2820" max="2820" width="5" customWidth="1"/>
    <col min="2821" max="2821" width="8.28515625" customWidth="1"/>
    <col min="2822" max="2822" width="16.7109375" customWidth="1"/>
    <col min="2823" max="2823" width="17.7109375" customWidth="1"/>
    <col min="2824" max="2824" width="4.7109375" customWidth="1"/>
    <col min="2825" max="2825" width="16.85546875" customWidth="1"/>
    <col min="2826" max="2826" width="1.5703125" customWidth="1"/>
    <col min="2827" max="2827" width="14.5703125" customWidth="1"/>
    <col min="2828" max="2828" width="17.7109375" customWidth="1"/>
    <col min="3074" max="3075" width="8.28515625" customWidth="1"/>
    <col min="3076" max="3076" width="5" customWidth="1"/>
    <col min="3077" max="3077" width="8.28515625" customWidth="1"/>
    <col min="3078" max="3078" width="16.7109375" customWidth="1"/>
    <col min="3079" max="3079" width="17.7109375" customWidth="1"/>
    <col min="3080" max="3080" width="4.7109375" customWidth="1"/>
    <col min="3081" max="3081" width="16.85546875" customWidth="1"/>
    <col min="3082" max="3082" width="1.5703125" customWidth="1"/>
    <col min="3083" max="3083" width="14.5703125" customWidth="1"/>
    <col min="3084" max="3084" width="17.7109375" customWidth="1"/>
    <col min="3330" max="3331" width="8.28515625" customWidth="1"/>
    <col min="3332" max="3332" width="5" customWidth="1"/>
    <col min="3333" max="3333" width="8.28515625" customWidth="1"/>
    <col min="3334" max="3334" width="16.7109375" customWidth="1"/>
    <col min="3335" max="3335" width="17.7109375" customWidth="1"/>
    <col min="3336" max="3336" width="4.7109375" customWidth="1"/>
    <col min="3337" max="3337" width="16.85546875" customWidth="1"/>
    <col min="3338" max="3338" width="1.5703125" customWidth="1"/>
    <col min="3339" max="3339" width="14.5703125" customWidth="1"/>
    <col min="3340" max="3340" width="17.7109375" customWidth="1"/>
    <col min="3586" max="3587" width="8.28515625" customWidth="1"/>
    <col min="3588" max="3588" width="5" customWidth="1"/>
    <col min="3589" max="3589" width="8.28515625" customWidth="1"/>
    <col min="3590" max="3590" width="16.7109375" customWidth="1"/>
    <col min="3591" max="3591" width="17.7109375" customWidth="1"/>
    <col min="3592" max="3592" width="4.7109375" customWidth="1"/>
    <col min="3593" max="3593" width="16.85546875" customWidth="1"/>
    <col min="3594" max="3594" width="1.5703125" customWidth="1"/>
    <col min="3595" max="3595" width="14.5703125" customWidth="1"/>
    <col min="3596" max="3596" width="17.7109375" customWidth="1"/>
    <col min="3842" max="3843" width="8.28515625" customWidth="1"/>
    <col min="3844" max="3844" width="5" customWidth="1"/>
    <col min="3845" max="3845" width="8.28515625" customWidth="1"/>
    <col min="3846" max="3846" width="16.7109375" customWidth="1"/>
    <col min="3847" max="3847" width="17.7109375" customWidth="1"/>
    <col min="3848" max="3848" width="4.7109375" customWidth="1"/>
    <col min="3849" max="3849" width="16.85546875" customWidth="1"/>
    <col min="3850" max="3850" width="1.5703125" customWidth="1"/>
    <col min="3851" max="3851" width="14.5703125" customWidth="1"/>
    <col min="3852" max="3852" width="17.7109375" customWidth="1"/>
    <col min="4098" max="4099" width="8.28515625" customWidth="1"/>
    <col min="4100" max="4100" width="5" customWidth="1"/>
    <col min="4101" max="4101" width="8.28515625" customWidth="1"/>
    <col min="4102" max="4102" width="16.7109375" customWidth="1"/>
    <col min="4103" max="4103" width="17.7109375" customWidth="1"/>
    <col min="4104" max="4104" width="4.7109375" customWidth="1"/>
    <col min="4105" max="4105" width="16.85546875" customWidth="1"/>
    <col min="4106" max="4106" width="1.5703125" customWidth="1"/>
    <col min="4107" max="4107" width="14.5703125" customWidth="1"/>
    <col min="4108" max="4108" width="17.7109375" customWidth="1"/>
    <col min="4354" max="4355" width="8.28515625" customWidth="1"/>
    <col min="4356" max="4356" width="5" customWidth="1"/>
    <col min="4357" max="4357" width="8.28515625" customWidth="1"/>
    <col min="4358" max="4358" width="16.7109375" customWidth="1"/>
    <col min="4359" max="4359" width="17.7109375" customWidth="1"/>
    <col min="4360" max="4360" width="4.7109375" customWidth="1"/>
    <col min="4361" max="4361" width="16.85546875" customWidth="1"/>
    <col min="4362" max="4362" width="1.5703125" customWidth="1"/>
    <col min="4363" max="4363" width="14.5703125" customWidth="1"/>
    <col min="4364" max="4364" width="17.7109375" customWidth="1"/>
    <col min="4610" max="4611" width="8.28515625" customWidth="1"/>
    <col min="4612" max="4612" width="5" customWidth="1"/>
    <col min="4613" max="4613" width="8.28515625" customWidth="1"/>
    <col min="4614" max="4614" width="16.7109375" customWidth="1"/>
    <col min="4615" max="4615" width="17.7109375" customWidth="1"/>
    <col min="4616" max="4616" width="4.7109375" customWidth="1"/>
    <col min="4617" max="4617" width="16.85546875" customWidth="1"/>
    <col min="4618" max="4618" width="1.5703125" customWidth="1"/>
    <col min="4619" max="4619" width="14.5703125" customWidth="1"/>
    <col min="4620" max="4620" width="17.7109375" customWidth="1"/>
    <col min="4866" max="4867" width="8.28515625" customWidth="1"/>
    <col min="4868" max="4868" width="5" customWidth="1"/>
    <col min="4869" max="4869" width="8.28515625" customWidth="1"/>
    <col min="4870" max="4870" width="16.7109375" customWidth="1"/>
    <col min="4871" max="4871" width="17.7109375" customWidth="1"/>
    <col min="4872" max="4872" width="4.7109375" customWidth="1"/>
    <col min="4873" max="4873" width="16.85546875" customWidth="1"/>
    <col min="4874" max="4874" width="1.5703125" customWidth="1"/>
    <col min="4875" max="4875" width="14.5703125" customWidth="1"/>
    <col min="4876" max="4876" width="17.7109375" customWidth="1"/>
    <col min="5122" max="5123" width="8.28515625" customWidth="1"/>
    <col min="5124" max="5124" width="5" customWidth="1"/>
    <col min="5125" max="5125" width="8.28515625" customWidth="1"/>
    <col min="5126" max="5126" width="16.7109375" customWidth="1"/>
    <col min="5127" max="5127" width="17.7109375" customWidth="1"/>
    <col min="5128" max="5128" width="4.7109375" customWidth="1"/>
    <col min="5129" max="5129" width="16.85546875" customWidth="1"/>
    <col min="5130" max="5130" width="1.5703125" customWidth="1"/>
    <col min="5131" max="5131" width="14.5703125" customWidth="1"/>
    <col min="5132" max="5132" width="17.7109375" customWidth="1"/>
    <col min="5378" max="5379" width="8.28515625" customWidth="1"/>
    <col min="5380" max="5380" width="5" customWidth="1"/>
    <col min="5381" max="5381" width="8.28515625" customWidth="1"/>
    <col min="5382" max="5382" width="16.7109375" customWidth="1"/>
    <col min="5383" max="5383" width="17.7109375" customWidth="1"/>
    <col min="5384" max="5384" width="4.7109375" customWidth="1"/>
    <col min="5385" max="5385" width="16.85546875" customWidth="1"/>
    <col min="5386" max="5386" width="1.5703125" customWidth="1"/>
    <col min="5387" max="5387" width="14.5703125" customWidth="1"/>
    <col min="5388" max="5388" width="17.7109375" customWidth="1"/>
    <col min="5634" max="5635" width="8.28515625" customWidth="1"/>
    <col min="5636" max="5636" width="5" customWidth="1"/>
    <col min="5637" max="5637" width="8.28515625" customWidth="1"/>
    <col min="5638" max="5638" width="16.7109375" customWidth="1"/>
    <col min="5639" max="5639" width="17.7109375" customWidth="1"/>
    <col min="5640" max="5640" width="4.7109375" customWidth="1"/>
    <col min="5641" max="5641" width="16.85546875" customWidth="1"/>
    <col min="5642" max="5642" width="1.5703125" customWidth="1"/>
    <col min="5643" max="5643" width="14.5703125" customWidth="1"/>
    <col min="5644" max="5644" width="17.7109375" customWidth="1"/>
    <col min="5890" max="5891" width="8.28515625" customWidth="1"/>
    <col min="5892" max="5892" width="5" customWidth="1"/>
    <col min="5893" max="5893" width="8.28515625" customWidth="1"/>
    <col min="5894" max="5894" width="16.7109375" customWidth="1"/>
    <col min="5895" max="5895" width="17.7109375" customWidth="1"/>
    <col min="5896" max="5896" width="4.7109375" customWidth="1"/>
    <col min="5897" max="5897" width="16.85546875" customWidth="1"/>
    <col min="5898" max="5898" width="1.5703125" customWidth="1"/>
    <col min="5899" max="5899" width="14.5703125" customWidth="1"/>
    <col min="5900" max="5900" width="17.7109375" customWidth="1"/>
    <col min="6146" max="6147" width="8.28515625" customWidth="1"/>
    <col min="6148" max="6148" width="5" customWidth="1"/>
    <col min="6149" max="6149" width="8.28515625" customWidth="1"/>
    <col min="6150" max="6150" width="16.7109375" customWidth="1"/>
    <col min="6151" max="6151" width="17.7109375" customWidth="1"/>
    <col min="6152" max="6152" width="4.7109375" customWidth="1"/>
    <col min="6153" max="6153" width="16.85546875" customWidth="1"/>
    <col min="6154" max="6154" width="1.5703125" customWidth="1"/>
    <col min="6155" max="6155" width="14.5703125" customWidth="1"/>
    <col min="6156" max="6156" width="17.7109375" customWidth="1"/>
    <col min="6402" max="6403" width="8.28515625" customWidth="1"/>
    <col min="6404" max="6404" width="5" customWidth="1"/>
    <col min="6405" max="6405" width="8.28515625" customWidth="1"/>
    <col min="6406" max="6406" width="16.7109375" customWidth="1"/>
    <col min="6407" max="6407" width="17.7109375" customWidth="1"/>
    <col min="6408" max="6408" width="4.7109375" customWidth="1"/>
    <col min="6409" max="6409" width="16.85546875" customWidth="1"/>
    <col min="6410" max="6410" width="1.5703125" customWidth="1"/>
    <col min="6411" max="6411" width="14.5703125" customWidth="1"/>
    <col min="6412" max="6412" width="17.7109375" customWidth="1"/>
    <col min="6658" max="6659" width="8.28515625" customWidth="1"/>
    <col min="6660" max="6660" width="5" customWidth="1"/>
    <col min="6661" max="6661" width="8.28515625" customWidth="1"/>
    <col min="6662" max="6662" width="16.7109375" customWidth="1"/>
    <col min="6663" max="6663" width="17.7109375" customWidth="1"/>
    <col min="6664" max="6664" width="4.7109375" customWidth="1"/>
    <col min="6665" max="6665" width="16.85546875" customWidth="1"/>
    <col min="6666" max="6666" width="1.5703125" customWidth="1"/>
    <col min="6667" max="6667" width="14.5703125" customWidth="1"/>
    <col min="6668" max="6668" width="17.7109375" customWidth="1"/>
    <col min="6914" max="6915" width="8.28515625" customWidth="1"/>
    <col min="6916" max="6916" width="5" customWidth="1"/>
    <col min="6917" max="6917" width="8.28515625" customWidth="1"/>
    <col min="6918" max="6918" width="16.7109375" customWidth="1"/>
    <col min="6919" max="6919" width="17.7109375" customWidth="1"/>
    <col min="6920" max="6920" width="4.7109375" customWidth="1"/>
    <col min="6921" max="6921" width="16.85546875" customWidth="1"/>
    <col min="6922" max="6922" width="1.5703125" customWidth="1"/>
    <col min="6923" max="6923" width="14.5703125" customWidth="1"/>
    <col min="6924" max="6924" width="17.7109375" customWidth="1"/>
    <col min="7170" max="7171" width="8.28515625" customWidth="1"/>
    <col min="7172" max="7172" width="5" customWidth="1"/>
    <col min="7173" max="7173" width="8.28515625" customWidth="1"/>
    <col min="7174" max="7174" width="16.7109375" customWidth="1"/>
    <col min="7175" max="7175" width="17.7109375" customWidth="1"/>
    <col min="7176" max="7176" width="4.7109375" customWidth="1"/>
    <col min="7177" max="7177" width="16.85546875" customWidth="1"/>
    <col min="7178" max="7178" width="1.5703125" customWidth="1"/>
    <col min="7179" max="7179" width="14.5703125" customWidth="1"/>
    <col min="7180" max="7180" width="17.7109375" customWidth="1"/>
    <col min="7426" max="7427" width="8.28515625" customWidth="1"/>
    <col min="7428" max="7428" width="5" customWidth="1"/>
    <col min="7429" max="7429" width="8.28515625" customWidth="1"/>
    <col min="7430" max="7430" width="16.7109375" customWidth="1"/>
    <col min="7431" max="7431" width="17.7109375" customWidth="1"/>
    <col min="7432" max="7432" width="4.7109375" customWidth="1"/>
    <col min="7433" max="7433" width="16.85546875" customWidth="1"/>
    <col min="7434" max="7434" width="1.5703125" customWidth="1"/>
    <col min="7435" max="7435" width="14.5703125" customWidth="1"/>
    <col min="7436" max="7436" width="17.7109375" customWidth="1"/>
    <col min="7682" max="7683" width="8.28515625" customWidth="1"/>
    <col min="7684" max="7684" width="5" customWidth="1"/>
    <col min="7685" max="7685" width="8.28515625" customWidth="1"/>
    <col min="7686" max="7686" width="16.7109375" customWidth="1"/>
    <col min="7687" max="7687" width="17.7109375" customWidth="1"/>
    <col min="7688" max="7688" width="4.7109375" customWidth="1"/>
    <col min="7689" max="7689" width="16.85546875" customWidth="1"/>
    <col min="7690" max="7690" width="1.5703125" customWidth="1"/>
    <col min="7691" max="7691" width="14.5703125" customWidth="1"/>
    <col min="7692" max="7692" width="17.7109375" customWidth="1"/>
    <col min="7938" max="7939" width="8.28515625" customWidth="1"/>
    <col min="7940" max="7940" width="5" customWidth="1"/>
    <col min="7941" max="7941" width="8.28515625" customWidth="1"/>
    <col min="7942" max="7942" width="16.7109375" customWidth="1"/>
    <col min="7943" max="7943" width="17.7109375" customWidth="1"/>
    <col min="7944" max="7944" width="4.7109375" customWidth="1"/>
    <col min="7945" max="7945" width="16.85546875" customWidth="1"/>
    <col min="7946" max="7946" width="1.5703125" customWidth="1"/>
    <col min="7947" max="7947" width="14.5703125" customWidth="1"/>
    <col min="7948" max="7948" width="17.7109375" customWidth="1"/>
    <col min="8194" max="8195" width="8.28515625" customWidth="1"/>
    <col min="8196" max="8196" width="5" customWidth="1"/>
    <col min="8197" max="8197" width="8.28515625" customWidth="1"/>
    <col min="8198" max="8198" width="16.7109375" customWidth="1"/>
    <col min="8199" max="8199" width="17.7109375" customWidth="1"/>
    <col min="8200" max="8200" width="4.7109375" customWidth="1"/>
    <col min="8201" max="8201" width="16.85546875" customWidth="1"/>
    <col min="8202" max="8202" width="1.5703125" customWidth="1"/>
    <col min="8203" max="8203" width="14.5703125" customWidth="1"/>
    <col min="8204" max="8204" width="17.7109375" customWidth="1"/>
    <col min="8450" max="8451" width="8.28515625" customWidth="1"/>
    <col min="8452" max="8452" width="5" customWidth="1"/>
    <col min="8453" max="8453" width="8.28515625" customWidth="1"/>
    <col min="8454" max="8454" width="16.7109375" customWidth="1"/>
    <col min="8455" max="8455" width="17.7109375" customWidth="1"/>
    <col min="8456" max="8456" width="4.7109375" customWidth="1"/>
    <col min="8457" max="8457" width="16.85546875" customWidth="1"/>
    <col min="8458" max="8458" width="1.5703125" customWidth="1"/>
    <col min="8459" max="8459" width="14.5703125" customWidth="1"/>
    <col min="8460" max="8460" width="17.7109375" customWidth="1"/>
    <col min="8706" max="8707" width="8.28515625" customWidth="1"/>
    <col min="8708" max="8708" width="5" customWidth="1"/>
    <col min="8709" max="8709" width="8.28515625" customWidth="1"/>
    <col min="8710" max="8710" width="16.7109375" customWidth="1"/>
    <col min="8711" max="8711" width="17.7109375" customWidth="1"/>
    <col min="8712" max="8712" width="4.7109375" customWidth="1"/>
    <col min="8713" max="8713" width="16.85546875" customWidth="1"/>
    <col min="8714" max="8714" width="1.5703125" customWidth="1"/>
    <col min="8715" max="8715" width="14.5703125" customWidth="1"/>
    <col min="8716" max="8716" width="17.7109375" customWidth="1"/>
    <col min="8962" max="8963" width="8.28515625" customWidth="1"/>
    <col min="8964" max="8964" width="5" customWidth="1"/>
    <col min="8965" max="8965" width="8.28515625" customWidth="1"/>
    <col min="8966" max="8966" width="16.7109375" customWidth="1"/>
    <col min="8967" max="8967" width="17.7109375" customWidth="1"/>
    <col min="8968" max="8968" width="4.7109375" customWidth="1"/>
    <col min="8969" max="8969" width="16.85546875" customWidth="1"/>
    <col min="8970" max="8970" width="1.5703125" customWidth="1"/>
    <col min="8971" max="8971" width="14.5703125" customWidth="1"/>
    <col min="8972" max="8972" width="17.7109375" customWidth="1"/>
    <col min="9218" max="9219" width="8.28515625" customWidth="1"/>
    <col min="9220" max="9220" width="5" customWidth="1"/>
    <col min="9221" max="9221" width="8.28515625" customWidth="1"/>
    <col min="9222" max="9222" width="16.7109375" customWidth="1"/>
    <col min="9223" max="9223" width="17.7109375" customWidth="1"/>
    <col min="9224" max="9224" width="4.7109375" customWidth="1"/>
    <col min="9225" max="9225" width="16.85546875" customWidth="1"/>
    <col min="9226" max="9226" width="1.5703125" customWidth="1"/>
    <col min="9227" max="9227" width="14.5703125" customWidth="1"/>
    <col min="9228" max="9228" width="17.7109375" customWidth="1"/>
    <col min="9474" max="9475" width="8.28515625" customWidth="1"/>
    <col min="9476" max="9476" width="5" customWidth="1"/>
    <col min="9477" max="9477" width="8.28515625" customWidth="1"/>
    <col min="9478" max="9478" width="16.7109375" customWidth="1"/>
    <col min="9479" max="9479" width="17.7109375" customWidth="1"/>
    <col min="9480" max="9480" width="4.7109375" customWidth="1"/>
    <col min="9481" max="9481" width="16.85546875" customWidth="1"/>
    <col min="9482" max="9482" width="1.5703125" customWidth="1"/>
    <col min="9483" max="9483" width="14.5703125" customWidth="1"/>
    <col min="9484" max="9484" width="17.7109375" customWidth="1"/>
    <col min="9730" max="9731" width="8.28515625" customWidth="1"/>
    <col min="9732" max="9732" width="5" customWidth="1"/>
    <col min="9733" max="9733" width="8.28515625" customWidth="1"/>
    <col min="9734" max="9734" width="16.7109375" customWidth="1"/>
    <col min="9735" max="9735" width="17.7109375" customWidth="1"/>
    <col min="9736" max="9736" width="4.7109375" customWidth="1"/>
    <col min="9737" max="9737" width="16.85546875" customWidth="1"/>
    <col min="9738" max="9738" width="1.5703125" customWidth="1"/>
    <col min="9739" max="9739" width="14.5703125" customWidth="1"/>
    <col min="9740" max="9740" width="17.7109375" customWidth="1"/>
    <col min="9986" max="9987" width="8.28515625" customWidth="1"/>
    <col min="9988" max="9988" width="5" customWidth="1"/>
    <col min="9989" max="9989" width="8.28515625" customWidth="1"/>
    <col min="9990" max="9990" width="16.7109375" customWidth="1"/>
    <col min="9991" max="9991" width="17.7109375" customWidth="1"/>
    <col min="9992" max="9992" width="4.7109375" customWidth="1"/>
    <col min="9993" max="9993" width="16.85546875" customWidth="1"/>
    <col min="9994" max="9994" width="1.5703125" customWidth="1"/>
    <col min="9995" max="9995" width="14.5703125" customWidth="1"/>
    <col min="9996" max="9996" width="17.7109375" customWidth="1"/>
    <col min="10242" max="10243" width="8.28515625" customWidth="1"/>
    <col min="10244" max="10244" width="5" customWidth="1"/>
    <col min="10245" max="10245" width="8.28515625" customWidth="1"/>
    <col min="10246" max="10246" width="16.7109375" customWidth="1"/>
    <col min="10247" max="10247" width="17.7109375" customWidth="1"/>
    <col min="10248" max="10248" width="4.7109375" customWidth="1"/>
    <col min="10249" max="10249" width="16.85546875" customWidth="1"/>
    <col min="10250" max="10250" width="1.5703125" customWidth="1"/>
    <col min="10251" max="10251" width="14.5703125" customWidth="1"/>
    <col min="10252" max="10252" width="17.7109375" customWidth="1"/>
    <col min="10498" max="10499" width="8.28515625" customWidth="1"/>
    <col min="10500" max="10500" width="5" customWidth="1"/>
    <col min="10501" max="10501" width="8.28515625" customWidth="1"/>
    <col min="10502" max="10502" width="16.7109375" customWidth="1"/>
    <col min="10503" max="10503" width="17.7109375" customWidth="1"/>
    <col min="10504" max="10504" width="4.7109375" customWidth="1"/>
    <col min="10505" max="10505" width="16.85546875" customWidth="1"/>
    <col min="10506" max="10506" width="1.5703125" customWidth="1"/>
    <col min="10507" max="10507" width="14.5703125" customWidth="1"/>
    <col min="10508" max="10508" width="17.7109375" customWidth="1"/>
    <col min="10754" max="10755" width="8.28515625" customWidth="1"/>
    <col min="10756" max="10756" width="5" customWidth="1"/>
    <col min="10757" max="10757" width="8.28515625" customWidth="1"/>
    <col min="10758" max="10758" width="16.7109375" customWidth="1"/>
    <col min="10759" max="10759" width="17.7109375" customWidth="1"/>
    <col min="10760" max="10760" width="4.7109375" customWidth="1"/>
    <col min="10761" max="10761" width="16.85546875" customWidth="1"/>
    <col min="10762" max="10762" width="1.5703125" customWidth="1"/>
    <col min="10763" max="10763" width="14.5703125" customWidth="1"/>
    <col min="10764" max="10764" width="17.7109375" customWidth="1"/>
    <col min="11010" max="11011" width="8.28515625" customWidth="1"/>
    <col min="11012" max="11012" width="5" customWidth="1"/>
    <col min="11013" max="11013" width="8.28515625" customWidth="1"/>
    <col min="11014" max="11014" width="16.7109375" customWidth="1"/>
    <col min="11015" max="11015" width="17.7109375" customWidth="1"/>
    <col min="11016" max="11016" width="4.7109375" customWidth="1"/>
    <col min="11017" max="11017" width="16.85546875" customWidth="1"/>
    <col min="11018" max="11018" width="1.5703125" customWidth="1"/>
    <col min="11019" max="11019" width="14.5703125" customWidth="1"/>
    <col min="11020" max="11020" width="17.7109375" customWidth="1"/>
    <col min="11266" max="11267" width="8.28515625" customWidth="1"/>
    <col min="11268" max="11268" width="5" customWidth="1"/>
    <col min="11269" max="11269" width="8.28515625" customWidth="1"/>
    <col min="11270" max="11270" width="16.7109375" customWidth="1"/>
    <col min="11271" max="11271" width="17.7109375" customWidth="1"/>
    <col min="11272" max="11272" width="4.7109375" customWidth="1"/>
    <col min="11273" max="11273" width="16.85546875" customWidth="1"/>
    <col min="11274" max="11274" width="1.5703125" customWidth="1"/>
    <col min="11275" max="11275" width="14.5703125" customWidth="1"/>
    <col min="11276" max="11276" width="17.7109375" customWidth="1"/>
    <col min="11522" max="11523" width="8.28515625" customWidth="1"/>
    <col min="11524" max="11524" width="5" customWidth="1"/>
    <col min="11525" max="11525" width="8.28515625" customWidth="1"/>
    <col min="11526" max="11526" width="16.7109375" customWidth="1"/>
    <col min="11527" max="11527" width="17.7109375" customWidth="1"/>
    <col min="11528" max="11528" width="4.7109375" customWidth="1"/>
    <col min="11529" max="11529" width="16.85546875" customWidth="1"/>
    <col min="11530" max="11530" width="1.5703125" customWidth="1"/>
    <col min="11531" max="11531" width="14.5703125" customWidth="1"/>
    <col min="11532" max="11532" width="17.7109375" customWidth="1"/>
    <col min="11778" max="11779" width="8.28515625" customWidth="1"/>
    <col min="11780" max="11780" width="5" customWidth="1"/>
    <col min="11781" max="11781" width="8.28515625" customWidth="1"/>
    <col min="11782" max="11782" width="16.7109375" customWidth="1"/>
    <col min="11783" max="11783" width="17.7109375" customWidth="1"/>
    <col min="11784" max="11784" width="4.7109375" customWidth="1"/>
    <col min="11785" max="11785" width="16.85546875" customWidth="1"/>
    <col min="11786" max="11786" width="1.5703125" customWidth="1"/>
    <col min="11787" max="11787" width="14.5703125" customWidth="1"/>
    <col min="11788" max="11788" width="17.7109375" customWidth="1"/>
    <col min="12034" max="12035" width="8.28515625" customWidth="1"/>
    <col min="12036" max="12036" width="5" customWidth="1"/>
    <col min="12037" max="12037" width="8.28515625" customWidth="1"/>
    <col min="12038" max="12038" width="16.7109375" customWidth="1"/>
    <col min="12039" max="12039" width="17.7109375" customWidth="1"/>
    <col min="12040" max="12040" width="4.7109375" customWidth="1"/>
    <col min="12041" max="12041" width="16.85546875" customWidth="1"/>
    <col min="12042" max="12042" width="1.5703125" customWidth="1"/>
    <col min="12043" max="12043" width="14.5703125" customWidth="1"/>
    <col min="12044" max="12044" width="17.7109375" customWidth="1"/>
    <col min="12290" max="12291" width="8.28515625" customWidth="1"/>
    <col min="12292" max="12292" width="5" customWidth="1"/>
    <col min="12293" max="12293" width="8.28515625" customWidth="1"/>
    <col min="12294" max="12294" width="16.7109375" customWidth="1"/>
    <col min="12295" max="12295" width="17.7109375" customWidth="1"/>
    <col min="12296" max="12296" width="4.7109375" customWidth="1"/>
    <col min="12297" max="12297" width="16.85546875" customWidth="1"/>
    <col min="12298" max="12298" width="1.5703125" customWidth="1"/>
    <col min="12299" max="12299" width="14.5703125" customWidth="1"/>
    <col min="12300" max="12300" width="17.7109375" customWidth="1"/>
    <col min="12546" max="12547" width="8.28515625" customWidth="1"/>
    <col min="12548" max="12548" width="5" customWidth="1"/>
    <col min="12549" max="12549" width="8.28515625" customWidth="1"/>
    <col min="12550" max="12550" width="16.7109375" customWidth="1"/>
    <col min="12551" max="12551" width="17.7109375" customWidth="1"/>
    <col min="12552" max="12552" width="4.7109375" customWidth="1"/>
    <col min="12553" max="12553" width="16.85546875" customWidth="1"/>
    <col min="12554" max="12554" width="1.5703125" customWidth="1"/>
    <col min="12555" max="12555" width="14.5703125" customWidth="1"/>
    <col min="12556" max="12556" width="17.7109375" customWidth="1"/>
    <col min="12802" max="12803" width="8.28515625" customWidth="1"/>
    <col min="12804" max="12804" width="5" customWidth="1"/>
    <col min="12805" max="12805" width="8.28515625" customWidth="1"/>
    <col min="12806" max="12806" width="16.7109375" customWidth="1"/>
    <col min="12807" max="12807" width="17.7109375" customWidth="1"/>
    <col min="12808" max="12808" width="4.7109375" customWidth="1"/>
    <col min="12809" max="12809" width="16.85546875" customWidth="1"/>
    <col min="12810" max="12810" width="1.5703125" customWidth="1"/>
    <col min="12811" max="12811" width="14.5703125" customWidth="1"/>
    <col min="12812" max="12812" width="17.7109375" customWidth="1"/>
    <col min="13058" max="13059" width="8.28515625" customWidth="1"/>
    <col min="13060" max="13060" width="5" customWidth="1"/>
    <col min="13061" max="13061" width="8.28515625" customWidth="1"/>
    <col min="13062" max="13062" width="16.7109375" customWidth="1"/>
    <col min="13063" max="13063" width="17.7109375" customWidth="1"/>
    <col min="13064" max="13064" width="4.7109375" customWidth="1"/>
    <col min="13065" max="13065" width="16.85546875" customWidth="1"/>
    <col min="13066" max="13066" width="1.5703125" customWidth="1"/>
    <col min="13067" max="13067" width="14.5703125" customWidth="1"/>
    <col min="13068" max="13068" width="17.7109375" customWidth="1"/>
    <col min="13314" max="13315" width="8.28515625" customWidth="1"/>
    <col min="13316" max="13316" width="5" customWidth="1"/>
    <col min="13317" max="13317" width="8.28515625" customWidth="1"/>
    <col min="13318" max="13318" width="16.7109375" customWidth="1"/>
    <col min="13319" max="13319" width="17.7109375" customWidth="1"/>
    <col min="13320" max="13320" width="4.7109375" customWidth="1"/>
    <col min="13321" max="13321" width="16.85546875" customWidth="1"/>
    <col min="13322" max="13322" width="1.5703125" customWidth="1"/>
    <col min="13323" max="13323" width="14.5703125" customWidth="1"/>
    <col min="13324" max="13324" width="17.7109375" customWidth="1"/>
    <col min="13570" max="13571" width="8.28515625" customWidth="1"/>
    <col min="13572" max="13572" width="5" customWidth="1"/>
    <col min="13573" max="13573" width="8.28515625" customWidth="1"/>
    <col min="13574" max="13574" width="16.7109375" customWidth="1"/>
    <col min="13575" max="13575" width="17.7109375" customWidth="1"/>
    <col min="13576" max="13576" width="4.7109375" customWidth="1"/>
    <col min="13577" max="13577" width="16.85546875" customWidth="1"/>
    <col min="13578" max="13578" width="1.5703125" customWidth="1"/>
    <col min="13579" max="13579" width="14.5703125" customWidth="1"/>
    <col min="13580" max="13580" width="17.7109375" customWidth="1"/>
    <col min="13826" max="13827" width="8.28515625" customWidth="1"/>
    <col min="13828" max="13828" width="5" customWidth="1"/>
    <col min="13829" max="13829" width="8.28515625" customWidth="1"/>
    <col min="13830" max="13830" width="16.7109375" customWidth="1"/>
    <col min="13831" max="13831" width="17.7109375" customWidth="1"/>
    <col min="13832" max="13832" width="4.7109375" customWidth="1"/>
    <col min="13833" max="13833" width="16.85546875" customWidth="1"/>
    <col min="13834" max="13834" width="1.5703125" customWidth="1"/>
    <col min="13835" max="13835" width="14.5703125" customWidth="1"/>
    <col min="13836" max="13836" width="17.7109375" customWidth="1"/>
    <col min="14082" max="14083" width="8.28515625" customWidth="1"/>
    <col min="14084" max="14084" width="5" customWidth="1"/>
    <col min="14085" max="14085" width="8.28515625" customWidth="1"/>
    <col min="14086" max="14086" width="16.7109375" customWidth="1"/>
    <col min="14087" max="14087" width="17.7109375" customWidth="1"/>
    <col min="14088" max="14088" width="4.7109375" customWidth="1"/>
    <col min="14089" max="14089" width="16.85546875" customWidth="1"/>
    <col min="14090" max="14090" width="1.5703125" customWidth="1"/>
    <col min="14091" max="14091" width="14.5703125" customWidth="1"/>
    <col min="14092" max="14092" width="17.7109375" customWidth="1"/>
    <col min="14338" max="14339" width="8.28515625" customWidth="1"/>
    <col min="14340" max="14340" width="5" customWidth="1"/>
    <col min="14341" max="14341" width="8.28515625" customWidth="1"/>
    <col min="14342" max="14342" width="16.7109375" customWidth="1"/>
    <col min="14343" max="14343" width="17.7109375" customWidth="1"/>
    <col min="14344" max="14344" width="4.7109375" customWidth="1"/>
    <col min="14345" max="14345" width="16.85546875" customWidth="1"/>
    <col min="14346" max="14346" width="1.5703125" customWidth="1"/>
    <col min="14347" max="14347" width="14.5703125" customWidth="1"/>
    <col min="14348" max="14348" width="17.7109375" customWidth="1"/>
    <col min="14594" max="14595" width="8.28515625" customWidth="1"/>
    <col min="14596" max="14596" width="5" customWidth="1"/>
    <col min="14597" max="14597" width="8.28515625" customWidth="1"/>
    <col min="14598" max="14598" width="16.7109375" customWidth="1"/>
    <col min="14599" max="14599" width="17.7109375" customWidth="1"/>
    <col min="14600" max="14600" width="4.7109375" customWidth="1"/>
    <col min="14601" max="14601" width="16.85546875" customWidth="1"/>
    <col min="14602" max="14602" width="1.5703125" customWidth="1"/>
    <col min="14603" max="14603" width="14.5703125" customWidth="1"/>
    <col min="14604" max="14604" width="17.7109375" customWidth="1"/>
    <col min="14850" max="14851" width="8.28515625" customWidth="1"/>
    <col min="14852" max="14852" width="5" customWidth="1"/>
    <col min="14853" max="14853" width="8.28515625" customWidth="1"/>
    <col min="14854" max="14854" width="16.7109375" customWidth="1"/>
    <col min="14855" max="14855" width="17.7109375" customWidth="1"/>
    <col min="14856" max="14856" width="4.7109375" customWidth="1"/>
    <col min="14857" max="14857" width="16.85546875" customWidth="1"/>
    <col min="14858" max="14858" width="1.5703125" customWidth="1"/>
    <col min="14859" max="14859" width="14.5703125" customWidth="1"/>
    <col min="14860" max="14860" width="17.7109375" customWidth="1"/>
    <col min="15106" max="15107" width="8.28515625" customWidth="1"/>
    <col min="15108" max="15108" width="5" customWidth="1"/>
    <col min="15109" max="15109" width="8.28515625" customWidth="1"/>
    <col min="15110" max="15110" width="16.7109375" customWidth="1"/>
    <col min="15111" max="15111" width="17.7109375" customWidth="1"/>
    <col min="15112" max="15112" width="4.7109375" customWidth="1"/>
    <col min="15113" max="15113" width="16.85546875" customWidth="1"/>
    <col min="15114" max="15114" width="1.5703125" customWidth="1"/>
    <col min="15115" max="15115" width="14.5703125" customWidth="1"/>
    <col min="15116" max="15116" width="17.7109375" customWidth="1"/>
    <col min="15362" max="15363" width="8.28515625" customWidth="1"/>
    <col min="15364" max="15364" width="5" customWidth="1"/>
    <col min="15365" max="15365" width="8.28515625" customWidth="1"/>
    <col min="15366" max="15366" width="16.7109375" customWidth="1"/>
    <col min="15367" max="15367" width="17.7109375" customWidth="1"/>
    <col min="15368" max="15368" width="4.7109375" customWidth="1"/>
    <col min="15369" max="15369" width="16.85546875" customWidth="1"/>
    <col min="15370" max="15370" width="1.5703125" customWidth="1"/>
    <col min="15371" max="15371" width="14.5703125" customWidth="1"/>
    <col min="15372" max="15372" width="17.7109375" customWidth="1"/>
    <col min="15618" max="15619" width="8.28515625" customWidth="1"/>
    <col min="15620" max="15620" width="5" customWidth="1"/>
    <col min="15621" max="15621" width="8.28515625" customWidth="1"/>
    <col min="15622" max="15622" width="16.7109375" customWidth="1"/>
    <col min="15623" max="15623" width="17.7109375" customWidth="1"/>
    <col min="15624" max="15624" width="4.7109375" customWidth="1"/>
    <col min="15625" max="15625" width="16.85546875" customWidth="1"/>
    <col min="15626" max="15626" width="1.5703125" customWidth="1"/>
    <col min="15627" max="15627" width="14.5703125" customWidth="1"/>
    <col min="15628" max="15628" width="17.7109375" customWidth="1"/>
    <col min="15874" max="15875" width="8.28515625" customWidth="1"/>
    <col min="15876" max="15876" width="5" customWidth="1"/>
    <col min="15877" max="15877" width="8.28515625" customWidth="1"/>
    <col min="15878" max="15878" width="16.7109375" customWidth="1"/>
    <col min="15879" max="15879" width="17.7109375" customWidth="1"/>
    <col min="15880" max="15880" width="4.7109375" customWidth="1"/>
    <col min="15881" max="15881" width="16.85546875" customWidth="1"/>
    <col min="15882" max="15882" width="1.5703125" customWidth="1"/>
    <col min="15883" max="15883" width="14.5703125" customWidth="1"/>
    <col min="15884" max="15884" width="17.7109375" customWidth="1"/>
    <col min="16130" max="16131" width="8.28515625" customWidth="1"/>
    <col min="16132" max="16132" width="5" customWidth="1"/>
    <col min="16133" max="16133" width="8.28515625" customWidth="1"/>
    <col min="16134" max="16134" width="16.7109375" customWidth="1"/>
    <col min="16135" max="16135" width="17.7109375" customWidth="1"/>
    <col min="16136" max="16136" width="4.7109375" customWidth="1"/>
    <col min="16137" max="16137" width="16.85546875" customWidth="1"/>
    <col min="16138" max="16138" width="1.5703125" customWidth="1"/>
    <col min="16139" max="16139" width="14.5703125" customWidth="1"/>
    <col min="16140" max="16140" width="17.7109375" customWidth="1"/>
  </cols>
  <sheetData>
    <row r="1" spans="1:9" x14ac:dyDescent="0.2">
      <c r="A1" t="s">
        <v>2033</v>
      </c>
    </row>
    <row r="3" spans="1:9" ht="15.75" x14ac:dyDescent="0.25">
      <c r="A3" s="244" t="s">
        <v>2034</v>
      </c>
    </row>
    <row r="4" spans="1:9" s="19" customFormat="1" ht="15.75" x14ac:dyDescent="0.25">
      <c r="A4" s="1" t="s">
        <v>2035</v>
      </c>
      <c r="B4" s="244"/>
      <c r="C4" s="244"/>
      <c r="D4" s="244"/>
      <c r="E4" s="244"/>
      <c r="F4" s="1159" t="s">
        <v>2036</v>
      </c>
      <c r="G4" s="1160" t="s">
        <v>2037</v>
      </c>
      <c r="H4" s="29"/>
      <c r="I4" s="1161"/>
    </row>
    <row r="5" spans="1:9" s="19" customFormat="1" ht="15.75" x14ac:dyDescent="0.25">
      <c r="A5" s="1"/>
      <c r="B5" s="244"/>
      <c r="C5" s="244"/>
      <c r="D5" s="244"/>
      <c r="E5" s="244"/>
      <c r="F5" s="1159"/>
      <c r="G5" s="1162"/>
      <c r="H5" s="29"/>
      <c r="I5" s="1161"/>
    </row>
    <row r="6" spans="1:9" s="19" customFormat="1" ht="15.75" x14ac:dyDescent="0.25">
      <c r="A6" s="1"/>
      <c r="B6" s="244"/>
      <c r="C6" s="244"/>
      <c r="D6" s="244"/>
      <c r="E6" s="244"/>
      <c r="F6" s="1159"/>
      <c r="G6" s="1162"/>
      <c r="H6" s="29"/>
      <c r="I6" s="1161"/>
    </row>
    <row r="7" spans="1:9" s="19" customFormat="1" ht="15.75" x14ac:dyDescent="0.25">
      <c r="B7" s="244"/>
      <c r="C7" s="244"/>
      <c r="D7" s="244"/>
      <c r="E7" s="244"/>
      <c r="G7" s="1163" t="s">
        <v>2038</v>
      </c>
      <c r="H7" s="29"/>
      <c r="I7" s="1164" t="s">
        <v>2039</v>
      </c>
    </row>
    <row r="8" spans="1:9" x14ac:dyDescent="0.2">
      <c r="I8" s="29"/>
    </row>
    <row r="9" spans="1:9" ht="16.5" customHeight="1" x14ac:dyDescent="0.25">
      <c r="A9" s="244" t="s">
        <v>8</v>
      </c>
      <c r="B9" t="s">
        <v>2040</v>
      </c>
      <c r="E9" t="s">
        <v>2041</v>
      </c>
      <c r="G9" s="1165">
        <v>423688069.37</v>
      </c>
      <c r="I9" s="29">
        <v>833372801.77999997</v>
      </c>
    </row>
    <row r="10" spans="1:9" ht="16.5" customHeight="1" x14ac:dyDescent="0.2">
      <c r="I10" s="29"/>
    </row>
    <row r="11" spans="1:9" ht="16.5" customHeight="1" x14ac:dyDescent="0.2">
      <c r="B11" t="s">
        <v>2042</v>
      </c>
      <c r="E11" t="s">
        <v>2043</v>
      </c>
      <c r="G11" s="1166">
        <v>3003157.45</v>
      </c>
      <c r="H11" s="1167"/>
      <c r="I11" s="29">
        <v>6006000</v>
      </c>
    </row>
    <row r="12" spans="1:9" ht="16.5" customHeight="1" x14ac:dyDescent="0.2">
      <c r="I12" s="29"/>
    </row>
    <row r="13" spans="1:9" ht="16.5" customHeight="1" x14ac:dyDescent="0.25">
      <c r="A13" s="244" t="s">
        <v>13</v>
      </c>
      <c r="C13" s="1168"/>
      <c r="D13" s="1168"/>
      <c r="E13" s="1168"/>
      <c r="F13" s="1168"/>
      <c r="G13" s="1165">
        <f>SUM(G9:G11)</f>
        <v>426691226.81999999</v>
      </c>
      <c r="I13" s="1169">
        <f>SUM(I9:I11)</f>
        <v>839378801.77999997</v>
      </c>
    </row>
    <row r="14" spans="1:9" ht="16.5" customHeight="1" x14ac:dyDescent="0.2">
      <c r="I14" s="29"/>
    </row>
    <row r="15" spans="1:9" s="244" customFormat="1" ht="16.5" customHeight="1" x14ac:dyDescent="0.25">
      <c r="B15" s="1170" t="s">
        <v>2044</v>
      </c>
      <c r="D15" s="1170"/>
      <c r="E15" s="1170"/>
      <c r="F15" s="1171" t="s">
        <v>2045</v>
      </c>
      <c r="G15" s="1165">
        <v>-50277247.380000003</v>
      </c>
      <c r="H15" s="578"/>
      <c r="I15" s="88">
        <v>172017736.08000001</v>
      </c>
    </row>
    <row r="16" spans="1:9" ht="16.5" customHeight="1" x14ac:dyDescent="0.2">
      <c r="I16" s="29"/>
    </row>
    <row r="17" spans="1:13" s="244" customFormat="1" ht="16.5" customHeight="1" x14ac:dyDescent="0.25">
      <c r="A17" s="244" t="s">
        <v>2046</v>
      </c>
      <c r="C17" s="1170"/>
      <c r="D17" s="1170"/>
      <c r="E17" s="1170"/>
      <c r="F17" s="1170"/>
      <c r="G17" s="1172">
        <f>SUM(G13:G15)</f>
        <v>376413979.44</v>
      </c>
      <c r="H17" s="578"/>
      <c r="I17" s="1173">
        <f>SUM(I13:I15)</f>
        <v>1011396537.86</v>
      </c>
      <c r="L17" s="88"/>
      <c r="M17" s="2"/>
    </row>
    <row r="18" spans="1:13" ht="16.5" customHeight="1" x14ac:dyDescent="0.2">
      <c r="I18" s="29"/>
      <c r="L18" s="88"/>
    </row>
    <row r="19" spans="1:13" ht="16.5" customHeight="1" x14ac:dyDescent="0.2">
      <c r="I19" s="29"/>
    </row>
    <row r="20" spans="1:13" ht="16.5" customHeight="1" x14ac:dyDescent="0.2">
      <c r="I20" s="29"/>
    </row>
    <row r="21" spans="1:13" ht="16.5" customHeight="1" x14ac:dyDescent="0.25">
      <c r="A21" s="244" t="s">
        <v>257</v>
      </c>
      <c r="B21" t="s">
        <v>2040</v>
      </c>
      <c r="E21" t="s">
        <v>2047</v>
      </c>
      <c r="G21" s="1165">
        <v>373410821.99000001</v>
      </c>
      <c r="I21" s="29">
        <v>1005390537.86</v>
      </c>
    </row>
    <row r="22" spans="1:13" ht="16.5" customHeight="1" x14ac:dyDescent="0.2">
      <c r="I22" s="29"/>
    </row>
    <row r="23" spans="1:13" ht="16.5" customHeight="1" x14ac:dyDescent="0.2">
      <c r="B23" t="s">
        <v>2042</v>
      </c>
      <c r="E23" t="str">
        <f>E11</f>
        <v>ř. 4281</v>
      </c>
      <c r="G23" s="1166">
        <f>G11</f>
        <v>3003157.45</v>
      </c>
      <c r="H23" s="1167"/>
      <c r="I23" s="1174">
        <f>I11</f>
        <v>6006000</v>
      </c>
    </row>
    <row r="24" spans="1:13" ht="16.5" customHeight="1" x14ac:dyDescent="0.2">
      <c r="I24" s="29"/>
    </row>
    <row r="25" spans="1:13" s="98" customFormat="1" ht="16.5" customHeight="1" x14ac:dyDescent="0.25">
      <c r="A25" s="244" t="s">
        <v>55</v>
      </c>
      <c r="C25" s="1175"/>
      <c r="D25" s="1175"/>
      <c r="E25" s="1175"/>
      <c r="F25" s="1175"/>
      <c r="G25" s="1172">
        <f>SUM(G21:G23)</f>
        <v>376413979.44</v>
      </c>
      <c r="H25" s="578"/>
      <c r="I25" s="1173">
        <f>SUM(I21:I23)</f>
        <v>1011396537.86</v>
      </c>
    </row>
    <row r="26" spans="1:13" x14ac:dyDescent="0.2">
      <c r="I26" s="29"/>
    </row>
    <row r="27" spans="1:13" x14ac:dyDescent="0.2">
      <c r="I27" s="29"/>
      <c r="L27" s="1176" t="s">
        <v>2048</v>
      </c>
    </row>
    <row r="28" spans="1:13" x14ac:dyDescent="0.2">
      <c r="A28" s="98" t="s">
        <v>2049</v>
      </c>
      <c r="B28" s="98" t="s">
        <v>2050</v>
      </c>
      <c r="E28" s="1176" t="s">
        <v>2048</v>
      </c>
      <c r="G28" s="1104">
        <f>G30-G29</f>
        <v>353002033.44</v>
      </c>
      <c r="I28" s="29">
        <f>I30-I29</f>
        <v>781504610.48000002</v>
      </c>
      <c r="K28" s="88"/>
      <c r="L28" s="88">
        <f>373410821.99-23411946+3003157.45</f>
        <v>353002033.44</v>
      </c>
    </row>
    <row r="29" spans="1:13" x14ac:dyDescent="0.2">
      <c r="A29" s="98"/>
      <c r="B29" s="98" t="s">
        <v>2051</v>
      </c>
      <c r="E29" t="s">
        <v>2052</v>
      </c>
      <c r="G29" s="1166">
        <v>23411946</v>
      </c>
      <c r="I29" s="1174">
        <v>229891927.38</v>
      </c>
      <c r="L29" s="88"/>
    </row>
    <row r="30" spans="1:13" x14ac:dyDescent="0.2">
      <c r="A30" t="s">
        <v>2053</v>
      </c>
      <c r="G30" s="1104">
        <f>G25</f>
        <v>376413979.44</v>
      </c>
      <c r="I30" s="29">
        <f>I25</f>
        <v>1011396537.86</v>
      </c>
      <c r="L30" s="88"/>
    </row>
    <row r="31" spans="1:13" x14ac:dyDescent="0.2">
      <c r="I31" s="29"/>
    </row>
    <row r="32" spans="1:13" x14ac:dyDescent="0.2">
      <c r="I32" s="29"/>
    </row>
    <row r="33" spans="1:9" x14ac:dyDescent="0.2">
      <c r="I33" s="29"/>
    </row>
    <row r="34" spans="1:9" x14ac:dyDescent="0.2">
      <c r="A34" t="s">
        <v>2054</v>
      </c>
      <c r="E34" t="s">
        <v>2055</v>
      </c>
      <c r="G34" s="1104">
        <v>579494163.52999997</v>
      </c>
      <c r="I34" s="29">
        <v>100046471.61</v>
      </c>
    </row>
    <row r="35" spans="1:9" x14ac:dyDescent="0.2">
      <c r="I35" s="29"/>
    </row>
    <row r="36" spans="1:9" x14ac:dyDescent="0.2">
      <c r="E36" t="s">
        <v>2056</v>
      </c>
      <c r="G36" s="1104">
        <v>0</v>
      </c>
      <c r="I36" s="29">
        <v>0</v>
      </c>
    </row>
    <row r="37" spans="1:9" x14ac:dyDescent="0.2">
      <c r="E37" t="s">
        <v>2057</v>
      </c>
      <c r="G37" s="1104">
        <v>516429231.61000001</v>
      </c>
      <c r="I37" s="29">
        <f>I11</f>
        <v>6006000</v>
      </c>
    </row>
    <row r="38" spans="1:9" x14ac:dyDescent="0.2">
      <c r="E38" t="s">
        <v>2058</v>
      </c>
      <c r="G38" s="1166">
        <v>0</v>
      </c>
      <c r="I38" s="1174">
        <v>0</v>
      </c>
    </row>
    <row r="39" spans="1:9" x14ac:dyDescent="0.2">
      <c r="I39" s="29"/>
    </row>
    <row r="40" spans="1:9" x14ac:dyDescent="0.2">
      <c r="A40" t="s">
        <v>2059</v>
      </c>
      <c r="F40" t="s">
        <v>2060</v>
      </c>
      <c r="G40" s="1104">
        <f>SUM(G36:G39)</f>
        <v>516429231.61000001</v>
      </c>
      <c r="I40" s="29">
        <f>SUM(I36:I39)</f>
        <v>6006000</v>
      </c>
    </row>
    <row r="41" spans="1:9" x14ac:dyDescent="0.2">
      <c r="I41" s="29"/>
    </row>
    <row r="42" spans="1:9" x14ac:dyDescent="0.2">
      <c r="A42" s="1" t="s">
        <v>2061</v>
      </c>
      <c r="G42" s="1104">
        <f>G34-G40</f>
        <v>63064931.919999957</v>
      </c>
      <c r="I42" s="29">
        <f>I34-I40</f>
        <v>94040471.609999999</v>
      </c>
    </row>
    <row r="43" spans="1:9" ht="16.5" customHeight="1" x14ac:dyDescent="0.2">
      <c r="B43" t="s">
        <v>2042</v>
      </c>
      <c r="G43" s="1166">
        <f>G11</f>
        <v>3003157.45</v>
      </c>
      <c r="H43" s="1167"/>
      <c r="I43" s="1174">
        <f>I11</f>
        <v>6006000</v>
      </c>
    </row>
    <row r="44" spans="1:9" x14ac:dyDescent="0.2">
      <c r="I44" s="29"/>
    </row>
    <row r="45" spans="1:9" ht="15.75" x14ac:dyDescent="0.25">
      <c r="A45" s="244" t="s">
        <v>2062</v>
      </c>
      <c r="G45" s="1177">
        <f>SUM(G42:G44)</f>
        <v>66068089.36999996</v>
      </c>
      <c r="I45" s="578">
        <f>SUM(I42:I44)</f>
        <v>100046471.61</v>
      </c>
    </row>
    <row r="48" spans="1:9" x14ac:dyDescent="0.2">
      <c r="C48" s="2"/>
    </row>
    <row r="49" spans="1:13" x14ac:dyDescent="0.2">
      <c r="A49" s="2" t="s">
        <v>2063</v>
      </c>
      <c r="B49" s="2"/>
      <c r="C49" s="1198">
        <v>45124</v>
      </c>
      <c r="D49" s="1198"/>
      <c r="I49" s="2"/>
    </row>
    <row r="50" spans="1:13" x14ac:dyDescent="0.2">
      <c r="I50" s="2"/>
    </row>
    <row r="51" spans="1:13" ht="12.75" x14ac:dyDescent="0.2">
      <c r="G51" s="1163" t="s">
        <v>2038</v>
      </c>
      <c r="I51" s="1163" t="s">
        <v>2064</v>
      </c>
    </row>
    <row r="52" spans="1:13" ht="14.25" x14ac:dyDescent="0.2">
      <c r="A52" t="s">
        <v>8</v>
      </c>
      <c r="B52" t="s">
        <v>2065</v>
      </c>
      <c r="E52" t="s">
        <v>2066</v>
      </c>
      <c r="F52" s="1178"/>
      <c r="G52" s="1179">
        <v>272236442.08999997</v>
      </c>
      <c r="I52" s="29">
        <v>510422497</v>
      </c>
    </row>
    <row r="53" spans="1:13" ht="14.25" x14ac:dyDescent="0.2">
      <c r="B53" t="s">
        <v>2067</v>
      </c>
      <c r="E53" t="s">
        <v>2068</v>
      </c>
      <c r="F53" s="1178"/>
      <c r="G53" s="1179">
        <v>84852352.859999999</v>
      </c>
      <c r="I53" s="29">
        <v>141450833.16999999</v>
      </c>
    </row>
    <row r="54" spans="1:13" ht="14.25" x14ac:dyDescent="0.2">
      <c r="B54" t="s">
        <v>2069</v>
      </c>
      <c r="E54" t="s">
        <v>2070</v>
      </c>
      <c r="F54" s="1178"/>
      <c r="G54" s="1179">
        <v>3534342.5</v>
      </c>
      <c r="I54" s="29">
        <v>87459000</v>
      </c>
    </row>
    <row r="55" spans="1:13" ht="14.25" x14ac:dyDescent="0.2">
      <c r="B55" t="s">
        <v>2071</v>
      </c>
      <c r="C55" t="s">
        <v>2072</v>
      </c>
      <c r="F55" s="1178"/>
      <c r="G55" s="1180">
        <f>G45</f>
        <v>66068089.36999996</v>
      </c>
      <c r="I55" s="1174">
        <f>I45</f>
        <v>100046471.61</v>
      </c>
    </row>
    <row r="56" spans="1:13" ht="14.25" x14ac:dyDescent="0.2">
      <c r="A56" t="s">
        <v>13</v>
      </c>
      <c r="F56" s="1178"/>
      <c r="G56" s="1179">
        <f>SUM(G52:G55)</f>
        <v>426691226.81999993</v>
      </c>
      <c r="I56" s="29">
        <f>SUM(I52:I55)</f>
        <v>839378801.77999997</v>
      </c>
    </row>
    <row r="57" spans="1:13" ht="14.25" x14ac:dyDescent="0.2">
      <c r="B57" t="s">
        <v>2073</v>
      </c>
      <c r="F57" s="1178"/>
      <c r="G57" s="1181">
        <f>G15</f>
        <v>-50277247.380000003</v>
      </c>
      <c r="I57" s="1169">
        <f>I15</f>
        <v>172017736.08000001</v>
      </c>
    </row>
    <row r="58" spans="1:13" ht="14.25" x14ac:dyDescent="0.2">
      <c r="F58" s="1178"/>
      <c r="G58" s="1179"/>
      <c r="I58" s="29"/>
    </row>
    <row r="59" spans="1:13" x14ac:dyDescent="0.25">
      <c r="A59" s="98" t="s">
        <v>2046</v>
      </c>
      <c r="C59" s="1168"/>
      <c r="D59" s="1168"/>
      <c r="E59" s="1168"/>
      <c r="F59" s="1182"/>
      <c r="G59" s="1183">
        <f>SUM(G56:G58)</f>
        <v>376413979.43999994</v>
      </c>
      <c r="I59" s="29">
        <f>SUM(I56:I57)</f>
        <v>1011396537.86</v>
      </c>
    </row>
    <row r="60" spans="1:13" ht="14.25" x14ac:dyDescent="0.2">
      <c r="F60" s="1178"/>
      <c r="G60" s="1179"/>
      <c r="I60" s="29"/>
      <c r="J60" s="2"/>
      <c r="K60" s="2"/>
    </row>
    <row r="62" spans="1:13" x14ac:dyDescent="0.2">
      <c r="I62" s="2"/>
    </row>
    <row r="63" spans="1:13" ht="12.75" x14ac:dyDescent="0.2">
      <c r="B63" t="s">
        <v>2074</v>
      </c>
      <c r="E63" t="s">
        <v>2075</v>
      </c>
      <c r="G63" s="29">
        <v>557356468.65999997</v>
      </c>
      <c r="I63" s="29">
        <v>72637398.709999993</v>
      </c>
      <c r="L63" s="1035" t="s">
        <v>2076</v>
      </c>
      <c r="M63" t="s">
        <v>2077</v>
      </c>
    </row>
    <row r="64" spans="1:13" ht="12.75" x14ac:dyDescent="0.2">
      <c r="C64" s="1168"/>
      <c r="D64" s="1175" t="s">
        <v>2078</v>
      </c>
      <c r="E64" s="1168" t="s">
        <v>2079</v>
      </c>
      <c r="F64" s="1168" t="s">
        <v>2080</v>
      </c>
      <c r="G64" s="1174">
        <v>-513160401.02999997</v>
      </c>
      <c r="I64" s="1174">
        <v>0</v>
      </c>
      <c r="L64" s="1035" t="s">
        <v>2076</v>
      </c>
      <c r="M64" t="s">
        <v>2081</v>
      </c>
    </row>
    <row r="65" spans="2:9" ht="12.75" x14ac:dyDescent="0.2">
      <c r="B65" t="s">
        <v>2082</v>
      </c>
      <c r="G65" s="29">
        <f>SUM(G63:G64)</f>
        <v>44196067.629999995</v>
      </c>
      <c r="I65" s="29">
        <f>SUM(I63:I64)</f>
        <v>72637398.709999993</v>
      </c>
    </row>
    <row r="66" spans="2:9" ht="12.75" x14ac:dyDescent="0.2">
      <c r="G66" s="29"/>
      <c r="I66" s="1"/>
    </row>
    <row r="67" spans="2:9" ht="12.75" x14ac:dyDescent="0.2">
      <c r="G67" s="29"/>
      <c r="I67" s="1"/>
    </row>
    <row r="68" spans="2:9" ht="12.75" x14ac:dyDescent="0.2">
      <c r="B68" t="s">
        <v>2083</v>
      </c>
      <c r="G68" s="29"/>
      <c r="I68" s="1"/>
    </row>
    <row r="69" spans="2:9" x14ac:dyDescent="0.2">
      <c r="B69" t="s">
        <v>2084</v>
      </c>
    </row>
  </sheetData>
  <mergeCells count="1">
    <mergeCell ref="C49:D49"/>
  </mergeCells>
  <pageMargins left="0.78740157480314954" right="0.35433070866141736" top="0.98425196850393704" bottom="0.98425196850393704" header="0.51181102362204722" footer="0.51181102362204722"/>
  <pageSetup paperSize="9" scale="80" orientation="portrait"/>
  <rowBreaks count="1" manualBreakCount="1">
    <brk id="49"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IU903"/>
  <sheetViews>
    <sheetView tabSelected="1" topLeftCell="A231" workbookViewId="0">
      <selection activeCell="B258" sqref="B258"/>
    </sheetView>
  </sheetViews>
  <sheetFormatPr defaultColWidth="9.5703125" defaultRowHeight="12.75" x14ac:dyDescent="0.2"/>
  <cols>
    <col min="1" max="1" width="11.85546875" style="1" customWidth="1"/>
    <col min="2" max="2" width="91.85546875" style="1" customWidth="1"/>
    <col min="3" max="5" width="26.85546875" style="1" customWidth="1"/>
    <col min="6" max="6" width="22" style="1" hidden="1" customWidth="1"/>
    <col min="7" max="8" width="10.5703125" style="1" customWidth="1"/>
    <col min="9" max="9" width="12.140625" style="1" customWidth="1"/>
    <col min="10" max="10" width="14.7109375" style="29" hidden="1" customWidth="1"/>
    <col min="11" max="11" width="15.7109375" style="1" hidden="1" customWidth="1"/>
    <col min="12" max="12" width="14.85546875" style="1" hidden="1" customWidth="1"/>
    <col min="13" max="13" width="14.85546875" style="1" customWidth="1"/>
    <col min="14" max="16384" width="9.5703125" style="1"/>
  </cols>
  <sheetData>
    <row r="1" spans="1:13" ht="49.5" customHeight="1" x14ac:dyDescent="0.2">
      <c r="A1" s="565" t="s">
        <v>1</v>
      </c>
      <c r="B1" s="566" t="s">
        <v>2085</v>
      </c>
      <c r="C1" s="567" t="s">
        <v>2086</v>
      </c>
      <c r="D1" s="567" t="s">
        <v>2087</v>
      </c>
      <c r="E1" s="567" t="s">
        <v>1013</v>
      </c>
      <c r="F1" s="1025"/>
      <c r="G1" s="567" t="s">
        <v>1014</v>
      </c>
      <c r="H1" s="567" t="s">
        <v>1015</v>
      </c>
      <c r="I1" s="567" t="s">
        <v>1016</v>
      </c>
      <c r="J1" s="1026" t="s">
        <v>2089</v>
      </c>
    </row>
    <row r="2" spans="1:13" ht="22.5" customHeight="1" x14ac:dyDescent="0.3">
      <c r="A2" s="568"/>
      <c r="B2" s="569" t="s">
        <v>56</v>
      </c>
      <c r="C2" s="570"/>
      <c r="D2" s="570"/>
      <c r="E2" s="571"/>
      <c r="F2" s="1027"/>
      <c r="G2" s="572"/>
      <c r="H2" s="573"/>
      <c r="I2" s="570"/>
      <c r="J2" s="1028"/>
    </row>
    <row r="3" spans="1:13" s="98" customFormat="1" ht="22.5" customHeight="1" x14ac:dyDescent="0.25">
      <c r="A3" s="575"/>
      <c r="B3" s="576" t="s">
        <v>57</v>
      </c>
      <c r="C3" s="577">
        <f>C32</f>
        <v>520342400</v>
      </c>
      <c r="D3" s="577">
        <f t="shared" ref="D3:I3" si="0">D32</f>
        <v>515639325.25999999</v>
      </c>
      <c r="E3" s="577">
        <f t="shared" si="0"/>
        <v>552417130.99000001</v>
      </c>
      <c r="F3" s="1029"/>
      <c r="G3" s="577">
        <f t="shared" si="0"/>
        <v>106.16415863669768</v>
      </c>
      <c r="H3" s="577">
        <f t="shared" si="0"/>
        <v>107.13246719719362</v>
      </c>
      <c r="I3" s="577">
        <f t="shared" si="0"/>
        <v>109.65036036367709</v>
      </c>
      <c r="J3" s="88"/>
    </row>
    <row r="4" spans="1:13" s="98" customFormat="1" ht="22.5" customHeight="1" x14ac:dyDescent="0.25">
      <c r="A4" s="579"/>
      <c r="B4" s="575" t="s">
        <v>10</v>
      </c>
      <c r="C4" s="577">
        <f>C64</f>
        <v>153980616.31999999</v>
      </c>
      <c r="D4" s="577">
        <f t="shared" ref="D4:I4" si="1">D64</f>
        <v>151716896.54000002</v>
      </c>
      <c r="E4" s="577">
        <f t="shared" si="1"/>
        <v>166973128.58000001</v>
      </c>
      <c r="F4" s="1029"/>
      <c r="G4" s="577">
        <f t="shared" si="1"/>
        <v>108.43775831692946</v>
      </c>
      <c r="H4" s="577">
        <f t="shared" si="1"/>
        <v>110.0557237775937</v>
      </c>
      <c r="I4" s="577">
        <f t="shared" si="1"/>
        <v>111.89707907796442</v>
      </c>
      <c r="J4" s="29"/>
    </row>
    <row r="5" spans="1:13" s="98" customFormat="1" ht="22.5" customHeight="1" x14ac:dyDescent="0.25">
      <c r="A5" s="579"/>
      <c r="B5" s="575" t="s">
        <v>11</v>
      </c>
      <c r="C5" s="577">
        <f>C161</f>
        <v>87239000</v>
      </c>
      <c r="D5" s="577">
        <f t="shared" ref="D5:I5" si="2">D161</f>
        <v>71196111</v>
      </c>
      <c r="E5" s="577">
        <f t="shared" si="2"/>
        <v>69233422.5</v>
      </c>
      <c r="F5" s="1029"/>
      <c r="G5" s="577">
        <f t="shared" si="2"/>
        <v>79.360632859157036</v>
      </c>
      <c r="H5" s="577">
        <f t="shared" si="2"/>
        <v>97.243264453026086</v>
      </c>
      <c r="I5" s="577">
        <f t="shared" si="2"/>
        <v>219.59086454571923</v>
      </c>
      <c r="J5" s="29"/>
    </row>
    <row r="6" spans="1:13" s="98" customFormat="1" ht="22.5" customHeight="1" x14ac:dyDescent="0.25">
      <c r="A6" s="579"/>
      <c r="B6" s="575" t="s">
        <v>196</v>
      </c>
      <c r="C6" s="577">
        <f>C176</f>
        <v>66897844.799999997</v>
      </c>
      <c r="D6" s="577">
        <f t="shared" ref="D6:I6" si="3">D176</f>
        <v>105572217.61</v>
      </c>
      <c r="E6" s="577">
        <f t="shared" si="3"/>
        <v>106080240.73999999</v>
      </c>
      <c r="F6" s="1029"/>
      <c r="G6" s="577">
        <f t="shared" si="3"/>
        <v>158.57049065951375</v>
      </c>
      <c r="H6" s="577">
        <f t="shared" si="3"/>
        <v>100.48120911116665</v>
      </c>
      <c r="I6" s="577">
        <f t="shared" si="3"/>
        <v>81.221042011698728</v>
      </c>
      <c r="J6" s="29"/>
    </row>
    <row r="7" spans="1:13" s="98" customFormat="1" ht="22.5" customHeight="1" x14ac:dyDescent="0.3">
      <c r="A7" s="581"/>
      <c r="B7" s="581" t="s">
        <v>13</v>
      </c>
      <c r="C7" s="582">
        <f>C234</f>
        <v>828459861.11999989</v>
      </c>
      <c r="D7" s="582">
        <f t="shared" ref="D7:I7" si="4">D234</f>
        <v>844124550.40999997</v>
      </c>
      <c r="E7" s="582">
        <f t="shared" si="4"/>
        <v>894703922.80999994</v>
      </c>
      <c r="F7" s="1030"/>
      <c r="G7" s="582">
        <f t="shared" si="4"/>
        <v>107.99604963364722</v>
      </c>
      <c r="H7" s="582">
        <f t="shared" si="4"/>
        <v>105.99193239616511</v>
      </c>
      <c r="I7" s="582">
        <f t="shared" si="4"/>
        <v>109.75885198470129</v>
      </c>
      <c r="J7" s="29"/>
    </row>
    <row r="8" spans="1:13" s="98" customFormat="1" ht="22.5" customHeight="1" x14ac:dyDescent="0.25">
      <c r="A8" s="583"/>
      <c r="B8" s="584" t="s">
        <v>14</v>
      </c>
      <c r="C8" s="585">
        <f>C236</f>
        <v>172017736.07999998</v>
      </c>
      <c r="D8" s="585">
        <f t="shared" ref="D8:I8" si="5">D236</f>
        <v>172017736.07999998</v>
      </c>
      <c r="E8" s="585">
        <f t="shared" si="5"/>
        <v>-42164553.82</v>
      </c>
      <c r="F8" s="1031"/>
      <c r="G8" s="585">
        <f t="shared" si="5"/>
        <v>-24.511747905105903</v>
      </c>
      <c r="H8" s="585">
        <f t="shared" si="5"/>
        <v>-24.511747905105903</v>
      </c>
      <c r="I8" s="585">
        <f t="shared" si="5"/>
        <v>-23.898682168312295</v>
      </c>
      <c r="J8" s="29"/>
    </row>
    <row r="9" spans="1:13" s="85" customFormat="1" ht="24" customHeight="1" x14ac:dyDescent="0.4">
      <c r="A9" s="586"/>
      <c r="B9" s="587" t="s">
        <v>15</v>
      </c>
      <c r="C9" s="588">
        <f>C243</f>
        <v>1000477597.1999998</v>
      </c>
      <c r="D9" s="588">
        <f t="shared" ref="D9:I9" si="6">D243</f>
        <v>1016142286.49</v>
      </c>
      <c r="E9" s="588">
        <f t="shared" si="6"/>
        <v>852539368.99000001</v>
      </c>
      <c r="F9" s="1032"/>
      <c r="G9" s="588">
        <f t="shared" si="6"/>
        <v>85.213239294510032</v>
      </c>
      <c r="H9" s="588">
        <f t="shared" si="6"/>
        <v>83.899605431723174</v>
      </c>
      <c r="I9" s="588">
        <f t="shared" si="6"/>
        <v>85.977464450141753</v>
      </c>
      <c r="J9" s="1033"/>
    </row>
    <row r="10" spans="1:13" s="98" customFormat="1" ht="24" customHeight="1" x14ac:dyDescent="0.3">
      <c r="A10" s="589"/>
      <c r="B10" s="590" t="s">
        <v>257</v>
      </c>
      <c r="C10" s="591"/>
      <c r="D10" s="591"/>
      <c r="E10" s="592"/>
      <c r="F10" s="592"/>
      <c r="G10" s="591"/>
      <c r="H10" s="591"/>
      <c r="I10" s="591"/>
      <c r="J10" s="1034" t="s">
        <v>2090</v>
      </c>
      <c r="K10" s="1035" t="s">
        <v>1869</v>
      </c>
      <c r="L10" s="1035" t="s">
        <v>1870</v>
      </c>
    </row>
    <row r="11" spans="1:13" s="593" customFormat="1" ht="22.5" customHeight="1" x14ac:dyDescent="0.2">
      <c r="A11" s="594"/>
      <c r="B11" s="594" t="s">
        <v>17</v>
      </c>
      <c r="C11" s="595">
        <f>C30-C12</f>
        <v>760881693</v>
      </c>
      <c r="D11" s="595">
        <v>844488951.58000004</v>
      </c>
      <c r="E11" s="595">
        <v>710358210.39999998</v>
      </c>
      <c r="F11" s="595"/>
      <c r="G11" s="595">
        <f t="shared" ref="G11:G12" si="7">E11/C11*100</f>
        <v>93.35987669767735</v>
      </c>
      <c r="H11" s="595">
        <f t="shared" ref="H11:H12" si="8">E11/D11*100</f>
        <v>84.116933569225793</v>
      </c>
      <c r="I11" s="595">
        <f t="shared" ref="I11:I12" si="9">E11/J11*100</f>
        <v>97.49306209903645</v>
      </c>
      <c r="J11" s="1036">
        <v>728624370.90999997</v>
      </c>
      <c r="K11" s="1037">
        <f>K13-K12</f>
        <v>844506951.58000004</v>
      </c>
      <c r="L11" s="1037">
        <f>L13-L12</f>
        <v>710158210.39999998</v>
      </c>
      <c r="M11" s="1038"/>
    </row>
    <row r="12" spans="1:13" s="593" customFormat="1" ht="22.5" customHeight="1" x14ac:dyDescent="0.2">
      <c r="A12" s="596"/>
      <c r="B12" s="597" t="s">
        <v>18</v>
      </c>
      <c r="C12" s="598">
        <v>239595904.19999999</v>
      </c>
      <c r="D12" s="598">
        <v>171653334.91</v>
      </c>
      <c r="E12" s="598">
        <v>141673135.46000001</v>
      </c>
      <c r="F12" s="598"/>
      <c r="G12" s="595">
        <f t="shared" si="7"/>
        <v>59.130032265384614</v>
      </c>
      <c r="H12" s="595">
        <f t="shared" si="8"/>
        <v>82.53444975845126</v>
      </c>
      <c r="I12" s="595">
        <f t="shared" si="9"/>
        <v>17.518738900566692</v>
      </c>
      <c r="J12" s="1036">
        <v>808694828.23000002</v>
      </c>
      <c r="K12" s="32">
        <v>171635334.91</v>
      </c>
      <c r="L12" s="32">
        <v>141873135.46000001</v>
      </c>
      <c r="M12" s="1038"/>
    </row>
    <row r="13" spans="1:13" s="12" customFormat="1" ht="22.5" customHeight="1" x14ac:dyDescent="0.25">
      <c r="A13" s="599"/>
      <c r="B13" s="600" t="s">
        <v>258</v>
      </c>
      <c r="C13" s="601">
        <f>C245</f>
        <v>75934044.200000003</v>
      </c>
      <c r="D13" s="601">
        <f t="shared" ref="D13:I13" si="10">D245</f>
        <v>60951276.200000003</v>
      </c>
      <c r="E13" s="601">
        <f t="shared" si="10"/>
        <v>53673121.170000002</v>
      </c>
      <c r="F13" s="1039"/>
      <c r="G13" s="601">
        <f t="shared" si="10"/>
        <v>70.683870107895558</v>
      </c>
      <c r="H13" s="601">
        <f t="shared" si="10"/>
        <v>88.059060476243161</v>
      </c>
      <c r="I13" s="601">
        <f t="shared" si="10"/>
        <v>117.07219004239965</v>
      </c>
      <c r="J13" s="1040"/>
      <c r="K13" s="32">
        <f>1016142286.49</f>
        <v>1016142286.49</v>
      </c>
      <c r="L13" s="32">
        <f>1929699573.17-1077160204.18-508023.13</f>
        <v>852031345.86000001</v>
      </c>
      <c r="M13" s="98"/>
    </row>
    <row r="14" spans="1:13" s="12" customFormat="1" ht="22.5" customHeight="1" x14ac:dyDescent="0.25">
      <c r="A14" s="599"/>
      <c r="B14" s="600" t="s">
        <v>1017</v>
      </c>
      <c r="C14" s="601">
        <f>C349</f>
        <v>196635250</v>
      </c>
      <c r="D14" s="601">
        <f t="shared" ref="D14:I14" si="11">D349</f>
        <v>146703272.44999999</v>
      </c>
      <c r="E14" s="601">
        <f t="shared" si="11"/>
        <v>116124695.68000001</v>
      </c>
      <c r="F14" s="1039"/>
      <c r="G14" s="601">
        <f t="shared" si="11"/>
        <v>59.055889358596694</v>
      </c>
      <c r="H14" s="601">
        <f t="shared" si="11"/>
        <v>79.156172688361877</v>
      </c>
      <c r="I14" s="601">
        <f t="shared" si="11"/>
        <v>88.015209699909732</v>
      </c>
      <c r="J14" s="1040"/>
    </row>
    <row r="15" spans="1:13" s="12" customFormat="1" ht="22.5" customHeight="1" x14ac:dyDescent="0.25">
      <c r="A15" s="602"/>
      <c r="B15" s="600" t="s">
        <v>31</v>
      </c>
      <c r="C15" s="601">
        <f>C515</f>
        <v>15000</v>
      </c>
      <c r="D15" s="601">
        <f t="shared" ref="D15:I15" si="12">D515</f>
        <v>15000</v>
      </c>
      <c r="E15" s="601">
        <f t="shared" si="12"/>
        <v>14000</v>
      </c>
      <c r="F15" s="1039"/>
      <c r="G15" s="601">
        <f t="shared" si="12"/>
        <v>93.333333333333329</v>
      </c>
      <c r="H15" s="601">
        <f t="shared" si="12"/>
        <v>93.333333333333329</v>
      </c>
      <c r="I15" s="601">
        <f t="shared" si="12"/>
        <v>140</v>
      </c>
      <c r="J15" s="1040"/>
    </row>
    <row r="16" spans="1:13" s="603" customFormat="1" ht="22.5" customHeight="1" x14ac:dyDescent="0.25">
      <c r="A16" s="600"/>
      <c r="B16" s="600" t="s">
        <v>1018</v>
      </c>
      <c r="C16" s="604">
        <f>C518</f>
        <v>13200772</v>
      </c>
      <c r="D16" s="604">
        <f t="shared" ref="D16:I16" si="13">D518</f>
        <v>13584681.83</v>
      </c>
      <c r="E16" s="604">
        <f t="shared" si="13"/>
        <v>12914263.4</v>
      </c>
      <c r="F16" s="1041"/>
      <c r="G16" s="604">
        <f t="shared" si="13"/>
        <v>97.829607238122136</v>
      </c>
      <c r="H16" s="604">
        <f t="shared" si="13"/>
        <v>95.064894133041321</v>
      </c>
      <c r="I16" s="604">
        <f t="shared" si="13"/>
        <v>108.71688554070535</v>
      </c>
      <c r="J16" s="1040"/>
    </row>
    <row r="17" spans="1:255" s="603" customFormat="1" ht="22.5" customHeight="1" x14ac:dyDescent="0.25">
      <c r="A17" s="602"/>
      <c r="B17" s="600" t="s">
        <v>33</v>
      </c>
      <c r="C17" s="601">
        <f>C524</f>
        <v>10220291</v>
      </c>
      <c r="D17" s="601">
        <f t="shared" ref="D17:I17" si="14">D524</f>
        <v>10451291</v>
      </c>
      <c r="E17" s="601">
        <f t="shared" si="14"/>
        <v>10297235.539999999</v>
      </c>
      <c r="F17" s="1039"/>
      <c r="G17" s="601">
        <f t="shared" si="14"/>
        <v>100.75286055944981</v>
      </c>
      <c r="H17" s="601">
        <f t="shared" si="14"/>
        <v>98.525967174772944</v>
      </c>
      <c r="I17" s="601">
        <f t="shared" si="14"/>
        <v>113.89964634476549</v>
      </c>
      <c r="J17" s="1040"/>
    </row>
    <row r="18" spans="1:255" s="603" customFormat="1" ht="22.5" customHeight="1" x14ac:dyDescent="0.25">
      <c r="A18" s="602"/>
      <c r="B18" s="600" t="s">
        <v>34</v>
      </c>
      <c r="C18" s="601">
        <f>C533</f>
        <v>162000</v>
      </c>
      <c r="D18" s="601">
        <f t="shared" ref="D18:I18" si="15">D533</f>
        <v>162000</v>
      </c>
      <c r="E18" s="601">
        <f t="shared" si="15"/>
        <v>72093</v>
      </c>
      <c r="F18" s="1039"/>
      <c r="G18" s="601">
        <f t="shared" si="15"/>
        <v>44.501851851851853</v>
      </c>
      <c r="H18" s="601">
        <f t="shared" si="15"/>
        <v>44.501851851851853</v>
      </c>
      <c r="I18" s="601">
        <f t="shared" si="15"/>
        <v>67.489488029890737</v>
      </c>
      <c r="J18" s="1040"/>
    </row>
    <row r="19" spans="1:255" s="603" customFormat="1" ht="22.5" customHeight="1" x14ac:dyDescent="0.25">
      <c r="A19" s="605"/>
      <c r="B19" s="600" t="s">
        <v>624</v>
      </c>
      <c r="C19" s="601">
        <f>C537</f>
        <v>250000</v>
      </c>
      <c r="D19" s="601">
        <f t="shared" ref="D19:I19" si="16">D537</f>
        <v>1114200</v>
      </c>
      <c r="E19" s="601">
        <f t="shared" si="16"/>
        <v>988812.64</v>
      </c>
      <c r="F19" s="1039"/>
      <c r="G19" s="601">
        <f t="shared" si="16"/>
        <v>395.52505600000001</v>
      </c>
      <c r="H19" s="601">
        <f t="shared" si="16"/>
        <v>88.746422545323995</v>
      </c>
      <c r="I19" s="601">
        <f t="shared" si="16"/>
        <v>0</v>
      </c>
      <c r="J19" s="1040"/>
    </row>
    <row r="20" spans="1:255" s="606" customFormat="1" ht="22.5" customHeight="1" x14ac:dyDescent="0.25">
      <c r="A20" s="607"/>
      <c r="B20" s="608" t="s">
        <v>36</v>
      </c>
      <c r="C20" s="601">
        <f>C540</f>
        <v>117668120</v>
      </c>
      <c r="D20" s="601">
        <f t="shared" ref="D20:I20" si="17">D540</f>
        <v>133072098.18000001</v>
      </c>
      <c r="E20" s="601">
        <f t="shared" si="17"/>
        <v>131209994.77</v>
      </c>
      <c r="F20" s="1039"/>
      <c r="G20" s="601">
        <f t="shared" si="17"/>
        <v>111.50853329686919</v>
      </c>
      <c r="H20" s="601">
        <f t="shared" si="17"/>
        <v>98.600680807270933</v>
      </c>
      <c r="I20" s="601">
        <f t="shared" si="17"/>
        <v>75.550182050386411</v>
      </c>
      <c r="J20" s="1042"/>
    </row>
    <row r="21" spans="1:255" s="12" customFormat="1" ht="22.5" customHeight="1" x14ac:dyDescent="0.25">
      <c r="A21" s="600"/>
      <c r="B21" s="600" t="s">
        <v>710</v>
      </c>
      <c r="C21" s="604">
        <f>C631</f>
        <v>28556700</v>
      </c>
      <c r="D21" s="604">
        <f t="shared" ref="D21:I21" si="18">D631</f>
        <v>28556700</v>
      </c>
      <c r="E21" s="604">
        <f t="shared" si="18"/>
        <v>27927809.969999999</v>
      </c>
      <c r="F21" s="1041"/>
      <c r="G21" s="604">
        <f t="shared" si="18"/>
        <v>97.797749634936807</v>
      </c>
      <c r="H21" s="604">
        <f t="shared" si="18"/>
        <v>97.797749634936807</v>
      </c>
      <c r="I21" s="604">
        <f t="shared" si="18"/>
        <v>112.55667481045086</v>
      </c>
      <c r="J21" s="1040"/>
    </row>
    <row r="22" spans="1:255" s="12" customFormat="1" ht="22.5" customHeight="1" x14ac:dyDescent="0.25">
      <c r="A22" s="600"/>
      <c r="B22" s="600" t="s">
        <v>713</v>
      </c>
      <c r="C22" s="601">
        <f>C635</f>
        <v>31499210</v>
      </c>
      <c r="D22" s="601">
        <f t="shared" ref="D22:I22" si="19">D635</f>
        <v>33962356.909999996</v>
      </c>
      <c r="E22" s="601">
        <f t="shared" si="19"/>
        <v>27853687.370000001</v>
      </c>
      <c r="F22" s="1039"/>
      <c r="G22" s="601">
        <f t="shared" si="19"/>
        <v>88.426622032743055</v>
      </c>
      <c r="H22" s="601">
        <f t="shared" si="19"/>
        <v>82.013411035671268</v>
      </c>
      <c r="I22" s="601">
        <f t="shared" si="19"/>
        <v>81.789544120915309</v>
      </c>
      <c r="J22" s="1040"/>
    </row>
    <row r="23" spans="1:255" s="12" customFormat="1" ht="22.5" customHeight="1" x14ac:dyDescent="0.25">
      <c r="A23" s="600"/>
      <c r="B23" s="600" t="s">
        <v>729</v>
      </c>
      <c r="C23" s="609">
        <f>C654</f>
        <v>166253060</v>
      </c>
      <c r="D23" s="609">
        <f t="shared" ref="D23:I23" si="20">D654</f>
        <v>168024227.20999998</v>
      </c>
      <c r="E23" s="609">
        <f t="shared" si="20"/>
        <v>162131523.28</v>
      </c>
      <c r="F23" s="1043"/>
      <c r="G23" s="609">
        <f t="shared" si="20"/>
        <v>97.52092579829808</v>
      </c>
      <c r="H23" s="609">
        <f t="shared" si="20"/>
        <v>96.492943888005414</v>
      </c>
      <c r="I23" s="609">
        <f t="shared" si="20"/>
        <v>107.74502037513258</v>
      </c>
      <c r="J23" s="1040"/>
    </row>
    <row r="24" spans="1:255" s="12" customFormat="1" ht="22.5" customHeight="1" x14ac:dyDescent="0.25">
      <c r="A24" s="600"/>
      <c r="B24" s="600" t="s">
        <v>43</v>
      </c>
      <c r="C24" s="609">
        <f>C663</f>
        <v>15923250</v>
      </c>
      <c r="D24" s="609">
        <f t="shared" ref="D24:I24" si="21">D663</f>
        <v>13923250</v>
      </c>
      <c r="E24" s="609">
        <f t="shared" si="21"/>
        <v>13653274.91</v>
      </c>
      <c r="F24" s="1043"/>
      <c r="G24" s="609">
        <f t="shared" si="21"/>
        <v>85.744272745827644</v>
      </c>
      <c r="H24" s="609">
        <f t="shared" si="21"/>
        <v>98.060976496148527</v>
      </c>
      <c r="I24" s="609">
        <f t="shared" si="21"/>
        <v>109.20333839105321</v>
      </c>
      <c r="J24" s="1040"/>
    </row>
    <row r="25" spans="1:255" s="12" customFormat="1" ht="22.5" customHeight="1" x14ac:dyDescent="0.25">
      <c r="A25" s="600"/>
      <c r="B25" s="600" t="s">
        <v>771</v>
      </c>
      <c r="C25" s="601">
        <f>C695</f>
        <v>18717400</v>
      </c>
      <c r="D25" s="601">
        <f t="shared" ref="D25:I25" si="22">D695</f>
        <v>20225199.300000001</v>
      </c>
      <c r="E25" s="601">
        <f t="shared" si="22"/>
        <v>15775641.263</v>
      </c>
      <c r="F25" s="1039"/>
      <c r="G25" s="601">
        <f t="shared" si="22"/>
        <v>84.283293956425581</v>
      </c>
      <c r="H25" s="601">
        <f t="shared" si="22"/>
        <v>77.999929835054829</v>
      </c>
      <c r="I25" s="601">
        <f t="shared" si="22"/>
        <v>107.12668428158867</v>
      </c>
      <c r="J25" s="1040"/>
    </row>
    <row r="26" spans="1:255" s="12" customFormat="1" ht="22.5" customHeight="1" x14ac:dyDescent="0.25">
      <c r="A26" s="600"/>
      <c r="B26" s="600" t="s">
        <v>1871</v>
      </c>
      <c r="C26" s="604">
        <f>C702</f>
        <v>87547000</v>
      </c>
      <c r="D26" s="604">
        <f t="shared" ref="D26:I26" si="23">D702</f>
        <v>86794109.460000008</v>
      </c>
      <c r="E26" s="604">
        <f t="shared" si="23"/>
        <v>85252569.760000005</v>
      </c>
      <c r="F26" s="1041"/>
      <c r="G26" s="604">
        <f t="shared" si="23"/>
        <v>97.379201754486161</v>
      </c>
      <c r="H26" s="604">
        <f t="shared" si="23"/>
        <v>98.223912072385005</v>
      </c>
      <c r="I26" s="604">
        <f t="shared" si="23"/>
        <v>162.85188324998666</v>
      </c>
      <c r="J26" s="1040"/>
    </row>
    <row r="27" spans="1:255" s="12" customFormat="1" ht="22.5" customHeight="1" x14ac:dyDescent="0.25">
      <c r="A27" s="600"/>
      <c r="B27" s="600" t="s">
        <v>797</v>
      </c>
      <c r="C27" s="601">
        <f>C726</f>
        <v>151698000</v>
      </c>
      <c r="D27" s="601">
        <f t="shared" ref="D27:I27" si="24">D726</f>
        <v>140468509.50999999</v>
      </c>
      <c r="E27" s="601">
        <f t="shared" si="24"/>
        <v>122764276.02</v>
      </c>
      <c r="F27" s="1039"/>
      <c r="G27" s="601">
        <f t="shared" si="24"/>
        <v>80.926759759522199</v>
      </c>
      <c r="H27" s="601">
        <f t="shared" si="24"/>
        <v>87.396297183078147</v>
      </c>
      <c r="I27" s="601">
        <f t="shared" si="24"/>
        <v>73.116974627968219</v>
      </c>
      <c r="J27" s="1040"/>
    </row>
    <row r="28" spans="1:255" s="610" customFormat="1" ht="22.5" customHeight="1" x14ac:dyDescent="0.25">
      <c r="A28" s="600"/>
      <c r="B28" s="600" t="s">
        <v>1872</v>
      </c>
      <c r="C28" s="604">
        <f>C861</f>
        <v>1145000</v>
      </c>
      <c r="D28" s="604">
        <f t="shared" ref="D28:I28" si="25">D861</f>
        <v>1145000</v>
      </c>
      <c r="E28" s="604">
        <f t="shared" si="25"/>
        <v>763550</v>
      </c>
      <c r="F28" s="1041"/>
      <c r="G28" s="604">
        <f t="shared" si="25"/>
        <v>66.685589519650662</v>
      </c>
      <c r="H28" s="604">
        <f t="shared" si="25"/>
        <v>66.685589519650662</v>
      </c>
      <c r="I28" s="604">
        <f t="shared" si="25"/>
        <v>0</v>
      </c>
      <c r="J28" s="1044"/>
      <c r="IO28" s="603"/>
      <c r="IP28" s="603"/>
      <c r="IQ28" s="603"/>
      <c r="IR28" s="603"/>
      <c r="IS28" s="603"/>
      <c r="IT28" s="603"/>
      <c r="IU28" s="603"/>
    </row>
    <row r="29" spans="1:255" s="603" customFormat="1" ht="22.5" customHeight="1" x14ac:dyDescent="0.25">
      <c r="A29" s="611"/>
      <c r="B29" s="611" t="s">
        <v>54</v>
      </c>
      <c r="C29" s="612">
        <f>C872</f>
        <v>85052500</v>
      </c>
      <c r="D29" s="612">
        <f t="shared" ref="D29:I29" si="26">D872</f>
        <v>156989114.43999997</v>
      </c>
      <c r="E29" s="612">
        <f t="shared" si="26"/>
        <v>70903600.329999998</v>
      </c>
      <c r="F29" s="1045"/>
      <c r="G29" s="612">
        <f t="shared" si="26"/>
        <v>83.364510543487853</v>
      </c>
      <c r="H29" s="612">
        <f t="shared" si="26"/>
        <v>45.164660354268584</v>
      </c>
      <c r="I29" s="612">
        <f t="shared" si="26"/>
        <v>44.16967144478857</v>
      </c>
      <c r="J29" s="1040"/>
    </row>
    <row r="30" spans="1:255" s="98" customFormat="1" ht="23.25" x14ac:dyDescent="0.35">
      <c r="A30" s="613"/>
      <c r="B30" s="613" t="s">
        <v>55</v>
      </c>
      <c r="C30" s="614">
        <f>C899</f>
        <v>1000477597.2</v>
      </c>
      <c r="D30" s="614">
        <f t="shared" ref="D30:I30" si="27">D899</f>
        <v>1016142286.4899999</v>
      </c>
      <c r="E30" s="614">
        <f t="shared" si="27"/>
        <v>852539368.99000001</v>
      </c>
      <c r="F30" s="1046"/>
      <c r="G30" s="614">
        <f t="shared" si="27"/>
        <v>85.213239294510018</v>
      </c>
      <c r="H30" s="614">
        <f t="shared" si="27"/>
        <v>83.899605431723174</v>
      </c>
      <c r="I30" s="614">
        <f t="shared" si="27"/>
        <v>85.977464450141753</v>
      </c>
      <c r="J30" s="29"/>
    </row>
    <row r="31" spans="1:255" ht="22.5" customHeight="1" x14ac:dyDescent="0.3">
      <c r="A31" s="617"/>
      <c r="B31" s="618" t="s">
        <v>56</v>
      </c>
      <c r="C31" s="619"/>
      <c r="D31" s="619"/>
      <c r="E31" s="619"/>
      <c r="F31" s="1047"/>
      <c r="G31" s="619"/>
      <c r="H31" s="619"/>
      <c r="I31" s="620"/>
    </row>
    <row r="32" spans="1:255" s="244" customFormat="1" ht="16.5" customHeight="1" x14ac:dyDescent="0.25">
      <c r="A32" s="621"/>
      <c r="B32" s="622" t="s">
        <v>57</v>
      </c>
      <c r="C32" s="623">
        <f>SUM(C33:C44,C48:C52,C59:C62)</f>
        <v>520342400</v>
      </c>
      <c r="D32" s="623">
        <f>SUM(D33:D44,D48:D52,D59:D62)</f>
        <v>515639325.25999999</v>
      </c>
      <c r="E32" s="623">
        <v>552417130.99000001</v>
      </c>
      <c r="F32" s="1048">
        <f>SUM(E33:E44,E48:E52,E59:E62)</f>
        <v>552417130.99000001</v>
      </c>
      <c r="G32" s="623">
        <f t="shared" ref="G32:G95" si="28">E32/C32*100</f>
        <v>106.16415863669768</v>
      </c>
      <c r="H32" s="623">
        <f t="shared" ref="H32:H95" si="29">E32/D32*100</f>
        <v>107.13246719719362</v>
      </c>
      <c r="I32" s="624">
        <f t="shared" ref="I32:I95" si="30">E32/J32*100</f>
        <v>109.65036036367709</v>
      </c>
      <c r="J32" s="29">
        <v>503798737.32999998</v>
      </c>
    </row>
    <row r="33" spans="1:10" s="98" customFormat="1" ht="12.75" customHeight="1" x14ac:dyDescent="0.2">
      <c r="A33" s="625">
        <v>1111</v>
      </c>
      <c r="B33" s="626" t="s">
        <v>1021</v>
      </c>
      <c r="C33" s="572">
        <f>(42800000*0.161362/100)*1000-4062936</f>
        <v>65000000</v>
      </c>
      <c r="D33" s="572">
        <f>(42800000*0.161362/100)*1000-4062936</f>
        <v>65000000</v>
      </c>
      <c r="E33" s="572">
        <v>71418764.799999997</v>
      </c>
      <c r="F33" s="573"/>
      <c r="G33" s="1049">
        <f t="shared" si="28"/>
        <v>109.87502276923075</v>
      </c>
      <c r="H33" s="1050">
        <f t="shared" si="29"/>
        <v>109.87502276923075</v>
      </c>
      <c r="I33" s="627">
        <f t="shared" si="30"/>
        <v>114.90784865071365</v>
      </c>
      <c r="J33" s="29">
        <v>62153078</v>
      </c>
    </row>
    <row r="34" spans="1:10" s="98" customFormat="1" ht="12.75" customHeight="1" x14ac:dyDescent="0.2">
      <c r="A34" s="628">
        <v>1111</v>
      </c>
      <c r="B34" s="629" t="s">
        <v>1022</v>
      </c>
      <c r="C34" s="630">
        <f>(2500000*0.24754/100)*1000-188500</f>
        <v>6000000</v>
      </c>
      <c r="D34" s="630">
        <f>(2500000*0.24754/100)*1000-188500</f>
        <v>6000000</v>
      </c>
      <c r="E34" s="630">
        <v>6710044.5300000003</v>
      </c>
      <c r="F34" s="1051"/>
      <c r="G34" s="630">
        <f t="shared" si="28"/>
        <v>111.8340755</v>
      </c>
      <c r="H34" s="1052">
        <f t="shared" si="29"/>
        <v>111.8340755</v>
      </c>
      <c r="I34" s="631">
        <f t="shared" si="30"/>
        <v>121.05982722705093</v>
      </c>
      <c r="J34" s="29">
        <v>5542750.79</v>
      </c>
    </row>
    <row r="35" spans="1:10" s="98" customFormat="1" ht="12.75" customHeight="1" x14ac:dyDescent="0.2">
      <c r="A35" s="628">
        <v>1112</v>
      </c>
      <c r="B35" s="629" t="s">
        <v>1023</v>
      </c>
      <c r="C35" s="632">
        <f>(2800000*0.161362/100)*1000-518136</f>
        <v>4000000</v>
      </c>
      <c r="D35" s="632">
        <f>(2800000*0.161362/100)*1000-518136</f>
        <v>4000000</v>
      </c>
      <c r="E35" s="632">
        <v>6097619.04</v>
      </c>
      <c r="F35" s="1053"/>
      <c r="G35" s="630">
        <f t="shared" si="28"/>
        <v>152.44047599999999</v>
      </c>
      <c r="H35" s="1052">
        <f t="shared" si="29"/>
        <v>152.44047599999999</v>
      </c>
      <c r="I35" s="631">
        <f t="shared" si="30"/>
        <v>105.23035313324478</v>
      </c>
      <c r="J35" s="29">
        <v>5794543.9299999997</v>
      </c>
    </row>
    <row r="36" spans="1:10" s="98" customFormat="1" ht="12.75" customHeight="1" x14ac:dyDescent="0.2">
      <c r="A36" s="628">
        <v>1113</v>
      </c>
      <c r="B36" s="629" t="s">
        <v>1024</v>
      </c>
      <c r="C36" s="632">
        <f>(9000000*0.161362/100)*1000-1522580</f>
        <v>13000000</v>
      </c>
      <c r="D36" s="632">
        <f>(9000000*0.161362/100)*1000-1522580</f>
        <v>13000000</v>
      </c>
      <c r="E36" s="632">
        <v>17598482.949999999</v>
      </c>
      <c r="F36" s="1053"/>
      <c r="G36" s="630">
        <f t="shared" si="28"/>
        <v>135.37294576923077</v>
      </c>
      <c r="H36" s="1052">
        <f t="shared" si="29"/>
        <v>135.37294576923077</v>
      </c>
      <c r="I36" s="631">
        <f t="shared" si="30"/>
        <v>136.62392317404334</v>
      </c>
      <c r="J36" s="29">
        <v>12880967.359999999</v>
      </c>
    </row>
    <row r="37" spans="1:10" s="98" customFormat="1" ht="12.75" customHeight="1" x14ac:dyDescent="0.2">
      <c r="A37" s="628">
        <v>1121</v>
      </c>
      <c r="B37" s="629" t="s">
        <v>1025</v>
      </c>
      <c r="C37" s="632">
        <f>(63100000*0.161362/100)*1000-1819422</f>
        <v>100000000</v>
      </c>
      <c r="D37" s="632">
        <f>(63100000*0.161362/100)*1000-1819422</f>
        <v>100000000</v>
      </c>
      <c r="E37" s="632">
        <v>127564024.18000001</v>
      </c>
      <c r="F37" s="1053"/>
      <c r="G37" s="630">
        <f t="shared" si="28"/>
        <v>127.56402418000002</v>
      </c>
      <c r="H37" s="1052">
        <f t="shared" si="29"/>
        <v>127.56402418000002</v>
      </c>
      <c r="I37" s="631">
        <f t="shared" si="30"/>
        <v>130.98957183543482</v>
      </c>
      <c r="J37" s="29">
        <v>97384869.950000003</v>
      </c>
    </row>
    <row r="38" spans="1:10" s="98" customFormat="1" ht="25.5" customHeight="1" x14ac:dyDescent="0.2">
      <c r="A38" s="628">
        <v>1122</v>
      </c>
      <c r="B38" s="634" t="s">
        <v>1026</v>
      </c>
      <c r="C38" s="635">
        <v>40000000</v>
      </c>
      <c r="D38" s="635">
        <f>40000000-10050300</f>
        <v>29949700</v>
      </c>
      <c r="E38" s="635">
        <v>29949700</v>
      </c>
      <c r="F38" s="652"/>
      <c r="G38" s="630">
        <f t="shared" si="28"/>
        <v>74.874250000000004</v>
      </c>
      <c r="H38" s="1052">
        <f t="shared" si="29"/>
        <v>100</v>
      </c>
      <c r="I38" s="639">
        <f t="shared" si="30"/>
        <v>79.606265328346566</v>
      </c>
      <c r="J38" s="1037">
        <v>37622290</v>
      </c>
    </row>
    <row r="39" spans="1:10" s="98" customFormat="1" ht="12.75" customHeight="1" x14ac:dyDescent="0.2">
      <c r="A39" s="628">
        <v>1211</v>
      </c>
      <c r="B39" s="629" t="s">
        <v>1027</v>
      </c>
      <c r="C39" s="632">
        <f>(152800000*0.161362/100)*1000-1561136</f>
        <v>245000000.00000003</v>
      </c>
      <c r="D39" s="632">
        <f>(152800000*0.161362/100)*1000-1561136</f>
        <v>245000000.00000003</v>
      </c>
      <c r="E39" s="632">
        <v>229713528.34999999</v>
      </c>
      <c r="F39" s="1053"/>
      <c r="G39" s="630">
        <f t="shared" si="28"/>
        <v>93.760623816326515</v>
      </c>
      <c r="H39" s="1052">
        <f t="shared" si="29"/>
        <v>93.760623816326515</v>
      </c>
      <c r="I39" s="631">
        <f t="shared" si="30"/>
        <v>103.8149796580596</v>
      </c>
      <c r="J39" s="29">
        <v>221272044.84999999</v>
      </c>
    </row>
    <row r="40" spans="1:10" s="98" customFormat="1" ht="25.5" x14ac:dyDescent="0.2">
      <c r="A40" s="628">
        <v>1334</v>
      </c>
      <c r="B40" s="634" t="s">
        <v>1028</v>
      </c>
      <c r="C40" s="637">
        <v>50000</v>
      </c>
      <c r="D40" s="637">
        <f>50000+20000</f>
        <v>70000</v>
      </c>
      <c r="E40" s="637">
        <v>102260.8</v>
      </c>
      <c r="F40" s="644"/>
      <c r="G40" s="630">
        <f t="shared" si="28"/>
        <v>204.52159999999998</v>
      </c>
      <c r="H40" s="1052">
        <f t="shared" si="29"/>
        <v>146.08685714285713</v>
      </c>
      <c r="I40" s="639">
        <f t="shared" si="30"/>
        <v>251.15630219078494</v>
      </c>
      <c r="J40" s="1037">
        <v>40716</v>
      </c>
    </row>
    <row r="41" spans="1:10" s="98" customFormat="1" ht="12.75" customHeight="1" x14ac:dyDescent="0.2">
      <c r="A41" s="628">
        <v>1335</v>
      </c>
      <c r="B41" s="629" t="s">
        <v>1029</v>
      </c>
      <c r="C41" s="637">
        <v>5000</v>
      </c>
      <c r="D41" s="637">
        <f>5000-3221.96</f>
        <v>1778.04</v>
      </c>
      <c r="E41" s="637">
        <v>1778.04</v>
      </c>
      <c r="F41" s="644"/>
      <c r="G41" s="630">
        <f t="shared" si="28"/>
        <v>35.5608</v>
      </c>
      <c r="H41" s="1052">
        <f t="shared" si="29"/>
        <v>100</v>
      </c>
      <c r="I41" s="631">
        <f t="shared" si="30"/>
        <v>48.962395082942301</v>
      </c>
      <c r="J41" s="29">
        <v>3631.44</v>
      </c>
    </row>
    <row r="42" spans="1:10" s="98" customFormat="1" ht="12.75" customHeight="1" x14ac:dyDescent="0.2">
      <c r="A42" s="628">
        <v>1336</v>
      </c>
      <c r="B42" s="629" t="s">
        <v>1030</v>
      </c>
      <c r="C42" s="637">
        <v>8400</v>
      </c>
      <c r="D42" s="637">
        <v>8400</v>
      </c>
      <c r="E42" s="637">
        <v>8400</v>
      </c>
      <c r="F42" s="644"/>
      <c r="G42" s="630">
        <f t="shared" si="28"/>
        <v>100</v>
      </c>
      <c r="H42" s="1052">
        <f t="shared" si="29"/>
        <v>100</v>
      </c>
      <c r="I42" s="631">
        <f t="shared" si="30"/>
        <v>100</v>
      </c>
      <c r="J42" s="29">
        <v>8400</v>
      </c>
    </row>
    <row r="43" spans="1:10" s="98" customFormat="1" ht="12.75" customHeight="1" x14ac:dyDescent="0.2">
      <c r="A43" s="628">
        <v>1341</v>
      </c>
      <c r="B43" s="629" t="s">
        <v>1031</v>
      </c>
      <c r="C43" s="637">
        <v>600000</v>
      </c>
      <c r="D43" s="637">
        <v>600000</v>
      </c>
      <c r="E43" s="637">
        <v>619252.68000000005</v>
      </c>
      <c r="F43" s="644"/>
      <c r="G43" s="630">
        <f t="shared" si="28"/>
        <v>103.20878</v>
      </c>
      <c r="H43" s="1052">
        <f t="shared" si="29"/>
        <v>103.20878</v>
      </c>
      <c r="I43" s="631">
        <f t="shared" si="30"/>
        <v>95.524019131068243</v>
      </c>
      <c r="J43" s="29">
        <v>648269.07999999996</v>
      </c>
    </row>
    <row r="44" spans="1:10" s="98" customFormat="1" ht="12.75" customHeight="1" x14ac:dyDescent="0.2">
      <c r="A44" s="628">
        <v>1343</v>
      </c>
      <c r="B44" s="629" t="s">
        <v>1032</v>
      </c>
      <c r="C44" s="640">
        <f t="shared" ref="C44:D44" si="31">SUM(C45:C47)</f>
        <v>270000</v>
      </c>
      <c r="D44" s="640">
        <f t="shared" si="31"/>
        <v>532272</v>
      </c>
      <c r="E44" s="640">
        <v>958890</v>
      </c>
      <c r="F44" s="1054">
        <f>SUM(E45:E47)</f>
        <v>958890</v>
      </c>
      <c r="G44" s="630">
        <f t="shared" si="28"/>
        <v>355.14444444444445</v>
      </c>
      <c r="H44" s="1052">
        <f t="shared" si="29"/>
        <v>180.15037424474704</v>
      </c>
      <c r="I44" s="631">
        <f t="shared" si="30"/>
        <v>89.597465941582101</v>
      </c>
      <c r="J44" s="29">
        <v>1070220</v>
      </c>
    </row>
    <row r="45" spans="1:10" ht="12.75" customHeight="1" x14ac:dyDescent="0.2">
      <c r="A45" s="642"/>
      <c r="B45" s="643" t="s">
        <v>1034</v>
      </c>
      <c r="C45" s="644">
        <v>120000</v>
      </c>
      <c r="D45" s="644">
        <f>120000+76497+92417+24118</f>
        <v>313032</v>
      </c>
      <c r="E45" s="644">
        <v>412389</v>
      </c>
      <c r="F45" s="644"/>
      <c r="G45" s="1051">
        <f t="shared" si="28"/>
        <v>343.65749999999997</v>
      </c>
      <c r="H45" s="1055">
        <f t="shared" si="29"/>
        <v>131.74020547420071</v>
      </c>
      <c r="I45" s="1056">
        <f t="shared" si="30"/>
        <v>100.26647669666151</v>
      </c>
      <c r="J45" s="29">
        <v>411293</v>
      </c>
    </row>
    <row r="46" spans="1:10" ht="12.75" customHeight="1" x14ac:dyDescent="0.2">
      <c r="A46" s="646"/>
      <c r="B46" s="643" t="s">
        <v>1035</v>
      </c>
      <c r="C46" s="644">
        <v>65000</v>
      </c>
      <c r="D46" s="644">
        <f>65000+36700</f>
        <v>101700</v>
      </c>
      <c r="E46" s="644">
        <v>367961</v>
      </c>
      <c r="F46" s="644"/>
      <c r="G46" s="1051">
        <f t="shared" si="28"/>
        <v>566.09384615384613</v>
      </c>
      <c r="H46" s="1055">
        <f t="shared" si="29"/>
        <v>361.81022615535892</v>
      </c>
      <c r="I46" s="1056">
        <f t="shared" si="30"/>
        <v>68.276213979552082</v>
      </c>
      <c r="J46" s="29">
        <v>538930</v>
      </c>
    </row>
    <row r="47" spans="1:10" ht="12.75" customHeight="1" x14ac:dyDescent="0.2">
      <c r="A47" s="646"/>
      <c r="B47" s="643" t="s">
        <v>1036</v>
      </c>
      <c r="C47" s="644">
        <v>85000</v>
      </c>
      <c r="D47" s="644">
        <f>85000+32540</f>
        <v>117540</v>
      </c>
      <c r="E47" s="644">
        <v>178540</v>
      </c>
      <c r="F47" s="644"/>
      <c r="G47" s="1051">
        <f t="shared" si="28"/>
        <v>210.04705882352943</v>
      </c>
      <c r="H47" s="1055">
        <f t="shared" si="29"/>
        <v>151.89722647609324</v>
      </c>
      <c r="I47" s="1056">
        <f t="shared" si="30"/>
        <v>148.78705300965856</v>
      </c>
      <c r="J47" s="29">
        <v>119997</v>
      </c>
    </row>
    <row r="48" spans="1:10" ht="25.5" x14ac:dyDescent="0.2">
      <c r="A48" s="648">
        <v>1345</v>
      </c>
      <c r="B48" s="634" t="s">
        <v>1037</v>
      </c>
      <c r="C48" s="637">
        <v>12500000</v>
      </c>
      <c r="D48" s="637">
        <f>12500000+10674.12</f>
        <v>12510674.119999999</v>
      </c>
      <c r="E48" s="637">
        <v>12792365.57</v>
      </c>
      <c r="F48" s="644"/>
      <c r="G48" s="630">
        <f t="shared" si="28"/>
        <v>102.33892456</v>
      </c>
      <c r="H48" s="1052">
        <f t="shared" si="29"/>
        <v>102.25160888452589</v>
      </c>
      <c r="I48" s="639">
        <f t="shared" si="30"/>
        <v>102.18333057476048</v>
      </c>
      <c r="J48" s="1037">
        <v>12519033.68</v>
      </c>
    </row>
    <row r="49" spans="1:10" s="98" customFormat="1" ht="24.75" x14ac:dyDescent="0.2">
      <c r="A49" s="628">
        <v>1346</v>
      </c>
      <c r="B49" s="634" t="s">
        <v>1038</v>
      </c>
      <c r="C49" s="637">
        <v>121000</v>
      </c>
      <c r="D49" s="637">
        <f>121000+33700+20200+8100</f>
        <v>183000</v>
      </c>
      <c r="E49" s="637">
        <v>261000</v>
      </c>
      <c r="F49" s="644"/>
      <c r="G49" s="630">
        <f t="shared" si="28"/>
        <v>215.70247933884298</v>
      </c>
      <c r="H49" s="1052">
        <f t="shared" si="29"/>
        <v>142.62295081967213</v>
      </c>
      <c r="I49" s="639">
        <f t="shared" si="30"/>
        <v>161.08525792156814</v>
      </c>
      <c r="J49" s="1037">
        <v>162026</v>
      </c>
    </row>
    <row r="50" spans="1:10" s="98" customFormat="1" ht="12.75" customHeight="1" x14ac:dyDescent="0.2">
      <c r="A50" s="628">
        <v>1353</v>
      </c>
      <c r="B50" s="629" t="s">
        <v>1039</v>
      </c>
      <c r="C50" s="637">
        <v>550000</v>
      </c>
      <c r="D50" s="637">
        <f>550000+78700</f>
        <v>628700</v>
      </c>
      <c r="E50" s="637">
        <v>849700</v>
      </c>
      <c r="F50" s="644"/>
      <c r="G50" s="630">
        <f t="shared" si="28"/>
        <v>154.4909090909091</v>
      </c>
      <c r="H50" s="1052">
        <f t="shared" si="29"/>
        <v>135.15190074757436</v>
      </c>
      <c r="I50" s="631">
        <f t="shared" si="30"/>
        <v>116.94192127718139</v>
      </c>
      <c r="J50" s="29">
        <v>726600</v>
      </c>
    </row>
    <row r="51" spans="1:10" s="98" customFormat="1" ht="12.75" customHeight="1" x14ac:dyDescent="0.2">
      <c r="A51" s="628">
        <v>1356</v>
      </c>
      <c r="B51" s="629" t="s">
        <v>1040</v>
      </c>
      <c r="C51" s="635">
        <v>250000</v>
      </c>
      <c r="D51" s="635">
        <f>250000-7452.16</f>
        <v>242547.84</v>
      </c>
      <c r="E51" s="635">
        <v>242547.84</v>
      </c>
      <c r="F51" s="652"/>
      <c r="G51" s="630">
        <f t="shared" si="28"/>
        <v>97.019135999999989</v>
      </c>
      <c r="H51" s="1052">
        <f t="shared" si="29"/>
        <v>100</v>
      </c>
      <c r="I51" s="631">
        <f t="shared" si="30"/>
        <v>100</v>
      </c>
      <c r="J51" s="29">
        <v>242547.84</v>
      </c>
    </row>
    <row r="52" spans="1:10" s="98" customFormat="1" ht="12.75" customHeight="1" x14ac:dyDescent="0.2">
      <c r="A52" s="628">
        <v>1361</v>
      </c>
      <c r="B52" s="629" t="s">
        <v>1042</v>
      </c>
      <c r="C52" s="640">
        <f>SUM(C53:C58)</f>
        <v>8488000</v>
      </c>
      <c r="D52" s="640">
        <f>SUM(D53:D58)</f>
        <v>8884670</v>
      </c>
      <c r="E52" s="640">
        <v>11040615</v>
      </c>
      <c r="F52" s="1054">
        <f>SUM(E53:E58)</f>
        <v>11040615</v>
      </c>
      <c r="G52" s="630">
        <f t="shared" si="28"/>
        <v>130.07322101790763</v>
      </c>
      <c r="H52" s="1052">
        <f t="shared" si="29"/>
        <v>124.26589845205281</v>
      </c>
      <c r="I52" s="631">
        <f t="shared" si="30"/>
        <v>102.36326364860204</v>
      </c>
      <c r="J52" s="29">
        <v>10785720</v>
      </c>
    </row>
    <row r="53" spans="1:10" ht="27.75" customHeight="1" x14ac:dyDescent="0.2">
      <c r="A53" s="649"/>
      <c r="B53" s="650" t="s">
        <v>1873</v>
      </c>
      <c r="C53" s="644">
        <v>400000</v>
      </c>
      <c r="D53" s="644">
        <v>400000</v>
      </c>
      <c r="E53" s="644">
        <v>485010</v>
      </c>
      <c r="F53" s="644"/>
      <c r="G53" s="1051">
        <f t="shared" si="28"/>
        <v>121.25250000000001</v>
      </c>
      <c r="H53" s="1055">
        <f t="shared" si="29"/>
        <v>121.25250000000001</v>
      </c>
      <c r="I53" s="639">
        <f t="shared" si="30"/>
        <v>107.45167543616728</v>
      </c>
      <c r="J53" s="1037">
        <v>451375</v>
      </c>
    </row>
    <row r="54" spans="1:10" ht="12.75" customHeight="1" x14ac:dyDescent="0.2">
      <c r="A54" s="646"/>
      <c r="B54" s="643" t="s">
        <v>1874</v>
      </c>
      <c r="C54" s="644">
        <v>5400000</v>
      </c>
      <c r="D54" s="644">
        <f>5400000+396670</f>
        <v>5796670</v>
      </c>
      <c r="E54" s="644">
        <v>6580350</v>
      </c>
      <c r="F54" s="644"/>
      <c r="G54" s="1051">
        <f t="shared" si="28"/>
        <v>121.85833333333333</v>
      </c>
      <c r="H54" s="1055">
        <f t="shared" si="29"/>
        <v>113.51948618775953</v>
      </c>
      <c r="I54" s="631">
        <f t="shared" si="30"/>
        <v>109.7991350023694</v>
      </c>
      <c r="J54" s="29">
        <v>5993080</v>
      </c>
    </row>
    <row r="55" spans="1:10" ht="12.75" customHeight="1" x14ac:dyDescent="0.2">
      <c r="A55" s="642"/>
      <c r="B55" s="643" t="s">
        <v>1048</v>
      </c>
      <c r="C55" s="652">
        <v>1500000</v>
      </c>
      <c r="D55" s="652">
        <v>1500000</v>
      </c>
      <c r="E55" s="652">
        <v>2505255</v>
      </c>
      <c r="F55" s="652"/>
      <c r="G55" s="1051">
        <f t="shared" si="28"/>
        <v>167.017</v>
      </c>
      <c r="H55" s="1055">
        <f t="shared" si="29"/>
        <v>167.017</v>
      </c>
      <c r="I55" s="631">
        <f t="shared" si="30"/>
        <v>88.259353922737773</v>
      </c>
      <c r="J55" s="29">
        <v>2838515</v>
      </c>
    </row>
    <row r="56" spans="1:10" ht="12.75" customHeight="1" x14ac:dyDescent="0.2">
      <c r="A56" s="646"/>
      <c r="B56" s="643" t="s">
        <v>1049</v>
      </c>
      <c r="C56" s="652">
        <v>182000</v>
      </c>
      <c r="D56" s="652">
        <v>182000</v>
      </c>
      <c r="E56" s="652">
        <v>236500</v>
      </c>
      <c r="F56" s="652"/>
      <c r="G56" s="1051">
        <f t="shared" si="28"/>
        <v>129.94505494505495</v>
      </c>
      <c r="H56" s="1055">
        <f t="shared" si="29"/>
        <v>129.94505494505495</v>
      </c>
      <c r="I56" s="631">
        <f t="shared" si="30"/>
        <v>136.62622761409591</v>
      </c>
      <c r="J56" s="29">
        <v>173100</v>
      </c>
    </row>
    <row r="57" spans="1:10" ht="12.75" customHeight="1" x14ac:dyDescent="0.2">
      <c r="A57" s="646"/>
      <c r="B57" s="643" t="s">
        <v>1046</v>
      </c>
      <c r="C57" s="644">
        <v>1000000</v>
      </c>
      <c r="D57" s="644">
        <v>1000000</v>
      </c>
      <c r="E57" s="644">
        <v>1229100</v>
      </c>
      <c r="F57" s="644"/>
      <c r="G57" s="1051">
        <f t="shared" si="28"/>
        <v>122.91000000000001</v>
      </c>
      <c r="H57" s="1055">
        <f t="shared" si="29"/>
        <v>122.91000000000001</v>
      </c>
      <c r="I57" s="631">
        <f t="shared" si="30"/>
        <v>93.053715410531098</v>
      </c>
      <c r="J57" s="29">
        <v>1320850</v>
      </c>
    </row>
    <row r="58" spans="1:10" ht="12.75" customHeight="1" x14ac:dyDescent="0.2">
      <c r="A58" s="646"/>
      <c r="B58" s="643" t="s">
        <v>1050</v>
      </c>
      <c r="C58" s="644">
        <v>6000</v>
      </c>
      <c r="D58" s="644">
        <v>6000</v>
      </c>
      <c r="E58" s="644">
        <v>4400</v>
      </c>
      <c r="F58" s="644"/>
      <c r="G58" s="1051">
        <f t="shared" si="28"/>
        <v>73.333333333333329</v>
      </c>
      <c r="H58" s="1055">
        <f t="shared" si="29"/>
        <v>73.333333333333329</v>
      </c>
      <c r="I58" s="631">
        <f t="shared" si="30"/>
        <v>50</v>
      </c>
      <c r="J58" s="29">
        <v>8800</v>
      </c>
    </row>
    <row r="59" spans="1:10" ht="12.75" customHeight="1" x14ac:dyDescent="0.2">
      <c r="A59" s="1057">
        <v>1381</v>
      </c>
      <c r="B59" s="629" t="s">
        <v>1052</v>
      </c>
      <c r="C59" s="637">
        <v>2500000</v>
      </c>
      <c r="D59" s="637">
        <f>2500000+559345.14</f>
        <v>3059345.14</v>
      </c>
      <c r="E59" s="637">
        <v>3256084.21</v>
      </c>
      <c r="F59" s="644"/>
      <c r="G59" s="630">
        <f t="shared" si="28"/>
        <v>130.24336839999998</v>
      </c>
      <c r="H59" s="1052">
        <f t="shared" si="29"/>
        <v>106.43075759670579</v>
      </c>
      <c r="I59" s="631">
        <f t="shared" si="30"/>
        <v>104.05293400162434</v>
      </c>
      <c r="J59" s="29">
        <v>3129257.47</v>
      </c>
    </row>
    <row r="60" spans="1:10" ht="12.75" customHeight="1" x14ac:dyDescent="0.2">
      <c r="A60" s="1057">
        <v>1382</v>
      </c>
      <c r="B60" s="629" t="s">
        <v>2091</v>
      </c>
      <c r="C60" s="637">
        <v>0</v>
      </c>
      <c r="D60" s="637">
        <v>0</v>
      </c>
      <c r="E60" s="637">
        <v>37.590000000000003</v>
      </c>
      <c r="F60" s="644"/>
      <c r="G60" s="630">
        <v>0</v>
      </c>
      <c r="H60" s="1052">
        <v>0</v>
      </c>
      <c r="I60" s="631">
        <f t="shared" si="30"/>
        <v>1.6716250650372881</v>
      </c>
      <c r="J60" s="29">
        <v>2248.71</v>
      </c>
    </row>
    <row r="61" spans="1:10" ht="12.75" customHeight="1" x14ac:dyDescent="0.2">
      <c r="A61" s="1057">
        <v>1385</v>
      </c>
      <c r="B61" s="629" t="s">
        <v>1056</v>
      </c>
      <c r="C61" s="637">
        <v>11000000</v>
      </c>
      <c r="D61" s="637">
        <f>11000000+3968238.12</f>
        <v>14968238.120000001</v>
      </c>
      <c r="E61" s="637">
        <v>20273951.399999999</v>
      </c>
      <c r="F61" s="644"/>
      <c r="G61" s="630">
        <f t="shared" si="28"/>
        <v>184.30864909090906</v>
      </c>
      <c r="H61" s="1052">
        <f t="shared" si="29"/>
        <v>135.44647831938684</v>
      </c>
      <c r="I61" s="631">
        <f t="shared" si="30"/>
        <v>109.85611871657399</v>
      </c>
      <c r="J61" s="29">
        <v>18455004.27</v>
      </c>
    </row>
    <row r="62" spans="1:10" s="98" customFormat="1" ht="12.75" customHeight="1" x14ac:dyDescent="0.2">
      <c r="A62" s="628">
        <v>1511</v>
      </c>
      <c r="B62" s="629" t="s">
        <v>1057</v>
      </c>
      <c r="C62" s="635">
        <v>11000000</v>
      </c>
      <c r="D62" s="635">
        <v>11000000</v>
      </c>
      <c r="E62" s="635">
        <v>12958084.01</v>
      </c>
      <c r="F62" s="652"/>
      <c r="G62" s="630">
        <f t="shared" si="28"/>
        <v>117.80076372727272</v>
      </c>
      <c r="H62" s="1052">
        <f t="shared" si="29"/>
        <v>117.80076372727272</v>
      </c>
      <c r="I62" s="631">
        <f t="shared" si="30"/>
        <v>97.345999846403458</v>
      </c>
      <c r="J62" s="29">
        <v>13311367.73</v>
      </c>
    </row>
    <row r="63" spans="1:10" s="98" customFormat="1" ht="12.75" customHeight="1" x14ac:dyDescent="0.2">
      <c r="A63" s="653"/>
      <c r="B63" s="654"/>
      <c r="C63" s="655"/>
      <c r="D63" s="655"/>
      <c r="E63" s="655"/>
      <c r="F63" s="682"/>
      <c r="G63" s="655"/>
      <c r="H63" s="655"/>
      <c r="I63" s="656"/>
      <c r="J63" s="29"/>
    </row>
    <row r="64" spans="1:10" s="244" customFormat="1" ht="16.5" customHeight="1" x14ac:dyDescent="0.25">
      <c r="A64" s="621"/>
      <c r="B64" s="657" t="s">
        <v>10</v>
      </c>
      <c r="C64" s="658">
        <f>SUM(C65,C78:C81,C93:C94,C109:C109,C124:C126,C145:C145)</f>
        <v>153980616.31999999</v>
      </c>
      <c r="D64" s="658">
        <f>SUM(D65,D78:D81,D93:D94,D109:D109,D124:D126,D145:D145)</f>
        <v>151716896.54000002</v>
      </c>
      <c r="E64" s="658">
        <v>166973128.58000001</v>
      </c>
      <c r="F64" s="1058">
        <f>SUM(E65,E78:E81,E93:E94,E109,E123:E126,E144,E145)</f>
        <v>166973128.58000001</v>
      </c>
      <c r="G64" s="623">
        <f t="shared" si="28"/>
        <v>108.43775831692946</v>
      </c>
      <c r="H64" s="623">
        <f t="shared" si="29"/>
        <v>110.0557237775937</v>
      </c>
      <c r="I64" s="741">
        <f t="shared" si="30"/>
        <v>111.89707907796442</v>
      </c>
      <c r="J64" s="29">
        <v>149220274.52000001</v>
      </c>
    </row>
    <row r="65" spans="1:60" s="98" customFormat="1" ht="12.75" customHeight="1" x14ac:dyDescent="0.2">
      <c r="A65" s="660">
        <v>2111</v>
      </c>
      <c r="B65" s="626" t="s">
        <v>1058</v>
      </c>
      <c r="C65" s="661">
        <f>SUM(C66:C77)</f>
        <v>14425500</v>
      </c>
      <c r="D65" s="661">
        <f>SUM(D66:D77)</f>
        <v>16237591.67</v>
      </c>
      <c r="E65" s="661">
        <v>19340538.010000002</v>
      </c>
      <c r="F65" s="1059">
        <f>SUM(E66:E77)</f>
        <v>19340538.010000002</v>
      </c>
      <c r="G65" s="630">
        <f t="shared" si="28"/>
        <v>134.07187279470384</v>
      </c>
      <c r="H65" s="1052">
        <f t="shared" si="29"/>
        <v>119.10964632601826</v>
      </c>
      <c r="I65" s="631">
        <f t="shared" si="30"/>
        <v>124.09201703748319</v>
      </c>
      <c r="J65" s="29">
        <v>15585642.390000001</v>
      </c>
    </row>
    <row r="66" spans="1:60" ht="12.75" customHeight="1" x14ac:dyDescent="0.2">
      <c r="A66" s="663"/>
      <c r="B66" s="643" t="s">
        <v>1875</v>
      </c>
      <c r="C66" s="644">
        <v>0</v>
      </c>
      <c r="D66" s="644">
        <v>0</v>
      </c>
      <c r="E66" s="644">
        <v>360</v>
      </c>
      <c r="F66" s="644"/>
      <c r="G66" s="1051">
        <v>0</v>
      </c>
      <c r="H66" s="1055">
        <v>0</v>
      </c>
      <c r="I66" s="1056">
        <f t="shared" si="30"/>
        <v>21.712907117008442</v>
      </c>
      <c r="J66" s="29">
        <v>1658</v>
      </c>
    </row>
    <row r="67" spans="1:60" ht="12.75" customHeight="1" x14ac:dyDescent="0.2">
      <c r="A67" s="663"/>
      <c r="B67" s="643" t="s">
        <v>1059</v>
      </c>
      <c r="C67" s="644">
        <v>800000</v>
      </c>
      <c r="D67" s="644">
        <v>800000</v>
      </c>
      <c r="E67" s="644">
        <v>822240.89</v>
      </c>
      <c r="F67" s="644"/>
      <c r="G67" s="1051">
        <f t="shared" si="28"/>
        <v>102.78011124999999</v>
      </c>
      <c r="H67" s="1055">
        <f t="shared" si="29"/>
        <v>102.78011124999999</v>
      </c>
      <c r="I67" s="1056">
        <f t="shared" si="30"/>
        <v>85.751293526576944</v>
      </c>
      <c r="J67" s="29">
        <v>958867.04</v>
      </c>
    </row>
    <row r="68" spans="1:60" ht="12.75" customHeight="1" x14ac:dyDescent="0.2">
      <c r="A68" s="664"/>
      <c r="B68" s="643" t="s">
        <v>1060</v>
      </c>
      <c r="C68" s="644">
        <v>869000</v>
      </c>
      <c r="D68" s="644">
        <v>869000</v>
      </c>
      <c r="E68" s="644">
        <v>1391590.51</v>
      </c>
      <c r="F68" s="644"/>
      <c r="G68" s="1051">
        <f t="shared" si="28"/>
        <v>160.13699769850402</v>
      </c>
      <c r="H68" s="1055">
        <f t="shared" si="29"/>
        <v>160.13699769850402</v>
      </c>
      <c r="I68" s="1056">
        <f t="shared" si="30"/>
        <v>129.56957440583085</v>
      </c>
      <c r="J68" s="29">
        <v>1074010.25</v>
      </c>
    </row>
    <row r="69" spans="1:60" s="665" customFormat="1" ht="12.75" customHeight="1" x14ac:dyDescent="0.2">
      <c r="A69" s="664"/>
      <c r="B69" s="643" t="s">
        <v>2092</v>
      </c>
      <c r="C69" s="644">
        <v>0</v>
      </c>
      <c r="D69" s="644">
        <v>0</v>
      </c>
      <c r="E69" s="644">
        <v>37377.89</v>
      </c>
      <c r="F69" s="644"/>
      <c r="G69" s="1051">
        <v>0</v>
      </c>
      <c r="H69" s="1055">
        <v>0</v>
      </c>
      <c r="I69" s="1056">
        <v>0</v>
      </c>
      <c r="J69" s="29">
        <v>0</v>
      </c>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row>
    <row r="70" spans="1:60" s="665" customFormat="1" ht="12.75" customHeight="1" x14ac:dyDescent="0.2">
      <c r="A70" s="664"/>
      <c r="B70" s="643" t="s">
        <v>1876</v>
      </c>
      <c r="C70" s="644">
        <v>0</v>
      </c>
      <c r="D70" s="644">
        <v>20000</v>
      </c>
      <c r="E70" s="644">
        <v>20000</v>
      </c>
      <c r="F70" s="644"/>
      <c r="G70" s="1051">
        <v>0</v>
      </c>
      <c r="H70" s="1055">
        <f t="shared" si="29"/>
        <v>100</v>
      </c>
      <c r="I70" s="1056">
        <v>0</v>
      </c>
      <c r="J70" s="29">
        <v>0</v>
      </c>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row>
    <row r="71" spans="1:60" s="665" customFormat="1" ht="12.75" customHeight="1" x14ac:dyDescent="0.2">
      <c r="A71" s="664"/>
      <c r="B71" s="643" t="s">
        <v>1877</v>
      </c>
      <c r="C71" s="644">
        <v>0</v>
      </c>
      <c r="D71" s="644">
        <v>87410</v>
      </c>
      <c r="E71" s="644">
        <v>92570</v>
      </c>
      <c r="F71" s="644"/>
      <c r="G71" s="1051">
        <v>0</v>
      </c>
      <c r="H71" s="1055">
        <f t="shared" si="29"/>
        <v>105.90321473515615</v>
      </c>
      <c r="I71" s="1056">
        <v>0</v>
      </c>
      <c r="J71" s="29">
        <v>0</v>
      </c>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row>
    <row r="72" spans="1:60" s="665" customFormat="1" ht="12.75" customHeight="1" x14ac:dyDescent="0.2">
      <c r="A72" s="664"/>
      <c r="B72" s="643" t="s">
        <v>1061</v>
      </c>
      <c r="C72" s="644">
        <v>5555000</v>
      </c>
      <c r="D72" s="644">
        <f>5555000+1404681.67</f>
        <v>6959681.6699999999</v>
      </c>
      <c r="E72" s="644">
        <v>8569561.5800000001</v>
      </c>
      <c r="F72" s="644"/>
      <c r="G72" s="1051">
        <f t="shared" si="28"/>
        <v>154.26753519351934</v>
      </c>
      <c r="H72" s="1055">
        <f t="shared" si="29"/>
        <v>123.13151644477441</v>
      </c>
      <c r="I72" s="1056">
        <f t="shared" si="30"/>
        <v>136.43120732155396</v>
      </c>
      <c r="J72" s="29">
        <v>6281232.6799999997</v>
      </c>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row>
    <row r="73" spans="1:60" s="665" customFormat="1" ht="12.75" customHeight="1" x14ac:dyDescent="0.2">
      <c r="A73" s="664"/>
      <c r="B73" s="643" t="s">
        <v>1062</v>
      </c>
      <c r="C73" s="644">
        <v>1850000</v>
      </c>
      <c r="D73" s="644">
        <v>1850000</v>
      </c>
      <c r="E73" s="644">
        <v>1778560.14</v>
      </c>
      <c r="F73" s="644"/>
      <c r="G73" s="1051">
        <f t="shared" si="28"/>
        <v>96.138385945945942</v>
      </c>
      <c r="H73" s="1055">
        <f t="shared" si="29"/>
        <v>96.138385945945942</v>
      </c>
      <c r="I73" s="1056">
        <f t="shared" si="30"/>
        <v>116.19287252269133</v>
      </c>
      <c r="J73" s="29">
        <v>1530696.42</v>
      </c>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row>
    <row r="74" spans="1:60" s="665" customFormat="1" ht="12.75" customHeight="1" x14ac:dyDescent="0.2">
      <c r="A74" s="664"/>
      <c r="B74" s="643" t="s">
        <v>1063</v>
      </c>
      <c r="C74" s="644">
        <v>2600000</v>
      </c>
      <c r="D74" s="644">
        <v>2600000</v>
      </c>
      <c r="E74" s="644">
        <v>2685436</v>
      </c>
      <c r="F74" s="644"/>
      <c r="G74" s="1051">
        <f t="shared" si="28"/>
        <v>103.28599999999999</v>
      </c>
      <c r="H74" s="1055">
        <f t="shared" si="29"/>
        <v>103.28599999999999</v>
      </c>
      <c r="I74" s="1056">
        <f t="shared" si="30"/>
        <v>104.93394728286694</v>
      </c>
      <c r="J74" s="29">
        <v>2559168</v>
      </c>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row>
    <row r="75" spans="1:60" ht="12.75" customHeight="1" x14ac:dyDescent="0.2">
      <c r="A75" s="664"/>
      <c r="B75" s="643" t="s">
        <v>1064</v>
      </c>
      <c r="C75" s="644">
        <v>2700000</v>
      </c>
      <c r="D75" s="644">
        <f>2700000+300000</f>
        <v>3000000</v>
      </c>
      <c r="E75" s="644">
        <v>3878384</v>
      </c>
      <c r="F75" s="644"/>
      <c r="G75" s="1051">
        <f t="shared" si="28"/>
        <v>143.64385185185185</v>
      </c>
      <c r="H75" s="1055">
        <f t="shared" si="29"/>
        <v>129.27946666666668</v>
      </c>
      <c r="I75" s="1056">
        <f t="shared" si="30"/>
        <v>124.05798992856336</v>
      </c>
      <c r="J75" s="29">
        <v>3126267</v>
      </c>
    </row>
    <row r="76" spans="1:60" ht="12.75" customHeight="1" x14ac:dyDescent="0.2">
      <c r="A76" s="664"/>
      <c r="B76" s="643" t="s">
        <v>1065</v>
      </c>
      <c r="C76" s="644">
        <v>51000</v>
      </c>
      <c r="D76" s="644">
        <v>51000</v>
      </c>
      <c r="E76" s="644">
        <v>60200</v>
      </c>
      <c r="F76" s="644"/>
      <c r="G76" s="1051">
        <f t="shared" si="28"/>
        <v>118.03921568627452</v>
      </c>
      <c r="H76" s="1055">
        <f t="shared" si="29"/>
        <v>118.03921568627452</v>
      </c>
      <c r="I76" s="1056">
        <f t="shared" si="30"/>
        <v>116.66666666666667</v>
      </c>
      <c r="J76" s="29">
        <v>51600</v>
      </c>
    </row>
    <row r="77" spans="1:60" ht="12.75" customHeight="1" x14ac:dyDescent="0.2">
      <c r="A77" s="664"/>
      <c r="B77" s="643" t="s">
        <v>1066</v>
      </c>
      <c r="C77" s="644">
        <v>500</v>
      </c>
      <c r="D77" s="644">
        <v>500</v>
      </c>
      <c r="E77" s="644">
        <v>4257</v>
      </c>
      <c r="F77" s="644"/>
      <c r="G77" s="1051">
        <f t="shared" si="28"/>
        <v>851.4</v>
      </c>
      <c r="H77" s="1055">
        <f t="shared" si="29"/>
        <v>851.4</v>
      </c>
      <c r="I77" s="1056">
        <f t="shared" si="30"/>
        <v>198.64675688287448</v>
      </c>
      <c r="J77" s="29">
        <v>2143</v>
      </c>
    </row>
    <row r="78" spans="1:60" s="666" customFormat="1" x14ac:dyDescent="0.2">
      <c r="A78" s="663">
        <v>2119</v>
      </c>
      <c r="B78" s="634" t="s">
        <v>1067</v>
      </c>
      <c r="C78" s="637">
        <v>4041000</v>
      </c>
      <c r="D78" s="637">
        <v>4041000</v>
      </c>
      <c r="E78" s="637">
        <v>2327590.84</v>
      </c>
      <c r="F78" s="644"/>
      <c r="G78" s="630">
        <f t="shared" si="28"/>
        <v>57.599377381836177</v>
      </c>
      <c r="H78" s="1052">
        <f t="shared" si="29"/>
        <v>57.599377381836177</v>
      </c>
      <c r="I78" s="631">
        <f t="shared" si="30"/>
        <v>148.04753812690709</v>
      </c>
      <c r="J78" s="29">
        <v>1572191.52</v>
      </c>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c r="AL78" s="98"/>
      <c r="AM78" s="98"/>
      <c r="AN78" s="98"/>
      <c r="AO78" s="98"/>
      <c r="AP78" s="98"/>
      <c r="AQ78" s="98"/>
      <c r="AR78" s="98"/>
      <c r="AS78" s="98"/>
      <c r="AT78" s="98"/>
      <c r="AU78" s="98"/>
      <c r="AV78" s="98"/>
      <c r="AW78" s="98"/>
      <c r="AX78" s="98"/>
      <c r="AY78" s="98"/>
      <c r="AZ78" s="98"/>
      <c r="BA78" s="98"/>
      <c r="BB78" s="98"/>
      <c r="BC78" s="98"/>
      <c r="BD78" s="98"/>
      <c r="BE78" s="98"/>
      <c r="BF78" s="98"/>
      <c r="BG78" s="98"/>
      <c r="BH78" s="98"/>
    </row>
    <row r="79" spans="1:60" s="1038" customFormat="1" ht="12.75" customHeight="1" x14ac:dyDescent="0.2">
      <c r="A79" s="663">
        <v>2122</v>
      </c>
      <c r="B79" s="629" t="s">
        <v>1068</v>
      </c>
      <c r="C79" s="1184">
        <f>3482748.36+196380+4788</f>
        <v>3683916.36</v>
      </c>
      <c r="D79" s="1184">
        <f>3482748.36+196380+4788+384+43797+270-3504+262743</f>
        <v>3987606.36</v>
      </c>
      <c r="E79" s="1184">
        <v>3987606.36</v>
      </c>
      <c r="F79" s="1185"/>
      <c r="G79" s="630">
        <f t="shared" si="28"/>
        <v>108.24367250292295</v>
      </c>
      <c r="H79" s="1052">
        <f t="shared" si="29"/>
        <v>100</v>
      </c>
      <c r="I79" s="639">
        <f t="shared" si="30"/>
        <v>102.35242594549673</v>
      </c>
      <c r="J79" s="1037">
        <v>3895956.86</v>
      </c>
    </row>
    <row r="80" spans="1:60" s="98" customFormat="1" ht="27" customHeight="1" x14ac:dyDescent="0.2">
      <c r="A80" s="663">
        <v>2131</v>
      </c>
      <c r="B80" s="634" t="s">
        <v>1069</v>
      </c>
      <c r="C80" s="637">
        <v>1150000</v>
      </c>
      <c r="D80" s="637">
        <v>1150000</v>
      </c>
      <c r="E80" s="637">
        <v>1420119.04</v>
      </c>
      <c r="F80" s="644"/>
      <c r="G80" s="630">
        <f t="shared" si="28"/>
        <v>123.48861217391305</v>
      </c>
      <c r="H80" s="1052">
        <f t="shared" si="29"/>
        <v>123.48861217391305</v>
      </c>
      <c r="I80" s="639">
        <f t="shared" si="30"/>
        <v>8.3221600753851845</v>
      </c>
      <c r="J80" s="1037">
        <v>17064308.149999999</v>
      </c>
    </row>
    <row r="81" spans="1:60" s="98" customFormat="1" ht="12.75" customHeight="1" x14ac:dyDescent="0.2">
      <c r="A81" s="663">
        <v>2132</v>
      </c>
      <c r="B81" s="629" t="s">
        <v>1070</v>
      </c>
      <c r="C81" s="635">
        <f>SUM(C82:C92)</f>
        <v>98533661.960000008</v>
      </c>
      <c r="D81" s="635">
        <f>SUM(D82:D92)</f>
        <v>91161123.960000008</v>
      </c>
      <c r="E81" s="635">
        <v>102691372</v>
      </c>
      <c r="F81" s="652">
        <f>SUM(E82:E92)</f>
        <v>102691372</v>
      </c>
      <c r="G81" s="630">
        <f t="shared" si="28"/>
        <v>104.21958339647199</v>
      </c>
      <c r="H81" s="1052">
        <f t="shared" si="29"/>
        <v>112.64820741466426</v>
      </c>
      <c r="I81" s="631">
        <f t="shared" si="30"/>
        <v>105.67693021314935</v>
      </c>
      <c r="J81" s="29">
        <v>97174825</v>
      </c>
    </row>
    <row r="82" spans="1:60" ht="12.75" customHeight="1" x14ac:dyDescent="0.2">
      <c r="A82" s="664"/>
      <c r="B82" s="643" t="s">
        <v>1071</v>
      </c>
      <c r="C82" s="644">
        <v>750000</v>
      </c>
      <c r="D82" s="644">
        <v>750000</v>
      </c>
      <c r="E82" s="644">
        <v>771392.5</v>
      </c>
      <c r="F82" s="644"/>
      <c r="G82" s="1051">
        <f t="shared" si="28"/>
        <v>102.85233333333332</v>
      </c>
      <c r="H82" s="1055">
        <f t="shared" si="29"/>
        <v>102.85233333333332</v>
      </c>
      <c r="I82" s="1056">
        <f t="shared" si="30"/>
        <v>113.10068830223426</v>
      </c>
      <c r="J82" s="29">
        <v>682040.5</v>
      </c>
    </row>
    <row r="83" spans="1:60" ht="12.75" customHeight="1" x14ac:dyDescent="0.2">
      <c r="A83" s="664"/>
      <c r="B83" s="643" t="s">
        <v>1072</v>
      </c>
      <c r="C83" s="644">
        <v>0</v>
      </c>
      <c r="D83" s="644">
        <v>0</v>
      </c>
      <c r="E83" s="644">
        <v>5481</v>
      </c>
      <c r="F83" s="644"/>
      <c r="G83" s="1051">
        <v>0</v>
      </c>
      <c r="H83" s="1055">
        <v>0</v>
      </c>
      <c r="I83" s="1056">
        <f t="shared" si="30"/>
        <v>72.225714251829359</v>
      </c>
      <c r="J83" s="29">
        <v>7588.71</v>
      </c>
    </row>
    <row r="84" spans="1:60" ht="12.75" customHeight="1" x14ac:dyDescent="0.2">
      <c r="A84" s="664"/>
      <c r="B84" s="643" t="s">
        <v>1073</v>
      </c>
      <c r="C84" s="644">
        <v>600000</v>
      </c>
      <c r="D84" s="644">
        <v>600000</v>
      </c>
      <c r="E84" s="644">
        <v>723683.48</v>
      </c>
      <c r="F84" s="644"/>
      <c r="G84" s="1051">
        <f t="shared" si="28"/>
        <v>120.61391333333333</v>
      </c>
      <c r="H84" s="1055">
        <f t="shared" si="29"/>
        <v>120.61391333333333</v>
      </c>
      <c r="I84" s="1056">
        <f t="shared" si="30"/>
        <v>77.910729534205174</v>
      </c>
      <c r="J84" s="29">
        <v>928862.41</v>
      </c>
    </row>
    <row r="85" spans="1:60" s="665" customFormat="1" ht="12.75" customHeight="1" x14ac:dyDescent="0.2">
      <c r="A85" s="664"/>
      <c r="B85" s="643" t="s">
        <v>1074</v>
      </c>
      <c r="C85" s="644">
        <v>300000</v>
      </c>
      <c r="D85" s="644">
        <f>300000+9000</f>
        <v>309000</v>
      </c>
      <c r="E85" s="644">
        <v>308993.67</v>
      </c>
      <c r="F85" s="644"/>
      <c r="G85" s="1051">
        <f t="shared" si="28"/>
        <v>102.99789</v>
      </c>
      <c r="H85" s="1055">
        <f t="shared" si="29"/>
        <v>99.997951456310673</v>
      </c>
      <c r="I85" s="1056">
        <f t="shared" si="30"/>
        <v>111.32499999999999</v>
      </c>
      <c r="J85" s="29">
        <v>277560</v>
      </c>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row>
    <row r="86" spans="1:60" s="665" customFormat="1" ht="12.75" customHeight="1" x14ac:dyDescent="0.2">
      <c r="A86" s="664"/>
      <c r="B86" s="650" t="s">
        <v>1075</v>
      </c>
      <c r="C86" s="644">
        <v>60721000</v>
      </c>
      <c r="D86" s="644">
        <v>60721000</v>
      </c>
      <c r="E86" s="644">
        <v>70360493.269999996</v>
      </c>
      <c r="F86" s="644"/>
      <c r="G86" s="1051">
        <f t="shared" si="28"/>
        <v>115.87505685018363</v>
      </c>
      <c r="H86" s="1055">
        <f t="shared" si="29"/>
        <v>115.87505685018363</v>
      </c>
      <c r="I86" s="670">
        <f t="shared" si="30"/>
        <v>120.64944432386633</v>
      </c>
      <c r="J86" s="1037">
        <v>58318124.600000001</v>
      </c>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row>
    <row r="87" spans="1:60" x14ac:dyDescent="0.2">
      <c r="A87" s="664"/>
      <c r="B87" s="650" t="s">
        <v>1076</v>
      </c>
      <c r="C87" s="644">
        <v>110123.96</v>
      </c>
      <c r="D87" s="644">
        <v>110123.96</v>
      </c>
      <c r="E87" s="644">
        <v>116249.88</v>
      </c>
      <c r="F87" s="644"/>
      <c r="G87" s="1051">
        <f t="shared" si="28"/>
        <v>105.56274946887126</v>
      </c>
      <c r="H87" s="1055">
        <f t="shared" si="29"/>
        <v>105.56274946887126</v>
      </c>
      <c r="I87" s="1056">
        <f t="shared" si="30"/>
        <v>89.429258421821586</v>
      </c>
      <c r="J87" s="29">
        <v>129990.88</v>
      </c>
    </row>
    <row r="88" spans="1:60" ht="12.75" customHeight="1" x14ac:dyDescent="0.2">
      <c r="A88" s="664"/>
      <c r="B88" s="643" t="s">
        <v>1077</v>
      </c>
      <c r="C88" s="644">
        <v>470000</v>
      </c>
      <c r="D88" s="644">
        <v>470000</v>
      </c>
      <c r="E88" s="644">
        <v>536860.14</v>
      </c>
      <c r="F88" s="644"/>
      <c r="G88" s="1051">
        <f t="shared" si="28"/>
        <v>114.22556170212765</v>
      </c>
      <c r="H88" s="1055">
        <f t="shared" si="29"/>
        <v>114.22556170212765</v>
      </c>
      <c r="I88" s="1056">
        <f t="shared" si="30"/>
        <v>98.845837155401455</v>
      </c>
      <c r="J88" s="29">
        <v>543128.73</v>
      </c>
    </row>
    <row r="89" spans="1:60" s="665" customFormat="1" ht="25.5" customHeight="1" x14ac:dyDescent="0.2">
      <c r="A89" s="664"/>
      <c r="B89" s="668" t="s">
        <v>1078</v>
      </c>
      <c r="C89" s="644">
        <v>16666000</v>
      </c>
      <c r="D89" s="644">
        <v>16666000</v>
      </c>
      <c r="E89" s="644">
        <v>18310830.059999999</v>
      </c>
      <c r="F89" s="644"/>
      <c r="G89" s="1051">
        <f t="shared" si="28"/>
        <v>109.86937513500538</v>
      </c>
      <c r="H89" s="1055">
        <f t="shared" si="29"/>
        <v>109.86937513500538</v>
      </c>
      <c r="I89" s="670">
        <f t="shared" si="30"/>
        <v>105.4689106356103</v>
      </c>
      <c r="J89" s="1037">
        <v>17361353.170000002</v>
      </c>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row>
    <row r="90" spans="1:60" s="665" customFormat="1" ht="12.75" customHeight="1" x14ac:dyDescent="0.2">
      <c r="A90" s="664"/>
      <c r="B90" s="643" t="s">
        <v>1079</v>
      </c>
      <c r="C90" s="644">
        <v>18881538</v>
      </c>
      <c r="D90" s="644">
        <f>18881538-7381538</f>
        <v>11500000</v>
      </c>
      <c r="E90" s="644">
        <v>11500000</v>
      </c>
      <c r="F90" s="644"/>
      <c r="G90" s="1051">
        <f t="shared" si="28"/>
        <v>60.90605542832369</v>
      </c>
      <c r="H90" s="1055">
        <f t="shared" si="29"/>
        <v>100</v>
      </c>
      <c r="I90" s="1056">
        <f t="shared" si="30"/>
        <v>60.90605542832369</v>
      </c>
      <c r="J90" s="29">
        <v>18881538</v>
      </c>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row>
    <row r="91" spans="1:60" s="665" customFormat="1" ht="12.75" customHeight="1" x14ac:dyDescent="0.2">
      <c r="A91" s="664"/>
      <c r="B91" s="643" t="s">
        <v>1080</v>
      </c>
      <c r="C91" s="644">
        <v>20000</v>
      </c>
      <c r="D91" s="644">
        <v>20000</v>
      </c>
      <c r="E91" s="644">
        <v>28300</v>
      </c>
      <c r="F91" s="644"/>
      <c r="G91" s="1051">
        <f t="shared" si="28"/>
        <v>141.5</v>
      </c>
      <c r="H91" s="1055">
        <f t="shared" si="29"/>
        <v>141.5</v>
      </c>
      <c r="I91" s="1056">
        <f t="shared" si="30"/>
        <v>147.01298701298703</v>
      </c>
      <c r="J91" s="29">
        <v>19250</v>
      </c>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row>
    <row r="92" spans="1:60" ht="12.75" customHeight="1" x14ac:dyDescent="0.2">
      <c r="A92" s="664"/>
      <c r="B92" s="643" t="s">
        <v>1081</v>
      </c>
      <c r="C92" s="644">
        <v>15000</v>
      </c>
      <c r="D92" s="644">
        <v>15000</v>
      </c>
      <c r="E92" s="644">
        <v>29088</v>
      </c>
      <c r="F92" s="644"/>
      <c r="G92" s="1051">
        <f t="shared" si="28"/>
        <v>193.92000000000002</v>
      </c>
      <c r="H92" s="1055">
        <f t="shared" si="29"/>
        <v>193.92000000000002</v>
      </c>
      <c r="I92" s="1056">
        <f t="shared" si="30"/>
        <v>114.57381440050418</v>
      </c>
      <c r="J92" s="29">
        <v>25388</v>
      </c>
    </row>
    <row r="93" spans="1:60" s="98" customFormat="1" ht="12.75" customHeight="1" x14ac:dyDescent="0.2">
      <c r="A93" s="663">
        <v>2141</v>
      </c>
      <c r="B93" s="629" t="s">
        <v>118</v>
      </c>
      <c r="C93" s="637">
        <v>10000</v>
      </c>
      <c r="D93" s="637">
        <v>10000</v>
      </c>
      <c r="E93" s="637">
        <v>3170.62</v>
      </c>
      <c r="F93" s="644"/>
      <c r="G93" s="630">
        <f t="shared" si="28"/>
        <v>31.706200000000003</v>
      </c>
      <c r="H93" s="1052">
        <f t="shared" si="29"/>
        <v>31.706200000000003</v>
      </c>
      <c r="I93" s="631">
        <f t="shared" si="30"/>
        <v>0.2359423107796797</v>
      </c>
      <c r="J93" s="29">
        <v>1343811.54</v>
      </c>
    </row>
    <row r="94" spans="1:60" s="98" customFormat="1" ht="12.75" customHeight="1" x14ac:dyDescent="0.2">
      <c r="A94" s="663">
        <v>2212</v>
      </c>
      <c r="B94" s="629" t="s">
        <v>1082</v>
      </c>
      <c r="C94" s="635">
        <f>SUM(C95:C108)</f>
        <v>11537000</v>
      </c>
      <c r="D94" s="635">
        <f>SUM(D95:D108)</f>
        <v>11889514.35</v>
      </c>
      <c r="E94" s="635">
        <v>13301812.58</v>
      </c>
      <c r="F94" s="652">
        <f>SUM(E95:E108)</f>
        <v>13301812.58</v>
      </c>
      <c r="G94" s="630">
        <f t="shared" si="28"/>
        <v>115.29697997746382</v>
      </c>
      <c r="H94" s="1052">
        <f t="shared" si="29"/>
        <v>111.87851907508737</v>
      </c>
      <c r="I94" s="631">
        <f t="shared" si="30"/>
        <v>120.05214145004692</v>
      </c>
      <c r="J94" s="29">
        <v>11080029.41</v>
      </c>
    </row>
    <row r="95" spans="1:60" ht="12.75" customHeight="1" x14ac:dyDescent="0.2">
      <c r="A95" s="642"/>
      <c r="B95" s="643" t="s">
        <v>1084</v>
      </c>
      <c r="C95" s="644">
        <v>12000</v>
      </c>
      <c r="D95" s="644">
        <v>12000</v>
      </c>
      <c r="E95" s="644">
        <v>33900</v>
      </c>
      <c r="F95" s="644"/>
      <c r="G95" s="1051">
        <f t="shared" si="28"/>
        <v>282.5</v>
      </c>
      <c r="H95" s="1055">
        <f t="shared" si="29"/>
        <v>282.5</v>
      </c>
      <c r="I95" s="1056">
        <f t="shared" si="30"/>
        <v>200.59171597633133</v>
      </c>
      <c r="J95" s="29">
        <v>16900</v>
      </c>
    </row>
    <row r="96" spans="1:60" ht="12.75" customHeight="1" x14ac:dyDescent="0.2">
      <c r="A96" s="664"/>
      <c r="B96" s="643" t="s">
        <v>121</v>
      </c>
      <c r="C96" s="644">
        <v>55000</v>
      </c>
      <c r="D96" s="644">
        <f>55000+36600</f>
        <v>91600</v>
      </c>
      <c r="E96" s="644">
        <v>120825</v>
      </c>
      <c r="F96" s="644"/>
      <c r="G96" s="1051">
        <f t="shared" ref="G96:G109" si="32">E96/C96*100</f>
        <v>219.68181818181819</v>
      </c>
      <c r="H96" s="1055">
        <f t="shared" ref="H96:H127" si="33">E96/D96*100</f>
        <v>131.90502183406113</v>
      </c>
      <c r="I96" s="1056">
        <f t="shared" ref="I96:I133" si="34">E96/J96*100</f>
        <v>123.03971486761711</v>
      </c>
      <c r="J96" s="29">
        <v>98200</v>
      </c>
    </row>
    <row r="97" spans="1:60" ht="12.75" customHeight="1" x14ac:dyDescent="0.2">
      <c r="A97" s="664"/>
      <c r="B97" s="643" t="s">
        <v>1878</v>
      </c>
      <c r="C97" s="669">
        <v>0</v>
      </c>
      <c r="D97" s="669">
        <f>(144589.67+12000)</f>
        <v>156589.67000000001</v>
      </c>
      <c r="E97" s="669">
        <v>168589.67</v>
      </c>
      <c r="F97" s="669"/>
      <c r="G97" s="1051">
        <v>0</v>
      </c>
      <c r="H97" s="1055">
        <f t="shared" si="33"/>
        <v>107.66334075549173</v>
      </c>
      <c r="I97" s="1056">
        <v>0</v>
      </c>
      <c r="J97" s="29">
        <v>0</v>
      </c>
    </row>
    <row r="98" spans="1:60" ht="12.75" customHeight="1" x14ac:dyDescent="0.2">
      <c r="A98" s="664"/>
      <c r="B98" s="643" t="s">
        <v>1085</v>
      </c>
      <c r="C98" s="669">
        <v>2500000</v>
      </c>
      <c r="D98" s="669">
        <v>2500000</v>
      </c>
      <c r="E98" s="669">
        <f>2207653.52+1000+95600</f>
        <v>2304253.52</v>
      </c>
      <c r="F98" s="669">
        <f>SUM(E98:E100)</f>
        <v>11446818.779999999</v>
      </c>
      <c r="G98" s="1051">
        <f t="shared" si="32"/>
        <v>92.170140799999999</v>
      </c>
      <c r="H98" s="1055">
        <f t="shared" si="33"/>
        <v>92.170140799999999</v>
      </c>
      <c r="I98" s="1056">
        <f t="shared" si="34"/>
        <v>90.772080472303557</v>
      </c>
      <c r="J98" s="29">
        <v>2538504.69</v>
      </c>
    </row>
    <row r="99" spans="1:60" ht="12.75" customHeight="1" x14ac:dyDescent="0.2">
      <c r="A99" s="664"/>
      <c r="B99" s="643" t="s">
        <v>1086</v>
      </c>
      <c r="C99" s="669">
        <v>7500000</v>
      </c>
      <c r="D99" s="669">
        <v>7500000</v>
      </c>
      <c r="E99" s="669">
        <f>1402450+6497660.87+1352554.39+4000-301000</f>
        <v>8955665.2599999998</v>
      </c>
      <c r="F99" s="669"/>
      <c r="G99" s="1051">
        <f t="shared" si="32"/>
        <v>119.40887013333332</v>
      </c>
      <c r="H99" s="1055">
        <f t="shared" si="33"/>
        <v>119.40887013333332</v>
      </c>
      <c r="I99" s="1056">
        <f t="shared" si="34"/>
        <v>149.64617716256498</v>
      </c>
      <c r="J99" s="29">
        <v>5984560</v>
      </c>
    </row>
    <row r="100" spans="1:60" ht="12.75" customHeight="1" x14ac:dyDescent="0.2">
      <c r="A100" s="664"/>
      <c r="B100" s="643" t="s">
        <v>1879</v>
      </c>
      <c r="C100" s="669">
        <v>0</v>
      </c>
      <c r="D100" s="669">
        <v>0</v>
      </c>
      <c r="E100" s="669">
        <v>186900</v>
      </c>
      <c r="F100" s="669"/>
      <c r="G100" s="1051">
        <v>0</v>
      </c>
      <c r="H100" s="1055">
        <v>0</v>
      </c>
      <c r="I100" s="1056">
        <f t="shared" si="34"/>
        <v>59.861444297468779</v>
      </c>
      <c r="J100" s="29">
        <v>312221</v>
      </c>
    </row>
    <row r="101" spans="1:60" s="665" customFormat="1" ht="12.75" customHeight="1" x14ac:dyDescent="0.2">
      <c r="A101" s="664"/>
      <c r="B101" s="643" t="s">
        <v>1880</v>
      </c>
      <c r="C101" s="644">
        <v>400000</v>
      </c>
      <c r="D101" s="644">
        <v>400000</v>
      </c>
      <c r="E101" s="644">
        <v>39372.800000000003</v>
      </c>
      <c r="F101" s="644"/>
      <c r="G101" s="1051">
        <f t="shared" si="32"/>
        <v>9.8432000000000013</v>
      </c>
      <c r="H101" s="1055">
        <f t="shared" si="33"/>
        <v>9.8432000000000013</v>
      </c>
      <c r="I101" s="1056">
        <f t="shared" si="34"/>
        <v>11.113797389586546</v>
      </c>
      <c r="J101" s="29">
        <v>354269.55</v>
      </c>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row>
    <row r="102" spans="1:60" s="665" customFormat="1" ht="12.75" customHeight="1" x14ac:dyDescent="0.2">
      <c r="A102" s="664"/>
      <c r="B102" s="643" t="s">
        <v>1881</v>
      </c>
      <c r="C102" s="644">
        <v>50000</v>
      </c>
      <c r="D102" s="644">
        <f>50000+65755.68</f>
        <v>115755.68</v>
      </c>
      <c r="E102" s="644">
        <v>115755.68</v>
      </c>
      <c r="F102" s="644"/>
      <c r="G102" s="1051">
        <f t="shared" si="32"/>
        <v>231.51135999999997</v>
      </c>
      <c r="H102" s="1055">
        <f t="shared" si="33"/>
        <v>100</v>
      </c>
      <c r="I102" s="1056">
        <f t="shared" si="34"/>
        <v>280.73266782139342</v>
      </c>
      <c r="J102" s="29">
        <v>41233.42</v>
      </c>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row>
    <row r="103" spans="1:60" ht="12.75" customHeight="1" x14ac:dyDescent="0.2">
      <c r="A103" s="664"/>
      <c r="B103" s="643" t="s">
        <v>126</v>
      </c>
      <c r="C103" s="644">
        <v>0</v>
      </c>
      <c r="D103" s="644">
        <v>28500</v>
      </c>
      <c r="E103" s="644">
        <v>36500</v>
      </c>
      <c r="F103" s="644"/>
      <c r="G103" s="1051">
        <v>0</v>
      </c>
      <c r="H103" s="1055">
        <f t="shared" si="33"/>
        <v>128.07017543859649</v>
      </c>
      <c r="I103" s="1056">
        <f t="shared" si="34"/>
        <v>243.33333333333331</v>
      </c>
      <c r="J103" s="29">
        <v>15000</v>
      </c>
    </row>
    <row r="104" spans="1:60" ht="12.75" customHeight="1" x14ac:dyDescent="0.2">
      <c r="A104" s="664"/>
      <c r="B104" s="643" t="s">
        <v>1089</v>
      </c>
      <c r="C104" s="644">
        <v>650000</v>
      </c>
      <c r="D104" s="644">
        <v>650000</v>
      </c>
      <c r="E104" s="644">
        <v>655460.4</v>
      </c>
      <c r="F104" s="644"/>
      <c r="G104" s="1051">
        <f t="shared" si="32"/>
        <v>100.84006153846154</v>
      </c>
      <c r="H104" s="1055">
        <f t="shared" si="33"/>
        <v>100.84006153846154</v>
      </c>
      <c r="I104" s="1056">
        <f t="shared" si="34"/>
        <v>88.765920310310293</v>
      </c>
      <c r="J104" s="29">
        <v>738414.47</v>
      </c>
    </row>
    <row r="105" spans="1:60" ht="12.75" customHeight="1" x14ac:dyDescent="0.2">
      <c r="A105" s="664"/>
      <c r="B105" s="643" t="s">
        <v>2093</v>
      </c>
      <c r="C105" s="644">
        <v>0</v>
      </c>
      <c r="D105" s="644">
        <v>0</v>
      </c>
      <c r="E105" s="644">
        <v>240752</v>
      </c>
      <c r="F105" s="644"/>
      <c r="G105" s="1051">
        <v>0</v>
      </c>
      <c r="H105" s="1055">
        <v>0</v>
      </c>
      <c r="I105" s="1056">
        <f>E105/J105*100</f>
        <v>49.936046094020405</v>
      </c>
      <c r="J105" s="29">
        <v>482120.67</v>
      </c>
    </row>
    <row r="106" spans="1:60" ht="12.75" customHeight="1" x14ac:dyDescent="0.2">
      <c r="A106" s="664"/>
      <c r="B106" s="643" t="s">
        <v>1090</v>
      </c>
      <c r="C106" s="644">
        <v>350000</v>
      </c>
      <c r="D106" s="644">
        <v>350000</v>
      </c>
      <c r="E106" s="644">
        <v>361469.25</v>
      </c>
      <c r="F106" s="644"/>
      <c r="G106" s="1051">
        <f t="shared" si="32"/>
        <v>103.27692857142856</v>
      </c>
      <c r="H106" s="1055">
        <f t="shared" si="33"/>
        <v>103.27692857142856</v>
      </c>
      <c r="I106" s="1056">
        <f t="shared" si="34"/>
        <v>93.212130407927106</v>
      </c>
      <c r="J106" s="29">
        <v>387792.07</v>
      </c>
    </row>
    <row r="107" spans="1:60" s="126" customFormat="1" ht="12.75" customHeight="1" x14ac:dyDescent="0.2">
      <c r="A107" s="642"/>
      <c r="B107" s="643" t="s">
        <v>1091</v>
      </c>
      <c r="C107" s="644">
        <v>20000</v>
      </c>
      <c r="D107" s="644">
        <v>20000</v>
      </c>
      <c r="E107" s="644">
        <v>15100</v>
      </c>
      <c r="F107" s="644"/>
      <c r="G107" s="1051">
        <f t="shared" si="32"/>
        <v>75.5</v>
      </c>
      <c r="H107" s="1055">
        <f t="shared" si="33"/>
        <v>75.5</v>
      </c>
      <c r="I107" s="1056">
        <f t="shared" si="34"/>
        <v>61.257606490872206</v>
      </c>
      <c r="J107" s="29">
        <v>24650</v>
      </c>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row>
    <row r="108" spans="1:60" s="126" customFormat="1" ht="12.75" customHeight="1" x14ac:dyDescent="0.2">
      <c r="A108" s="642"/>
      <c r="B108" s="643" t="s">
        <v>1882</v>
      </c>
      <c r="C108" s="644">
        <v>0</v>
      </c>
      <c r="D108" s="644">
        <v>65069</v>
      </c>
      <c r="E108" s="644">
        <v>67269</v>
      </c>
      <c r="F108" s="644"/>
      <c r="G108" s="1051">
        <v>0</v>
      </c>
      <c r="H108" s="1055">
        <f t="shared" si="33"/>
        <v>103.38102629516359</v>
      </c>
      <c r="I108" s="1056">
        <f t="shared" si="34"/>
        <v>13.952730962561718</v>
      </c>
      <c r="J108" s="29">
        <v>482120.67</v>
      </c>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row>
    <row r="109" spans="1:60" ht="12.75" customHeight="1" x14ac:dyDescent="0.2">
      <c r="A109" s="663">
        <v>2229</v>
      </c>
      <c r="B109" s="629" t="s">
        <v>1093</v>
      </c>
      <c r="C109" s="635">
        <f>SUM(C110:C122)</f>
        <v>1000000</v>
      </c>
      <c r="D109" s="635">
        <f>SUM(D110:D122)</f>
        <v>8472639.0500000007</v>
      </c>
      <c r="E109" s="635">
        <v>9742837.3200000003</v>
      </c>
      <c r="F109" s="724">
        <f>SUM(E110:E122)</f>
        <v>9742837.3199999984</v>
      </c>
      <c r="G109" s="630">
        <f t="shared" si="32"/>
        <v>974.28373199999999</v>
      </c>
      <c r="H109" s="1052">
        <f t="shared" si="33"/>
        <v>114.99176658540647</v>
      </c>
      <c r="I109" s="631">
        <f t="shared" si="34"/>
        <v>97.820082078091957</v>
      </c>
      <c r="J109" s="29">
        <v>9959956.1899999995</v>
      </c>
      <c r="K109" s="150"/>
    </row>
    <row r="110" spans="1:60" ht="12.75" customHeight="1" x14ac:dyDescent="0.2">
      <c r="A110" s="664"/>
      <c r="B110" s="643" t="s">
        <v>1883</v>
      </c>
      <c r="C110" s="644">
        <v>0</v>
      </c>
      <c r="D110" s="644">
        <f>(91051.59+159661.95)</f>
        <v>250713.54</v>
      </c>
      <c r="E110" s="644">
        <v>250713.54</v>
      </c>
      <c r="F110" s="644"/>
      <c r="G110" s="1051">
        <v>0</v>
      </c>
      <c r="H110" s="1055">
        <f t="shared" si="33"/>
        <v>100</v>
      </c>
      <c r="I110" s="1056">
        <f t="shared" si="34"/>
        <v>180.07576133026208</v>
      </c>
      <c r="J110" s="29">
        <v>139226.70000000001</v>
      </c>
      <c r="K110" s="150"/>
    </row>
    <row r="111" spans="1:60" ht="12.75" customHeight="1" x14ac:dyDescent="0.2">
      <c r="A111" s="664"/>
      <c r="B111" s="643" t="s">
        <v>1096</v>
      </c>
      <c r="C111" s="644">
        <v>0</v>
      </c>
      <c r="D111" s="644">
        <v>29886.84</v>
      </c>
      <c r="E111" s="644">
        <v>29886.84</v>
      </c>
      <c r="F111" s="644"/>
      <c r="G111" s="1051">
        <v>0</v>
      </c>
      <c r="H111" s="1055">
        <f t="shared" si="33"/>
        <v>100</v>
      </c>
      <c r="I111" s="1056">
        <f t="shared" si="34"/>
        <v>26.124218452326474</v>
      </c>
      <c r="J111" s="29">
        <v>114402.81</v>
      </c>
      <c r="K111" s="150"/>
    </row>
    <row r="112" spans="1:60" ht="12.75" customHeight="1" x14ac:dyDescent="0.2">
      <c r="A112" s="664"/>
      <c r="B112" s="643" t="s">
        <v>1097</v>
      </c>
      <c r="C112" s="644">
        <v>0</v>
      </c>
      <c r="D112" s="644">
        <v>305600.84999999998</v>
      </c>
      <c r="E112" s="644">
        <v>305600.84999999998</v>
      </c>
      <c r="F112" s="644"/>
      <c r="G112" s="1051">
        <v>0</v>
      </c>
      <c r="H112" s="1055">
        <f t="shared" si="33"/>
        <v>100</v>
      </c>
      <c r="I112" s="1056">
        <f t="shared" si="34"/>
        <v>137.59108574327544</v>
      </c>
      <c r="J112" s="29">
        <v>222108.03</v>
      </c>
      <c r="K112" s="150"/>
    </row>
    <row r="113" spans="1:60" ht="12.75" customHeight="1" x14ac:dyDescent="0.2">
      <c r="A113" s="664"/>
      <c r="B113" s="643" t="s">
        <v>1098</v>
      </c>
      <c r="C113" s="644">
        <v>0</v>
      </c>
      <c r="D113" s="644">
        <v>151277.28</v>
      </c>
      <c r="E113" s="644">
        <v>151277.28</v>
      </c>
      <c r="F113" s="644"/>
      <c r="G113" s="1051">
        <v>0</v>
      </c>
      <c r="H113" s="1055">
        <f t="shared" si="33"/>
        <v>100</v>
      </c>
      <c r="I113" s="1056">
        <f t="shared" si="34"/>
        <v>64.700391767745032</v>
      </c>
      <c r="J113" s="29">
        <v>233812</v>
      </c>
      <c r="K113" s="150"/>
    </row>
    <row r="114" spans="1:60" ht="12.75" customHeight="1" x14ac:dyDescent="0.2">
      <c r="A114" s="664"/>
      <c r="B114" s="643" t="s">
        <v>1099</v>
      </c>
      <c r="C114" s="644">
        <v>1000000</v>
      </c>
      <c r="D114" s="644">
        <f>1000000+5706845.54-1000000</f>
        <v>5706845.54</v>
      </c>
      <c r="E114" s="644">
        <v>5706845.54</v>
      </c>
      <c r="F114" s="644"/>
      <c r="G114" s="1051">
        <f t="shared" ref="G114:G176" si="35">E114/C114*100</f>
        <v>570.68455399999993</v>
      </c>
      <c r="H114" s="1055">
        <f t="shared" si="33"/>
        <v>100</v>
      </c>
      <c r="I114" s="1056">
        <f t="shared" si="34"/>
        <v>65.906046116850732</v>
      </c>
      <c r="J114" s="29">
        <v>8659062.2200000007</v>
      </c>
      <c r="K114" s="150"/>
    </row>
    <row r="115" spans="1:60" ht="12.75" customHeight="1" x14ac:dyDescent="0.2">
      <c r="A115" s="664"/>
      <c r="B115" s="643" t="s">
        <v>1884</v>
      </c>
      <c r="C115" s="644">
        <v>0</v>
      </c>
      <c r="D115" s="644">
        <v>1457025.42</v>
      </c>
      <c r="E115" s="644">
        <v>1457025.42</v>
      </c>
      <c r="F115" s="644"/>
      <c r="G115" s="1051">
        <v>0</v>
      </c>
      <c r="H115" s="1055">
        <f t="shared" si="33"/>
        <v>100</v>
      </c>
      <c r="I115" s="1056">
        <v>0</v>
      </c>
      <c r="J115" s="29">
        <v>0</v>
      </c>
      <c r="K115" s="150"/>
    </row>
    <row r="116" spans="1:60" ht="12.75" customHeight="1" x14ac:dyDescent="0.2">
      <c r="A116" s="664"/>
      <c r="B116" s="643" t="s">
        <v>1100</v>
      </c>
      <c r="C116" s="644">
        <v>0</v>
      </c>
      <c r="D116" s="644">
        <f>265673.13</f>
        <v>265673.13</v>
      </c>
      <c r="E116" s="644">
        <f>2490+265673.13</f>
        <v>268163.13</v>
      </c>
      <c r="F116" s="644"/>
      <c r="G116" s="1051">
        <v>0</v>
      </c>
      <c r="H116" s="1055">
        <f t="shared" si="33"/>
        <v>100.93724194087675</v>
      </c>
      <c r="I116" s="1056">
        <v>0</v>
      </c>
      <c r="J116" s="29">
        <v>0</v>
      </c>
      <c r="K116" s="150"/>
    </row>
    <row r="117" spans="1:60" ht="12.75" customHeight="1" x14ac:dyDescent="0.2">
      <c r="A117" s="664"/>
      <c r="B117" s="643" t="s">
        <v>1102</v>
      </c>
      <c r="C117" s="644">
        <v>0</v>
      </c>
      <c r="D117" s="644">
        <v>0</v>
      </c>
      <c r="E117" s="644">
        <f>3000+1264708.27</f>
        <v>1267708.27</v>
      </c>
      <c r="F117" s="644"/>
      <c r="G117" s="1051">
        <v>0</v>
      </c>
      <c r="H117" s="1055">
        <v>0</v>
      </c>
      <c r="I117" s="1056">
        <f t="shared" si="34"/>
        <v>387.55214891786005</v>
      </c>
      <c r="J117" s="29">
        <v>327106.5</v>
      </c>
      <c r="K117" s="150"/>
    </row>
    <row r="118" spans="1:60" ht="12.75" customHeight="1" x14ac:dyDescent="0.2">
      <c r="A118" s="664"/>
      <c r="B118" s="643" t="s">
        <v>1104</v>
      </c>
      <c r="C118" s="644">
        <v>0</v>
      </c>
      <c r="D118" s="644">
        <f>(5360+147136)</f>
        <v>152496</v>
      </c>
      <c r="E118" s="644">
        <f>5360+147136</f>
        <v>152496</v>
      </c>
      <c r="F118" s="644"/>
      <c r="G118" s="1051">
        <v>0</v>
      </c>
      <c r="H118" s="1055">
        <f t="shared" si="33"/>
        <v>100</v>
      </c>
      <c r="I118" s="1056">
        <v>0</v>
      </c>
      <c r="J118" s="29">
        <v>0</v>
      </c>
      <c r="K118" s="150"/>
    </row>
    <row r="119" spans="1:60" ht="12.75" customHeight="1" x14ac:dyDescent="0.2">
      <c r="A119" s="832"/>
      <c r="B119" s="832" t="s">
        <v>2094</v>
      </c>
      <c r="C119" s="816">
        <v>0</v>
      </c>
      <c r="D119" s="816">
        <f>(1784.32+10111.13)</f>
        <v>11895.449999999999</v>
      </c>
      <c r="E119" s="1061">
        <v>11895.45</v>
      </c>
      <c r="F119" s="1061"/>
      <c r="G119" s="1051">
        <v>0</v>
      </c>
      <c r="H119" s="1055">
        <f>E119/D119*100</f>
        <v>100.00000000000003</v>
      </c>
      <c r="I119" s="1056">
        <v>0</v>
      </c>
      <c r="J119" s="1062">
        <v>0</v>
      </c>
      <c r="K119" s="29"/>
      <c r="L119" s="150"/>
    </row>
    <row r="120" spans="1:60" ht="12.75" customHeight="1" x14ac:dyDescent="0.2">
      <c r="A120" s="832"/>
      <c r="B120" s="832" t="s">
        <v>1885</v>
      </c>
      <c r="C120" s="816">
        <v>0</v>
      </c>
      <c r="D120" s="816">
        <v>8015</v>
      </c>
      <c r="E120" s="1061">
        <v>8015</v>
      </c>
      <c r="F120" s="1061"/>
      <c r="G120" s="1051">
        <v>0</v>
      </c>
      <c r="H120" s="1055">
        <f t="shared" si="33"/>
        <v>100</v>
      </c>
      <c r="I120" s="1056">
        <v>0</v>
      </c>
      <c r="J120" s="1062">
        <v>0</v>
      </c>
      <c r="K120" s="29"/>
      <c r="L120" s="150"/>
    </row>
    <row r="121" spans="1:60" ht="12.75" customHeight="1" x14ac:dyDescent="0.2">
      <c r="A121" s="832"/>
      <c r="B121" s="832" t="s">
        <v>1886</v>
      </c>
      <c r="C121" s="816">
        <v>0</v>
      </c>
      <c r="D121" s="816">
        <v>33210</v>
      </c>
      <c r="E121" s="1061">
        <v>33210</v>
      </c>
      <c r="F121" s="1061"/>
      <c r="G121" s="1051">
        <v>0</v>
      </c>
      <c r="H121" s="1055">
        <f t="shared" si="33"/>
        <v>100</v>
      </c>
      <c r="I121" s="1056">
        <v>0</v>
      </c>
      <c r="J121" s="1062">
        <v>0</v>
      </c>
      <c r="K121" s="29"/>
      <c r="L121" s="150"/>
    </row>
    <row r="122" spans="1:60" ht="12.75" customHeight="1" x14ac:dyDescent="0.2">
      <c r="A122" s="832"/>
      <c r="B122" s="832" t="s">
        <v>1887</v>
      </c>
      <c r="C122" s="816">
        <v>0</v>
      </c>
      <c r="D122" s="816">
        <v>100000</v>
      </c>
      <c r="E122" s="1061">
        <v>100000</v>
      </c>
      <c r="F122" s="1061"/>
      <c r="G122" s="1051">
        <v>0</v>
      </c>
      <c r="H122" s="1055">
        <f t="shared" si="33"/>
        <v>100</v>
      </c>
      <c r="I122" s="1056">
        <v>0</v>
      </c>
      <c r="J122" s="1062">
        <v>0</v>
      </c>
      <c r="K122" s="29"/>
      <c r="L122" s="150"/>
    </row>
    <row r="123" spans="1:60" ht="12.75" customHeight="1" x14ac:dyDescent="0.2">
      <c r="A123" s="663">
        <v>2310</v>
      </c>
      <c r="B123" s="629" t="s">
        <v>2095</v>
      </c>
      <c r="C123" s="637">
        <v>0</v>
      </c>
      <c r="D123" s="637">
        <v>0</v>
      </c>
      <c r="E123" s="637">
        <v>3650</v>
      </c>
      <c r="F123" s="644"/>
      <c r="G123" s="630">
        <v>0</v>
      </c>
      <c r="H123" s="1052">
        <v>0</v>
      </c>
      <c r="I123" s="631">
        <f>E123/J123*100</f>
        <v>3.7863070539419086</v>
      </c>
      <c r="J123" s="29">
        <v>96400</v>
      </c>
    </row>
    <row r="124" spans="1:60" ht="12.75" customHeight="1" x14ac:dyDescent="0.2">
      <c r="A124" s="663">
        <v>2321</v>
      </c>
      <c r="B124" s="629" t="s">
        <v>1107</v>
      </c>
      <c r="C124" s="637">
        <v>100000</v>
      </c>
      <c r="D124" s="637">
        <f>100000+5000</f>
        <v>105000</v>
      </c>
      <c r="E124" s="637">
        <v>105000</v>
      </c>
      <c r="F124" s="644"/>
      <c r="G124" s="630">
        <f t="shared" si="35"/>
        <v>105</v>
      </c>
      <c r="H124" s="1052">
        <f t="shared" si="33"/>
        <v>100</v>
      </c>
      <c r="I124" s="631">
        <f t="shared" si="34"/>
        <v>105</v>
      </c>
      <c r="J124" s="29">
        <v>100000</v>
      </c>
    </row>
    <row r="125" spans="1:60" s="665" customFormat="1" ht="12.75" customHeight="1" x14ac:dyDescent="0.2">
      <c r="A125" s="663">
        <v>2322</v>
      </c>
      <c r="B125" s="629" t="s">
        <v>146</v>
      </c>
      <c r="C125" s="637">
        <v>20000</v>
      </c>
      <c r="D125" s="637">
        <f>20000+59931+206193+35583+4011</f>
        <v>325718</v>
      </c>
      <c r="E125" s="637">
        <v>532026</v>
      </c>
      <c r="F125" s="644"/>
      <c r="G125" s="630">
        <f t="shared" si="35"/>
        <v>2660.1299999999997</v>
      </c>
      <c r="H125" s="1052">
        <f t="shared" si="33"/>
        <v>163.33945314658692</v>
      </c>
      <c r="I125" s="631">
        <f t="shared" si="34"/>
        <v>90.803055748986196</v>
      </c>
      <c r="J125" s="29">
        <v>585912</v>
      </c>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row>
    <row r="126" spans="1:60" s="98" customFormat="1" ht="12.75" customHeight="1" x14ac:dyDescent="0.2">
      <c r="A126" s="663">
        <v>2324</v>
      </c>
      <c r="B126" s="629" t="s">
        <v>147</v>
      </c>
      <c r="C126" s="635">
        <f>SUM(C127:C143)</f>
        <v>4270000</v>
      </c>
      <c r="D126" s="635">
        <f>SUM(D127:D143)</f>
        <v>6821703.1500000004</v>
      </c>
      <c r="E126" s="635">
        <v>5979813.7999999998</v>
      </c>
      <c r="F126" s="652">
        <f>SUM(E127:E143)</f>
        <v>5979813.7999999998</v>
      </c>
      <c r="G126" s="630">
        <f t="shared" si="35"/>
        <v>140.04247775175645</v>
      </c>
      <c r="H126" s="1052">
        <f t="shared" si="33"/>
        <v>87.65866336473465</v>
      </c>
      <c r="I126" s="631">
        <f t="shared" si="34"/>
        <v>130.02729242607211</v>
      </c>
      <c r="J126" s="29">
        <v>4598891.2699999996</v>
      </c>
    </row>
    <row r="127" spans="1:60" s="98" customFormat="1" ht="12.75" customHeight="1" x14ac:dyDescent="0.2">
      <c r="A127" s="663"/>
      <c r="B127" s="629" t="s">
        <v>2096</v>
      </c>
      <c r="C127" s="644">
        <v>0</v>
      </c>
      <c r="D127" s="644">
        <v>901049</v>
      </c>
      <c r="E127" s="644">
        <v>901049</v>
      </c>
      <c r="F127" s="644"/>
      <c r="G127" s="1051">
        <v>0</v>
      </c>
      <c r="H127" s="1055">
        <f t="shared" si="33"/>
        <v>100</v>
      </c>
      <c r="I127" s="1056">
        <v>0</v>
      </c>
      <c r="J127" s="29">
        <v>0</v>
      </c>
    </row>
    <row r="128" spans="1:60" s="98" customFormat="1" ht="12.75" customHeight="1" x14ac:dyDescent="0.2">
      <c r="A128" s="663"/>
      <c r="B128" s="629" t="s">
        <v>1108</v>
      </c>
      <c r="C128" s="644">
        <v>0</v>
      </c>
      <c r="D128" s="644">
        <v>0</v>
      </c>
      <c r="E128" s="644">
        <v>1707</v>
      </c>
      <c r="F128" s="644"/>
      <c r="G128" s="1051">
        <v>0</v>
      </c>
      <c r="H128" s="1055">
        <v>0</v>
      </c>
      <c r="I128" s="1056">
        <f t="shared" si="34"/>
        <v>133.15132605304211</v>
      </c>
      <c r="J128" s="29">
        <v>1282</v>
      </c>
    </row>
    <row r="129" spans="1:48" s="98" customFormat="1" ht="12.75" customHeight="1" x14ac:dyDescent="0.2">
      <c r="A129" s="642"/>
      <c r="B129" s="672" t="s">
        <v>1110</v>
      </c>
      <c r="C129" s="644">
        <v>12000</v>
      </c>
      <c r="D129" s="644">
        <v>12000</v>
      </c>
      <c r="E129" s="644">
        <v>12821.93</v>
      </c>
      <c r="F129" s="644"/>
      <c r="G129" s="1051">
        <f t="shared" si="35"/>
        <v>106.84941666666667</v>
      </c>
      <c r="H129" s="1055">
        <f t="shared" ref="H129:H192" si="36">E129/D129*100</f>
        <v>106.84941666666667</v>
      </c>
      <c r="I129" s="1056">
        <f t="shared" si="34"/>
        <v>81.73607556325338</v>
      </c>
      <c r="J129" s="29">
        <v>15686.99</v>
      </c>
    </row>
    <row r="130" spans="1:48" s="98" customFormat="1" ht="12.75" customHeight="1" x14ac:dyDescent="0.2">
      <c r="A130" s="663"/>
      <c r="B130" s="672" t="s">
        <v>1111</v>
      </c>
      <c r="C130" s="644">
        <v>30000</v>
      </c>
      <c r="D130" s="644">
        <v>30000</v>
      </c>
      <c r="E130" s="644">
        <v>45000</v>
      </c>
      <c r="F130" s="644"/>
      <c r="G130" s="1051">
        <f t="shared" si="35"/>
        <v>150</v>
      </c>
      <c r="H130" s="1055">
        <f t="shared" si="36"/>
        <v>150</v>
      </c>
      <c r="I130" s="1056">
        <f t="shared" si="34"/>
        <v>121.62162162162163</v>
      </c>
      <c r="J130" s="29">
        <v>37000</v>
      </c>
    </row>
    <row r="131" spans="1:48" s="98" customFormat="1" ht="12.75" customHeight="1" x14ac:dyDescent="0.2">
      <c r="A131" s="663"/>
      <c r="B131" s="672" t="s">
        <v>1112</v>
      </c>
      <c r="C131" s="644">
        <v>200000</v>
      </c>
      <c r="D131" s="644">
        <f>200000-101945.85</f>
        <v>98054.15</v>
      </c>
      <c r="E131" s="644">
        <v>98054.15</v>
      </c>
      <c r="F131" s="644"/>
      <c r="G131" s="1051">
        <f t="shared" si="35"/>
        <v>49.027074999999996</v>
      </c>
      <c r="H131" s="1055">
        <f t="shared" si="36"/>
        <v>100</v>
      </c>
      <c r="I131" s="1056">
        <f>E131/J131*100</f>
        <v>61.375627164447721</v>
      </c>
      <c r="J131" s="29">
        <v>159760.73000000001</v>
      </c>
    </row>
    <row r="132" spans="1:48" s="98" customFormat="1" ht="12.75" customHeight="1" x14ac:dyDescent="0.2">
      <c r="A132" s="663"/>
      <c r="B132" s="672" t="s">
        <v>2097</v>
      </c>
      <c r="C132" s="644">
        <v>0</v>
      </c>
      <c r="D132" s="644">
        <v>0</v>
      </c>
      <c r="E132" s="644">
        <v>43999.4</v>
      </c>
      <c r="F132" s="644"/>
      <c r="G132" s="1051">
        <v>0</v>
      </c>
      <c r="H132" s="1055">
        <v>0</v>
      </c>
      <c r="I132" s="1056">
        <v>0</v>
      </c>
      <c r="J132" s="29">
        <v>0</v>
      </c>
    </row>
    <row r="133" spans="1:48" s="666" customFormat="1" ht="12.75" customHeight="1" x14ac:dyDescent="0.2">
      <c r="A133" s="663"/>
      <c r="B133" s="672" t="s">
        <v>1113</v>
      </c>
      <c r="C133" s="644">
        <v>300000</v>
      </c>
      <c r="D133" s="644">
        <v>300000</v>
      </c>
      <c r="E133" s="644">
        <v>295570.15999999997</v>
      </c>
      <c r="F133" s="644"/>
      <c r="G133" s="1051">
        <f t="shared" si="35"/>
        <v>98.523386666666653</v>
      </c>
      <c r="H133" s="1055">
        <f t="shared" si="36"/>
        <v>98.523386666666653</v>
      </c>
      <c r="I133" s="1056">
        <f t="shared" si="34"/>
        <v>94.60603459230316</v>
      </c>
      <c r="J133" s="29">
        <v>312422.09999999998</v>
      </c>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row>
    <row r="134" spans="1:48" s="158" customFormat="1" ht="12.75" customHeight="1" x14ac:dyDescent="0.2">
      <c r="A134" s="664"/>
      <c r="B134" s="643" t="s">
        <v>1116</v>
      </c>
      <c r="C134" s="644">
        <v>600000</v>
      </c>
      <c r="D134" s="644">
        <v>600000</v>
      </c>
      <c r="E134" s="644">
        <v>0</v>
      </c>
      <c r="F134" s="644"/>
      <c r="G134" s="1051">
        <f t="shared" si="35"/>
        <v>0</v>
      </c>
      <c r="H134" s="1055">
        <f t="shared" si="36"/>
        <v>0</v>
      </c>
      <c r="I134" s="1056">
        <v>0</v>
      </c>
      <c r="J134" s="1037">
        <v>0</v>
      </c>
    </row>
    <row r="135" spans="1:48" s="666" customFormat="1" ht="12.75" customHeight="1" x14ac:dyDescent="0.2">
      <c r="A135" s="663"/>
      <c r="B135" s="672" t="s">
        <v>1114</v>
      </c>
      <c r="C135" s="644">
        <v>15000</v>
      </c>
      <c r="D135" s="644">
        <v>15000</v>
      </c>
      <c r="E135" s="644">
        <v>1420</v>
      </c>
      <c r="F135" s="644"/>
      <c r="G135" s="1051">
        <f t="shared" si="35"/>
        <v>9.4666666666666668</v>
      </c>
      <c r="H135" s="1055">
        <f t="shared" si="36"/>
        <v>9.4666666666666668</v>
      </c>
      <c r="I135" s="1056">
        <f t="shared" ref="I135:I198" si="37">E135/J135*100</f>
        <v>6.9786311365880289</v>
      </c>
      <c r="J135" s="29">
        <v>20347.830000000002</v>
      </c>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row>
    <row r="136" spans="1:48" ht="12.75" customHeight="1" x14ac:dyDescent="0.2">
      <c r="A136" s="673"/>
      <c r="B136" s="674" t="s">
        <v>1888</v>
      </c>
      <c r="C136" s="644">
        <v>0</v>
      </c>
      <c r="D136" s="644">
        <v>145200</v>
      </c>
      <c r="E136" s="644">
        <v>145200</v>
      </c>
      <c r="F136" s="644"/>
      <c r="G136" s="1051">
        <v>0</v>
      </c>
      <c r="H136" s="1055">
        <f t="shared" si="36"/>
        <v>100</v>
      </c>
      <c r="I136" s="1056">
        <v>0</v>
      </c>
      <c r="J136" s="29">
        <v>0</v>
      </c>
    </row>
    <row r="137" spans="1:48" ht="12.75" customHeight="1" x14ac:dyDescent="0.2">
      <c r="A137" s="673"/>
      <c r="B137" s="674" t="s">
        <v>1115</v>
      </c>
      <c r="C137" s="644">
        <v>25000</v>
      </c>
      <c r="D137" s="644">
        <v>25000</v>
      </c>
      <c r="E137" s="644">
        <v>438.57</v>
      </c>
      <c r="F137" s="644"/>
      <c r="G137" s="1051">
        <f t="shared" si="35"/>
        <v>1.7542800000000001</v>
      </c>
      <c r="H137" s="1055">
        <f t="shared" si="36"/>
        <v>1.7542800000000001</v>
      </c>
      <c r="I137" s="1056">
        <f t="shared" si="37"/>
        <v>1.6705920265484602</v>
      </c>
      <c r="J137" s="29">
        <v>26252.37</v>
      </c>
    </row>
    <row r="138" spans="1:48" s="158" customFormat="1" ht="12.75" customHeight="1" x14ac:dyDescent="0.2">
      <c r="A138" s="664"/>
      <c r="B138" s="643" t="s">
        <v>1117</v>
      </c>
      <c r="C138" s="644">
        <v>3000000</v>
      </c>
      <c r="D138" s="644">
        <v>3000000</v>
      </c>
      <c r="E138" s="644">
        <v>2730553.58</v>
      </c>
      <c r="F138" s="644"/>
      <c r="G138" s="1051">
        <f t="shared" si="35"/>
        <v>91.018452666666676</v>
      </c>
      <c r="H138" s="1055">
        <f t="shared" si="36"/>
        <v>91.018452666666676</v>
      </c>
      <c r="I138" s="1056">
        <f t="shared" si="37"/>
        <v>82.179012135322139</v>
      </c>
      <c r="J138" s="1037">
        <v>3322689.71</v>
      </c>
    </row>
    <row r="139" spans="1:48" s="158" customFormat="1" ht="12.75" customHeight="1" x14ac:dyDescent="0.2">
      <c r="A139" s="664"/>
      <c r="B139" s="643" t="s">
        <v>1889</v>
      </c>
      <c r="C139" s="644">
        <v>0</v>
      </c>
      <c r="D139" s="644">
        <v>0</v>
      </c>
      <c r="E139" s="644">
        <v>3000</v>
      </c>
      <c r="F139" s="644"/>
      <c r="G139" s="1051">
        <v>0</v>
      </c>
      <c r="H139" s="1055">
        <v>0</v>
      </c>
      <c r="I139" s="1056">
        <f t="shared" si="37"/>
        <v>12</v>
      </c>
      <c r="J139" s="1037">
        <v>25000</v>
      </c>
    </row>
    <row r="140" spans="1:48" s="158" customFormat="1" ht="12.75" customHeight="1" x14ac:dyDescent="0.2">
      <c r="A140" s="664"/>
      <c r="B140" s="643" t="s">
        <v>1118</v>
      </c>
      <c r="C140" s="644">
        <v>3000</v>
      </c>
      <c r="D140" s="644">
        <v>3000</v>
      </c>
      <c r="E140" s="644">
        <v>1768.01</v>
      </c>
      <c r="F140" s="644"/>
      <c r="G140" s="1051">
        <f t="shared" si="35"/>
        <v>58.93366666666666</v>
      </c>
      <c r="H140" s="1055">
        <f t="shared" si="36"/>
        <v>58.93366666666666</v>
      </c>
      <c r="I140" s="1056">
        <f t="shared" si="37"/>
        <v>170.95436085863469</v>
      </c>
      <c r="J140" s="1037">
        <v>1034.2</v>
      </c>
    </row>
    <row r="141" spans="1:48" s="158" customFormat="1" ht="12.75" customHeight="1" x14ac:dyDescent="0.2">
      <c r="A141" s="664"/>
      <c r="B141" s="643" t="s">
        <v>1119</v>
      </c>
      <c r="C141" s="644">
        <v>70000</v>
      </c>
      <c r="D141" s="644">
        <v>70000</v>
      </c>
      <c r="E141" s="644">
        <v>57943.63</v>
      </c>
      <c r="F141" s="644"/>
      <c r="G141" s="1051">
        <f t="shared" si="35"/>
        <v>82.776614285714274</v>
      </c>
      <c r="H141" s="1055">
        <f t="shared" si="36"/>
        <v>82.776614285714274</v>
      </c>
      <c r="I141" s="1056">
        <f t="shared" si="37"/>
        <v>80.197108655983968</v>
      </c>
      <c r="J141" s="1037">
        <v>72251.520000000004</v>
      </c>
    </row>
    <row r="142" spans="1:48" s="158" customFormat="1" ht="12.75" customHeight="1" x14ac:dyDescent="0.2">
      <c r="A142" s="642"/>
      <c r="B142" s="643" t="s">
        <v>1121</v>
      </c>
      <c r="C142" s="644">
        <v>15000</v>
      </c>
      <c r="D142" s="644">
        <v>15000</v>
      </c>
      <c r="E142" s="644">
        <v>33888.370000000003</v>
      </c>
      <c r="F142" s="644"/>
      <c r="G142" s="1051">
        <f t="shared" si="35"/>
        <v>225.92246666666668</v>
      </c>
      <c r="H142" s="1055">
        <f t="shared" si="36"/>
        <v>225.92246666666668</v>
      </c>
      <c r="I142" s="1056">
        <f t="shared" si="37"/>
        <v>184.04339266560766</v>
      </c>
      <c r="J142" s="1037">
        <v>18413.25</v>
      </c>
    </row>
    <row r="143" spans="1:48" s="158" customFormat="1" ht="12.75" customHeight="1" x14ac:dyDescent="0.2">
      <c r="A143" s="1063"/>
      <c r="B143" s="1064" t="s">
        <v>1890</v>
      </c>
      <c r="C143" s="644">
        <v>0</v>
      </c>
      <c r="D143" s="644">
        <f>227100+232500+210000+231000+234000+241800+231000</f>
        <v>1607400</v>
      </c>
      <c r="E143" s="695">
        <v>1607400</v>
      </c>
      <c r="F143" s="695"/>
      <c r="G143" s="1051">
        <v>0</v>
      </c>
      <c r="H143" s="1055">
        <f t="shared" si="36"/>
        <v>100</v>
      </c>
      <c r="I143" s="1056">
        <f t="shared" si="37"/>
        <v>312.84546516154148</v>
      </c>
      <c r="J143" s="1062">
        <v>513800</v>
      </c>
      <c r="K143" s="29"/>
    </row>
    <row r="144" spans="1:48" s="98" customFormat="1" ht="12.75" customHeight="1" x14ac:dyDescent="0.2">
      <c r="A144" s="663">
        <v>2328</v>
      </c>
      <c r="B144" s="629" t="s">
        <v>163</v>
      </c>
      <c r="C144" s="635">
        <v>0</v>
      </c>
      <c r="D144" s="635">
        <v>0</v>
      </c>
      <c r="E144" s="635">
        <v>4356.2</v>
      </c>
      <c r="F144" s="652"/>
      <c r="G144" s="630">
        <v>0</v>
      </c>
      <c r="H144" s="1052">
        <v>0</v>
      </c>
      <c r="I144" s="631">
        <f t="shared" si="37"/>
        <v>-30.812780633825732</v>
      </c>
      <c r="J144" s="29">
        <v>-14137.64</v>
      </c>
    </row>
    <row r="145" spans="1:48" s="98" customFormat="1" ht="12.75" customHeight="1" x14ac:dyDescent="0.2">
      <c r="A145" s="663">
        <v>2329</v>
      </c>
      <c r="B145" s="629" t="s">
        <v>164</v>
      </c>
      <c r="C145" s="635">
        <f>SUM(C146:C159)</f>
        <v>15209538</v>
      </c>
      <c r="D145" s="635">
        <f>SUM(D146:D159)</f>
        <v>7515000</v>
      </c>
      <c r="E145" s="635">
        <v>7533235.8099999996</v>
      </c>
      <c r="F145" s="652">
        <f>SUM(E146:E159)</f>
        <v>7533235.5099999998</v>
      </c>
      <c r="G145" s="630">
        <f t="shared" si="35"/>
        <v>49.529682032419394</v>
      </c>
      <c r="H145" s="1052">
        <f t="shared" si="36"/>
        <v>100.24265881570193</v>
      </c>
      <c r="I145" s="631">
        <f t="shared" si="37"/>
        <v>549.11833366572432</v>
      </c>
      <c r="J145" s="29">
        <v>1371878.3999999999</v>
      </c>
    </row>
    <row r="146" spans="1:48" ht="12.75" customHeight="1" x14ac:dyDescent="0.2">
      <c r="A146" s="664"/>
      <c r="B146" s="643" t="s">
        <v>1123</v>
      </c>
      <c r="C146" s="644">
        <v>5000</v>
      </c>
      <c r="D146" s="644">
        <v>5000</v>
      </c>
      <c r="E146" s="644">
        <v>0</v>
      </c>
      <c r="F146" s="644"/>
      <c r="G146" s="1051">
        <f t="shared" si="35"/>
        <v>0</v>
      </c>
      <c r="H146" s="1055">
        <f t="shared" si="36"/>
        <v>0</v>
      </c>
      <c r="I146" s="1056">
        <v>0</v>
      </c>
      <c r="J146" s="29">
        <v>10000</v>
      </c>
    </row>
    <row r="147" spans="1:48" ht="12.75" customHeight="1" x14ac:dyDescent="0.2">
      <c r="A147" s="664"/>
      <c r="B147" s="643" t="s">
        <v>1891</v>
      </c>
      <c r="C147" s="644">
        <v>200000</v>
      </c>
      <c r="D147" s="644">
        <f>200000+50000</f>
        <v>250000</v>
      </c>
      <c r="E147" s="644">
        <v>267500</v>
      </c>
      <c r="F147" s="644"/>
      <c r="G147" s="1051">
        <f t="shared" si="35"/>
        <v>133.75</v>
      </c>
      <c r="H147" s="1055">
        <f t="shared" si="36"/>
        <v>107</v>
      </c>
      <c r="I147" s="1056">
        <f t="shared" si="37"/>
        <v>114.19423692636073</v>
      </c>
      <c r="J147" s="29">
        <v>234250</v>
      </c>
    </row>
    <row r="148" spans="1:48" s="665" customFormat="1" ht="12.75" customHeight="1" x14ac:dyDescent="0.2">
      <c r="A148" s="664"/>
      <c r="B148" s="643" t="s">
        <v>1124</v>
      </c>
      <c r="C148" s="644">
        <v>500000</v>
      </c>
      <c r="D148" s="644">
        <v>500000</v>
      </c>
      <c r="E148" s="644">
        <v>677833</v>
      </c>
      <c r="F148" s="644"/>
      <c r="G148" s="1051">
        <f t="shared" si="35"/>
        <v>135.56659999999999</v>
      </c>
      <c r="H148" s="1055">
        <f t="shared" si="36"/>
        <v>135.56659999999999</v>
      </c>
      <c r="I148" s="1056">
        <f t="shared" si="37"/>
        <v>71.454450306054824</v>
      </c>
      <c r="J148" s="29">
        <v>948622.51</v>
      </c>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row>
    <row r="149" spans="1:48" s="665" customFormat="1" ht="12.75" customHeight="1" x14ac:dyDescent="0.2">
      <c r="A149" s="664"/>
      <c r="B149" s="643" t="s">
        <v>1126</v>
      </c>
      <c r="C149" s="644">
        <v>20000</v>
      </c>
      <c r="D149" s="644">
        <v>20000</v>
      </c>
      <c r="E149" s="644">
        <v>0</v>
      </c>
      <c r="F149" s="644"/>
      <c r="G149" s="1051">
        <f t="shared" si="35"/>
        <v>0</v>
      </c>
      <c r="H149" s="1055">
        <f t="shared" si="36"/>
        <v>0</v>
      </c>
      <c r="I149" s="1056">
        <v>0</v>
      </c>
      <c r="J149" s="29">
        <v>0</v>
      </c>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row>
    <row r="150" spans="1:48" ht="12.75" customHeight="1" x14ac:dyDescent="0.2">
      <c r="A150" s="664"/>
      <c r="B150" s="643" t="s">
        <v>1128</v>
      </c>
      <c r="C150" s="644">
        <v>50000</v>
      </c>
      <c r="D150" s="644">
        <v>50000</v>
      </c>
      <c r="E150" s="644">
        <v>54858.25</v>
      </c>
      <c r="F150" s="644"/>
      <c r="G150" s="1051">
        <f t="shared" si="35"/>
        <v>109.7165</v>
      </c>
      <c r="H150" s="1055">
        <f t="shared" si="36"/>
        <v>109.7165</v>
      </c>
      <c r="I150" s="1056">
        <f t="shared" si="37"/>
        <v>102.16640283080361</v>
      </c>
      <c r="J150" s="29">
        <v>53695</v>
      </c>
    </row>
    <row r="151" spans="1:48" ht="12.75" customHeight="1" x14ac:dyDescent="0.2">
      <c r="A151" s="664"/>
      <c r="B151" s="643" t="s">
        <v>2098</v>
      </c>
      <c r="C151" s="644">
        <v>0</v>
      </c>
      <c r="D151" s="644">
        <v>6400000</v>
      </c>
      <c r="E151" s="644">
        <v>6400000</v>
      </c>
      <c r="F151" s="644"/>
      <c r="G151" s="1051">
        <v>0</v>
      </c>
      <c r="H151" s="1055">
        <f t="shared" si="36"/>
        <v>100</v>
      </c>
      <c r="I151" s="1056">
        <v>0</v>
      </c>
      <c r="J151" s="29">
        <v>0</v>
      </c>
    </row>
    <row r="152" spans="1:48" ht="12.75" customHeight="1" x14ac:dyDescent="0.2">
      <c r="A152" s="664"/>
      <c r="B152" s="643" t="s">
        <v>2099</v>
      </c>
      <c r="C152" s="644">
        <v>40000</v>
      </c>
      <c r="D152" s="644">
        <v>40000</v>
      </c>
      <c r="E152" s="644">
        <v>45080</v>
      </c>
      <c r="F152" s="644"/>
      <c r="G152" s="1051">
        <f t="shared" si="35"/>
        <v>112.7</v>
      </c>
      <c r="H152" s="1055">
        <f t="shared" si="36"/>
        <v>112.7</v>
      </c>
      <c r="I152" s="1056">
        <f t="shared" si="37"/>
        <v>105.15512013062749</v>
      </c>
      <c r="J152" s="29">
        <v>42870</v>
      </c>
    </row>
    <row r="153" spans="1:48" ht="12.75" customHeight="1" x14ac:dyDescent="0.2">
      <c r="A153" s="664"/>
      <c r="B153" s="643" t="s">
        <v>1131</v>
      </c>
      <c r="C153" s="652">
        <v>5500000</v>
      </c>
      <c r="D153" s="652">
        <f>5500000-5500000</f>
        <v>0</v>
      </c>
      <c r="E153" s="652">
        <v>0</v>
      </c>
      <c r="F153" s="652"/>
      <c r="G153" s="1051">
        <f t="shared" si="35"/>
        <v>0</v>
      </c>
      <c r="H153" s="1055">
        <v>0</v>
      </c>
      <c r="I153" s="1056">
        <v>0</v>
      </c>
      <c r="J153" s="29">
        <v>0</v>
      </c>
    </row>
    <row r="154" spans="1:48" ht="12.75" customHeight="1" x14ac:dyDescent="0.2">
      <c r="A154" s="664"/>
      <c r="B154" s="643" t="s">
        <v>1137</v>
      </c>
      <c r="C154" s="644">
        <v>0</v>
      </c>
      <c r="D154" s="644">
        <v>0</v>
      </c>
      <c r="E154" s="644">
        <v>5578</v>
      </c>
      <c r="F154" s="644"/>
      <c r="G154" s="1051">
        <v>0</v>
      </c>
      <c r="H154" s="1055">
        <v>0</v>
      </c>
      <c r="I154" s="1056">
        <f t="shared" si="37"/>
        <v>140.96537781147333</v>
      </c>
      <c r="J154" s="29">
        <v>3957</v>
      </c>
    </row>
    <row r="155" spans="1:48" ht="24.75" x14ac:dyDescent="0.2">
      <c r="A155" s="664"/>
      <c r="B155" s="650" t="s">
        <v>1132</v>
      </c>
      <c r="C155" s="644">
        <v>7500000</v>
      </c>
      <c r="D155" s="644">
        <f>7500000-7500000</f>
        <v>0</v>
      </c>
      <c r="E155" s="644">
        <v>0</v>
      </c>
      <c r="F155" s="644"/>
      <c r="G155" s="1051">
        <f t="shared" si="35"/>
        <v>0</v>
      </c>
      <c r="H155" s="1055">
        <v>0</v>
      </c>
      <c r="I155" s="670">
        <v>0</v>
      </c>
      <c r="J155" s="1037">
        <v>0</v>
      </c>
    </row>
    <row r="156" spans="1:48" ht="24.75" x14ac:dyDescent="0.2">
      <c r="A156" s="664"/>
      <c r="B156" s="650" t="s">
        <v>1133</v>
      </c>
      <c r="C156" s="652">
        <v>1144538</v>
      </c>
      <c r="D156" s="652">
        <f>1144538-1144538</f>
        <v>0</v>
      </c>
      <c r="E156" s="652">
        <v>0</v>
      </c>
      <c r="F156" s="652"/>
      <c r="G156" s="1051">
        <f t="shared" si="35"/>
        <v>0</v>
      </c>
      <c r="H156" s="1055">
        <v>0</v>
      </c>
      <c r="I156" s="670">
        <v>0</v>
      </c>
      <c r="J156" s="1037">
        <v>0</v>
      </c>
    </row>
    <row r="157" spans="1:48" x14ac:dyDescent="0.2">
      <c r="A157" s="663"/>
      <c r="B157" s="672" t="s">
        <v>1136</v>
      </c>
      <c r="C157" s="644">
        <v>250000</v>
      </c>
      <c r="D157" s="644">
        <v>250000</v>
      </c>
      <c r="E157" s="644">
        <v>0</v>
      </c>
      <c r="F157" s="644"/>
      <c r="G157" s="1051">
        <f t="shared" si="35"/>
        <v>0</v>
      </c>
      <c r="H157" s="1055">
        <f t="shared" si="36"/>
        <v>0</v>
      </c>
      <c r="I157" s="1056">
        <v>0</v>
      </c>
      <c r="J157" s="29">
        <v>0</v>
      </c>
    </row>
    <row r="158" spans="1:48" ht="12.75" customHeight="1" x14ac:dyDescent="0.2">
      <c r="A158" s="664"/>
      <c r="B158" s="643" t="s">
        <v>1892</v>
      </c>
      <c r="C158" s="644">
        <v>0</v>
      </c>
      <c r="D158" s="644">
        <v>0</v>
      </c>
      <c r="E158" s="644">
        <v>33196.83</v>
      </c>
      <c r="F158" s="644"/>
      <c r="G158" s="1051">
        <v>0</v>
      </c>
      <c r="H158" s="1055">
        <v>0</v>
      </c>
      <c r="I158" s="1056">
        <f t="shared" si="37"/>
        <v>-922.13416666666672</v>
      </c>
      <c r="J158" s="29">
        <v>-3600</v>
      </c>
    </row>
    <row r="159" spans="1:48" ht="12.75" customHeight="1" x14ac:dyDescent="0.2">
      <c r="A159" s="664"/>
      <c r="B159" s="643" t="s">
        <v>1893</v>
      </c>
      <c r="C159" s="644">
        <v>0</v>
      </c>
      <c r="D159" s="644">
        <v>0</v>
      </c>
      <c r="E159" s="644">
        <f>39630.95+9558.48</f>
        <v>49189.429999999993</v>
      </c>
      <c r="F159" s="644"/>
      <c r="G159" s="1051">
        <v>0</v>
      </c>
      <c r="H159" s="1055">
        <v>0</v>
      </c>
      <c r="I159" s="1056">
        <f t="shared" si="37"/>
        <v>256.23498463301553</v>
      </c>
      <c r="J159" s="29">
        <v>19197</v>
      </c>
    </row>
    <row r="160" spans="1:48" ht="12.75" customHeight="1" x14ac:dyDescent="0.2">
      <c r="A160" s="680"/>
      <c r="B160" s="681"/>
      <c r="C160" s="682"/>
      <c r="D160" s="682"/>
      <c r="E160" s="682"/>
      <c r="F160" s="682"/>
      <c r="G160" s="682"/>
      <c r="H160" s="682"/>
      <c r="I160" s="683"/>
    </row>
    <row r="161" spans="1:48" s="244" customFormat="1" ht="16.5" customHeight="1" x14ac:dyDescent="0.25">
      <c r="A161" s="1065"/>
      <c r="B161" s="1066" t="s">
        <v>11</v>
      </c>
      <c r="C161" s="840">
        <f>SUM(C162,C163,C164,C169:C169,C172)</f>
        <v>87239000</v>
      </c>
      <c r="D161" s="840">
        <f>SUM(D162,D163,D164,D168:D169,D172)</f>
        <v>71196111</v>
      </c>
      <c r="E161" s="840">
        <v>69233422.5</v>
      </c>
      <c r="F161" s="1067">
        <f>SUM(E162:E163,E164,E168:E169,E172)</f>
        <v>69233422.5</v>
      </c>
      <c r="G161" s="623">
        <f t="shared" si="35"/>
        <v>79.360632859157036</v>
      </c>
      <c r="H161" s="623">
        <f t="shared" si="36"/>
        <v>97.243264453026086</v>
      </c>
      <c r="I161" s="741">
        <f t="shared" si="37"/>
        <v>219.59086454571923</v>
      </c>
      <c r="J161" s="29">
        <v>31528371.02</v>
      </c>
    </row>
    <row r="162" spans="1:48" s="98" customFormat="1" ht="24.75" x14ac:dyDescent="0.2">
      <c r="A162" s="660">
        <v>3111</v>
      </c>
      <c r="B162" s="688" t="s">
        <v>1140</v>
      </c>
      <c r="C162" s="637">
        <v>69855000</v>
      </c>
      <c r="D162" s="637">
        <v>69855000</v>
      </c>
      <c r="E162" s="637">
        <v>61931621.5</v>
      </c>
      <c r="F162" s="644"/>
      <c r="G162" s="630">
        <f t="shared" si="35"/>
        <v>88.6573924558013</v>
      </c>
      <c r="H162" s="1052">
        <f t="shared" si="36"/>
        <v>88.6573924558013</v>
      </c>
      <c r="I162" s="639">
        <f t="shared" si="37"/>
        <v>199.59675440286776</v>
      </c>
      <c r="J162" s="1037">
        <v>31028371.02</v>
      </c>
    </row>
    <row r="163" spans="1:48" s="98" customFormat="1" x14ac:dyDescent="0.2">
      <c r="A163" s="660">
        <v>3111</v>
      </c>
      <c r="B163" s="688" t="s">
        <v>1141</v>
      </c>
      <c r="C163" s="637">
        <v>600000</v>
      </c>
      <c r="D163" s="637">
        <v>600000</v>
      </c>
      <c r="E163" s="637">
        <v>6560690</v>
      </c>
      <c r="F163" s="644"/>
      <c r="G163" s="630">
        <f t="shared" si="35"/>
        <v>1093.4483333333333</v>
      </c>
      <c r="H163" s="1052">
        <f t="shared" si="36"/>
        <v>1093.4483333333333</v>
      </c>
      <c r="I163" s="631">
        <v>0</v>
      </c>
      <c r="J163" s="29">
        <v>0</v>
      </c>
    </row>
    <row r="164" spans="1:48" s="98" customFormat="1" ht="12.75" customHeight="1" x14ac:dyDescent="0.2">
      <c r="A164" s="663">
        <v>3112</v>
      </c>
      <c r="B164" s="629" t="s">
        <v>178</v>
      </c>
      <c r="C164" s="635">
        <f>SUM(C165:C167)</f>
        <v>13384000</v>
      </c>
      <c r="D164" s="635">
        <f>SUM(D165:D167)</f>
        <v>0</v>
      </c>
      <c r="E164" s="635">
        <v>0</v>
      </c>
      <c r="F164" s="652"/>
      <c r="G164" s="630">
        <f t="shared" si="35"/>
        <v>0</v>
      </c>
      <c r="H164" s="1052">
        <v>0</v>
      </c>
      <c r="I164" s="631">
        <v>0</v>
      </c>
      <c r="J164" s="29">
        <v>0</v>
      </c>
    </row>
    <row r="165" spans="1:48" s="666" customFormat="1" ht="12.75" customHeight="1" x14ac:dyDescent="0.2">
      <c r="A165" s="663"/>
      <c r="B165" s="690" t="s">
        <v>1142</v>
      </c>
      <c r="C165" s="652">
        <v>4081000</v>
      </c>
      <c r="D165" s="652">
        <f>4081000-4081000</f>
        <v>0</v>
      </c>
      <c r="E165" s="652">
        <v>0</v>
      </c>
      <c r="F165" s="652"/>
      <c r="G165" s="1051">
        <f t="shared" si="35"/>
        <v>0</v>
      </c>
      <c r="H165" s="1055">
        <v>0</v>
      </c>
      <c r="I165" s="1056">
        <v>0</v>
      </c>
      <c r="J165" s="29">
        <v>0</v>
      </c>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row>
    <row r="166" spans="1:48" s="666" customFormat="1" ht="12.75" customHeight="1" x14ac:dyDescent="0.2">
      <c r="A166" s="663"/>
      <c r="B166" s="643" t="s">
        <v>1143</v>
      </c>
      <c r="C166" s="644">
        <v>5103000</v>
      </c>
      <c r="D166" s="644">
        <f>5103000-5103000</f>
        <v>0</v>
      </c>
      <c r="E166" s="644">
        <v>0</v>
      </c>
      <c r="F166" s="644"/>
      <c r="G166" s="1051">
        <f t="shared" si="35"/>
        <v>0</v>
      </c>
      <c r="H166" s="1055">
        <v>0</v>
      </c>
      <c r="I166" s="1056">
        <v>0</v>
      </c>
      <c r="J166" s="29">
        <v>0</v>
      </c>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row>
    <row r="167" spans="1:48" s="666" customFormat="1" ht="12.75" customHeight="1" x14ac:dyDescent="0.2">
      <c r="A167" s="663"/>
      <c r="B167" s="690" t="s">
        <v>1145</v>
      </c>
      <c r="C167" s="644">
        <v>4200000</v>
      </c>
      <c r="D167" s="644">
        <f>4200000-4200000</f>
        <v>0</v>
      </c>
      <c r="E167" s="644">
        <v>0</v>
      </c>
      <c r="F167" s="644"/>
      <c r="G167" s="1051">
        <f t="shared" si="35"/>
        <v>0</v>
      </c>
      <c r="H167" s="1055">
        <v>0</v>
      </c>
      <c r="I167" s="1056">
        <v>0</v>
      </c>
      <c r="J167" s="29">
        <v>0</v>
      </c>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row>
    <row r="168" spans="1:48" s="98" customFormat="1" x14ac:dyDescent="0.2">
      <c r="A168" s="663">
        <v>3113</v>
      </c>
      <c r="B168" s="634" t="s">
        <v>2100</v>
      </c>
      <c r="C168" s="637">
        <f>C169</f>
        <v>0</v>
      </c>
      <c r="D168" s="637">
        <v>121111</v>
      </c>
      <c r="E168" s="637">
        <v>121111</v>
      </c>
      <c r="F168" s="644"/>
      <c r="G168" s="630">
        <v>0</v>
      </c>
      <c r="H168" s="1052">
        <f t="shared" si="36"/>
        <v>100</v>
      </c>
      <c r="I168" s="631">
        <v>0</v>
      </c>
      <c r="J168" s="29">
        <v>0</v>
      </c>
    </row>
    <row r="169" spans="1:48" s="98" customFormat="1" x14ac:dyDescent="0.2">
      <c r="A169" s="663">
        <v>3121</v>
      </c>
      <c r="B169" s="634" t="s">
        <v>1150</v>
      </c>
      <c r="C169" s="637">
        <f>SUM(C170:C171)</f>
        <v>0</v>
      </c>
      <c r="D169" s="637">
        <f>SUM(D170:D171)</f>
        <v>620000</v>
      </c>
      <c r="E169" s="637">
        <v>620000</v>
      </c>
      <c r="F169" s="644"/>
      <c r="G169" s="630">
        <v>0</v>
      </c>
      <c r="H169" s="1052">
        <f t="shared" si="36"/>
        <v>100</v>
      </c>
      <c r="I169" s="631">
        <f t="shared" si="37"/>
        <v>124</v>
      </c>
      <c r="J169" s="29">
        <v>500000</v>
      </c>
    </row>
    <row r="170" spans="1:48" s="98" customFormat="1" x14ac:dyDescent="0.2">
      <c r="A170" s="663"/>
      <c r="B170" s="634" t="s">
        <v>1894</v>
      </c>
      <c r="C170" s="644">
        <v>0</v>
      </c>
      <c r="D170" s="644">
        <v>220000</v>
      </c>
      <c r="E170" s="644">
        <v>220000</v>
      </c>
      <c r="F170" s="644"/>
      <c r="G170" s="1051">
        <v>0</v>
      </c>
      <c r="H170" s="1055">
        <f t="shared" si="36"/>
        <v>100</v>
      </c>
      <c r="I170" s="1056">
        <v>0</v>
      </c>
      <c r="J170" s="29">
        <v>0</v>
      </c>
    </row>
    <row r="171" spans="1:48" s="98" customFormat="1" x14ac:dyDescent="0.2">
      <c r="A171" s="663"/>
      <c r="B171" s="634" t="s">
        <v>2101</v>
      </c>
      <c r="C171" s="644">
        <v>0</v>
      </c>
      <c r="D171" s="644">
        <f>500000-100000</f>
        <v>400000</v>
      </c>
      <c r="E171" s="644">
        <v>400000</v>
      </c>
      <c r="F171" s="644"/>
      <c r="G171" s="1051">
        <v>0</v>
      </c>
      <c r="H171" s="1055">
        <f t="shared" si="36"/>
        <v>100</v>
      </c>
      <c r="I171" s="1056">
        <v>0</v>
      </c>
      <c r="J171" s="29">
        <v>0</v>
      </c>
    </row>
    <row r="172" spans="1:48" s="98" customFormat="1" ht="12.75" customHeight="1" x14ac:dyDescent="0.2">
      <c r="A172" s="663">
        <v>3129</v>
      </c>
      <c r="B172" s="629" t="s">
        <v>191</v>
      </c>
      <c r="C172" s="635">
        <f>SUM(C173:C174)</f>
        <v>3400000</v>
      </c>
      <c r="D172" s="635">
        <f>SUM(D173:D174)</f>
        <v>0</v>
      </c>
      <c r="E172" s="635">
        <v>0</v>
      </c>
      <c r="F172" s="652"/>
      <c r="G172" s="630">
        <f t="shared" si="35"/>
        <v>0</v>
      </c>
      <c r="H172" s="1052">
        <v>0</v>
      </c>
      <c r="I172" s="631">
        <v>0</v>
      </c>
      <c r="J172" s="29">
        <v>0</v>
      </c>
    </row>
    <row r="173" spans="1:48" s="98" customFormat="1" ht="12.75" customHeight="1" x14ac:dyDescent="0.2">
      <c r="A173" s="692"/>
      <c r="B173" s="690" t="s">
        <v>1153</v>
      </c>
      <c r="C173" s="644">
        <v>2200000</v>
      </c>
      <c r="D173" s="644">
        <f>2200000-2200000</f>
        <v>0</v>
      </c>
      <c r="E173" s="644">
        <v>0</v>
      </c>
      <c r="F173" s="644"/>
      <c r="G173" s="1051">
        <f t="shared" si="35"/>
        <v>0</v>
      </c>
      <c r="H173" s="1055">
        <v>0</v>
      </c>
      <c r="I173" s="1056">
        <v>0</v>
      </c>
      <c r="J173" s="29">
        <v>0</v>
      </c>
      <c r="K173" s="150"/>
    </row>
    <row r="174" spans="1:48" s="98" customFormat="1" ht="12" customHeight="1" x14ac:dyDescent="0.2">
      <c r="A174" s="697"/>
      <c r="B174" s="643" t="s">
        <v>1158</v>
      </c>
      <c r="C174" s="695">
        <v>1200000</v>
      </c>
      <c r="D174" s="695">
        <f>1200000-1200000</f>
        <v>0</v>
      </c>
      <c r="E174" s="695">
        <v>0</v>
      </c>
      <c r="F174" s="695"/>
      <c r="G174" s="1051">
        <f t="shared" si="35"/>
        <v>0</v>
      </c>
      <c r="H174" s="1055">
        <v>0</v>
      </c>
      <c r="I174" s="1056">
        <v>0</v>
      </c>
      <c r="J174" s="29">
        <v>0</v>
      </c>
    </row>
    <row r="175" spans="1:48" s="98" customFormat="1" x14ac:dyDescent="0.2">
      <c r="A175" s="699"/>
      <c r="B175" s="700"/>
      <c r="C175" s="682"/>
      <c r="D175" s="682"/>
      <c r="E175" s="682"/>
      <c r="F175" s="682"/>
      <c r="G175" s="682"/>
      <c r="H175" s="682"/>
      <c r="I175" s="583"/>
      <c r="J175" s="29"/>
    </row>
    <row r="176" spans="1:48" s="244" customFormat="1" ht="16.5" customHeight="1" x14ac:dyDescent="0.25">
      <c r="A176" s="621"/>
      <c r="B176" s="701" t="s">
        <v>196</v>
      </c>
      <c r="C176" s="702">
        <f>SUM(C177,C180,C181,C197,C205,C218,C219,C221,C228)</f>
        <v>66897844.799999997</v>
      </c>
      <c r="D176" s="702">
        <f>SUM(D177,D180,D181,D197,D205,D218,D219,D221,D228)</f>
        <v>105572217.61</v>
      </c>
      <c r="E176" s="702">
        <v>106080240.73999999</v>
      </c>
      <c r="F176" s="1068">
        <f>SUM(E177,E180:E181,E197,E205,E218:E219,E221,E228)</f>
        <v>106080240.73999999</v>
      </c>
      <c r="G176" s="623">
        <f t="shared" si="35"/>
        <v>158.57049065951375</v>
      </c>
      <c r="H176" s="623">
        <f t="shared" si="36"/>
        <v>100.48120911116665</v>
      </c>
      <c r="I176" s="1069">
        <f t="shared" si="37"/>
        <v>81.221042011698728</v>
      </c>
      <c r="J176" s="29">
        <v>130606845.36</v>
      </c>
    </row>
    <row r="177" spans="1:12" s="98" customFormat="1" ht="12.75" customHeight="1" x14ac:dyDescent="0.2">
      <c r="A177" s="703">
        <v>4111</v>
      </c>
      <c r="B177" s="704" t="s">
        <v>197</v>
      </c>
      <c r="C177" s="705">
        <f>SUM(C178:C179)</f>
        <v>0</v>
      </c>
      <c r="D177" s="705">
        <f>SUM(D178:D179)</f>
        <v>867905.41</v>
      </c>
      <c r="E177" s="705">
        <v>867905.41</v>
      </c>
      <c r="F177" s="706">
        <f>SUM(E178:E179)</f>
        <v>867905.41</v>
      </c>
      <c r="G177" s="630">
        <v>0</v>
      </c>
      <c r="H177" s="1052">
        <f t="shared" si="36"/>
        <v>100</v>
      </c>
      <c r="I177" s="631">
        <f t="shared" si="37"/>
        <v>30.822921632654449</v>
      </c>
      <c r="J177" s="29">
        <v>2815779.18</v>
      </c>
    </row>
    <row r="178" spans="1:12" s="98" customFormat="1" ht="12.75" customHeight="1" x14ac:dyDescent="0.2">
      <c r="A178" s="707"/>
      <c r="B178" s="708" t="s">
        <v>1895</v>
      </c>
      <c r="C178" s="709">
        <v>0</v>
      </c>
      <c r="D178" s="709">
        <v>864200</v>
      </c>
      <c r="E178" s="709">
        <v>864200</v>
      </c>
      <c r="F178" s="709"/>
      <c r="G178" s="1051">
        <v>0</v>
      </c>
      <c r="H178" s="1055">
        <f t="shared" si="36"/>
        <v>100</v>
      </c>
      <c r="I178" s="1056">
        <v>0</v>
      </c>
      <c r="J178" s="29">
        <v>221800</v>
      </c>
    </row>
    <row r="179" spans="1:12" s="98" customFormat="1" ht="12.75" customHeight="1" x14ac:dyDescent="0.2">
      <c r="A179" s="707"/>
      <c r="B179" s="708" t="s">
        <v>1896</v>
      </c>
      <c r="C179" s="709">
        <v>0</v>
      </c>
      <c r="D179" s="709">
        <v>3705.41</v>
      </c>
      <c r="E179" s="709">
        <v>3705.41</v>
      </c>
      <c r="F179" s="709"/>
      <c r="G179" s="1051">
        <v>0</v>
      </c>
      <c r="H179" s="1055">
        <f t="shared" si="36"/>
        <v>100</v>
      </c>
      <c r="I179" s="1056">
        <v>0</v>
      </c>
      <c r="J179" s="29">
        <v>0</v>
      </c>
    </row>
    <row r="180" spans="1:12" ht="25.5" x14ac:dyDescent="0.2">
      <c r="A180" s="660">
        <v>4112</v>
      </c>
      <c r="B180" s="688" t="s">
        <v>1166</v>
      </c>
      <c r="C180" s="637">
        <v>43668300</v>
      </c>
      <c r="D180" s="637">
        <f>43668300+2499800</f>
        <v>46168100</v>
      </c>
      <c r="E180" s="637">
        <v>46168100</v>
      </c>
      <c r="F180" s="644"/>
      <c r="G180" s="630">
        <f t="shared" ref="G180:G239" si="38">E180/C180*100</f>
        <v>105.72451870120889</v>
      </c>
      <c r="H180" s="1052">
        <f t="shared" si="36"/>
        <v>100</v>
      </c>
      <c r="I180" s="639">
        <f t="shared" si="37"/>
        <v>105.72451870120889</v>
      </c>
      <c r="J180" s="1037">
        <v>43668300</v>
      </c>
    </row>
    <row r="181" spans="1:12" s="98" customFormat="1" ht="12.75" customHeight="1" x14ac:dyDescent="0.2">
      <c r="A181" s="663">
        <v>4116</v>
      </c>
      <c r="B181" s="629" t="s">
        <v>201</v>
      </c>
      <c r="C181" s="635">
        <f>SUM(C183:C196)</f>
        <v>700000</v>
      </c>
      <c r="D181" s="635">
        <f>SUM(D182:D196)</f>
        <v>24130394.16</v>
      </c>
      <c r="E181" s="635">
        <v>24130394.16</v>
      </c>
      <c r="F181" s="652">
        <f>SUM(E182:E196)</f>
        <v>24130394.16</v>
      </c>
      <c r="G181" s="630">
        <f t="shared" si="38"/>
        <v>3447.1991657142858</v>
      </c>
      <c r="H181" s="1052">
        <f t="shared" si="36"/>
        <v>100</v>
      </c>
      <c r="I181" s="631">
        <f t="shared" si="37"/>
        <v>116.54796784914198</v>
      </c>
      <c r="J181" s="29">
        <v>20704259.890000001</v>
      </c>
    </row>
    <row r="182" spans="1:12" ht="12.75" customHeight="1" x14ac:dyDescent="0.2">
      <c r="A182" s="664"/>
      <c r="B182" s="643" t="s">
        <v>1897</v>
      </c>
      <c r="C182" s="644">
        <v>0</v>
      </c>
      <c r="D182" s="644">
        <f>(59357.27+504536.84)</f>
        <v>563894.11</v>
      </c>
      <c r="E182" s="644">
        <v>563894.11</v>
      </c>
      <c r="F182" s="644"/>
      <c r="G182" s="1051">
        <v>0</v>
      </c>
      <c r="H182" s="1055">
        <f t="shared" si="36"/>
        <v>100</v>
      </c>
      <c r="I182" s="1056">
        <v>0</v>
      </c>
      <c r="J182" s="29">
        <v>0</v>
      </c>
    </row>
    <row r="183" spans="1:12" ht="12.75" customHeight="1" x14ac:dyDescent="0.2">
      <c r="A183" s="664"/>
      <c r="B183" s="643" t="s">
        <v>1898</v>
      </c>
      <c r="C183" s="644">
        <v>0</v>
      </c>
      <c r="D183" s="644">
        <v>1059598</v>
      </c>
      <c r="E183" s="644">
        <v>1059598</v>
      </c>
      <c r="F183" s="644"/>
      <c r="G183" s="1051">
        <v>0</v>
      </c>
      <c r="H183" s="1055">
        <f t="shared" si="36"/>
        <v>100</v>
      </c>
      <c r="I183" s="1056">
        <f t="shared" si="37"/>
        <v>92.578664928556336</v>
      </c>
      <c r="J183" s="29">
        <v>1144538</v>
      </c>
    </row>
    <row r="184" spans="1:12" ht="12.75" customHeight="1" x14ac:dyDescent="0.2">
      <c r="A184" s="663"/>
      <c r="B184" s="672" t="s">
        <v>1899</v>
      </c>
      <c r="C184" s="644">
        <v>0</v>
      </c>
      <c r="D184" s="644">
        <v>8304000</v>
      </c>
      <c r="E184" s="644">
        <v>8304000</v>
      </c>
      <c r="F184" s="644"/>
      <c r="G184" s="1051">
        <v>0</v>
      </c>
      <c r="H184" s="1055">
        <f t="shared" si="36"/>
        <v>100</v>
      </c>
      <c r="I184" s="1056">
        <f t="shared" si="37"/>
        <v>111.07544141252006</v>
      </c>
      <c r="J184" s="29">
        <v>7476000</v>
      </c>
    </row>
    <row r="185" spans="1:12" ht="12.75" customHeight="1" x14ac:dyDescent="0.2">
      <c r="A185" s="663"/>
      <c r="B185" s="672" t="s">
        <v>2102</v>
      </c>
      <c r="C185" s="644">
        <v>0</v>
      </c>
      <c r="D185" s="644">
        <v>114563.55</v>
      </c>
      <c r="E185" s="644">
        <v>114563.55</v>
      </c>
      <c r="F185" s="644"/>
      <c r="G185" s="1051">
        <v>0</v>
      </c>
      <c r="H185" s="1055">
        <f t="shared" si="36"/>
        <v>100</v>
      </c>
      <c r="I185" s="1056">
        <v>0</v>
      </c>
      <c r="J185" s="29">
        <v>0</v>
      </c>
    </row>
    <row r="186" spans="1:12" s="2" customFormat="1" ht="12.75" customHeight="1" x14ac:dyDescent="0.2">
      <c r="A186" s="715"/>
      <c r="B186" s="693" t="s">
        <v>1900</v>
      </c>
      <c r="C186" s="652">
        <v>0</v>
      </c>
      <c r="D186" s="652">
        <f t="shared" ref="D186:D187" si="39">(635.25+12705)</f>
        <v>13340.25</v>
      </c>
      <c r="E186" s="652">
        <v>13340.25</v>
      </c>
      <c r="F186" s="652"/>
      <c r="G186" s="1051">
        <v>0</v>
      </c>
      <c r="H186" s="1055">
        <f t="shared" si="36"/>
        <v>100</v>
      </c>
      <c r="I186" s="1056">
        <v>0</v>
      </c>
      <c r="J186" s="88">
        <v>0</v>
      </c>
    </row>
    <row r="187" spans="1:12" s="2" customFormat="1" ht="12.75" customHeight="1" x14ac:dyDescent="0.2">
      <c r="A187" s="715"/>
      <c r="B187" s="693" t="s">
        <v>1901</v>
      </c>
      <c r="C187" s="652">
        <v>0</v>
      </c>
      <c r="D187" s="652">
        <f t="shared" si="39"/>
        <v>13340.25</v>
      </c>
      <c r="E187" s="652">
        <v>13340.25</v>
      </c>
      <c r="F187" s="652"/>
      <c r="G187" s="1051">
        <v>0</v>
      </c>
      <c r="H187" s="1055">
        <f t="shared" si="36"/>
        <v>100</v>
      </c>
      <c r="I187" s="1056">
        <v>0</v>
      </c>
      <c r="J187" s="88">
        <v>0</v>
      </c>
    </row>
    <row r="188" spans="1:12" s="2" customFormat="1" ht="12.75" customHeight="1" x14ac:dyDescent="0.2">
      <c r="A188" s="715"/>
      <c r="B188" s="693" t="s">
        <v>2103</v>
      </c>
      <c r="C188" s="652">
        <v>0</v>
      </c>
      <c r="D188" s="652">
        <f>(2117.5+35997.5)</f>
        <v>38115</v>
      </c>
      <c r="E188" s="652">
        <v>38115</v>
      </c>
      <c r="F188" s="652"/>
      <c r="G188" s="1051">
        <v>0</v>
      </c>
      <c r="H188" s="1055">
        <f t="shared" si="36"/>
        <v>100</v>
      </c>
      <c r="I188" s="1056">
        <v>0</v>
      </c>
      <c r="J188" s="88">
        <v>0</v>
      </c>
    </row>
    <row r="189" spans="1:12" s="98" customFormat="1" ht="12.75" customHeight="1" x14ac:dyDescent="0.2">
      <c r="A189" s="692"/>
      <c r="B189" s="643" t="s">
        <v>1902</v>
      </c>
      <c r="C189" s="644">
        <v>0</v>
      </c>
      <c r="D189" s="644">
        <v>14200</v>
      </c>
      <c r="E189" s="644">
        <v>14200</v>
      </c>
      <c r="F189" s="644"/>
      <c r="G189" s="1051">
        <v>0</v>
      </c>
      <c r="H189" s="1055">
        <f t="shared" si="36"/>
        <v>100</v>
      </c>
      <c r="I189" s="1056">
        <v>0</v>
      </c>
      <c r="J189" s="29">
        <v>0</v>
      </c>
      <c r="K189" s="150"/>
    </row>
    <row r="190" spans="1:12" s="98" customFormat="1" ht="12.75" customHeight="1" x14ac:dyDescent="0.2">
      <c r="A190" s="692"/>
      <c r="B190" s="643" t="s">
        <v>1903</v>
      </c>
      <c r="C190" s="644">
        <v>200000</v>
      </c>
      <c r="D190" s="644">
        <f>200000+35205-108238</f>
        <v>126967</v>
      </c>
      <c r="E190" s="644">
        <v>126967</v>
      </c>
      <c r="F190" s="644"/>
      <c r="G190" s="1051">
        <f t="shared" si="38"/>
        <v>63.483500000000006</v>
      </c>
      <c r="H190" s="1055">
        <f t="shared" si="36"/>
        <v>100</v>
      </c>
      <c r="I190" s="1056">
        <f t="shared" si="37"/>
        <v>813.89102564102564</v>
      </c>
      <c r="J190" s="29">
        <v>15600</v>
      </c>
      <c r="K190" s="150"/>
    </row>
    <row r="191" spans="1:12" s="98" customFormat="1" ht="12.75" customHeight="1" x14ac:dyDescent="0.2">
      <c r="A191" s="1070"/>
      <c r="B191" s="832" t="s">
        <v>2104</v>
      </c>
      <c r="C191" s="816">
        <v>0</v>
      </c>
      <c r="D191" s="816">
        <f>(949089.62+3130384.38)</f>
        <v>4079474</v>
      </c>
      <c r="E191" s="1071">
        <v>4079474</v>
      </c>
      <c r="F191" s="1071"/>
      <c r="G191" s="1051">
        <v>0</v>
      </c>
      <c r="H191" s="1055">
        <f t="shared" si="36"/>
        <v>100</v>
      </c>
      <c r="I191" s="1056">
        <v>0</v>
      </c>
      <c r="J191" s="1072">
        <v>0</v>
      </c>
      <c r="K191" s="29"/>
      <c r="L191" s="150"/>
    </row>
    <row r="192" spans="1:12" s="98" customFormat="1" ht="12.75" customHeight="1" x14ac:dyDescent="0.2">
      <c r="A192" s="1070"/>
      <c r="B192" s="832" t="s">
        <v>1904</v>
      </c>
      <c r="C192" s="816">
        <v>0</v>
      </c>
      <c r="D192" s="816">
        <f>(1005316.48+3315837.52)</f>
        <v>4321154</v>
      </c>
      <c r="E192" s="1071">
        <v>4321154</v>
      </c>
      <c r="F192" s="1071"/>
      <c r="G192" s="1051">
        <v>0</v>
      </c>
      <c r="H192" s="1055">
        <f t="shared" si="36"/>
        <v>100</v>
      </c>
      <c r="I192" s="1056">
        <v>0</v>
      </c>
      <c r="J192" s="1072">
        <v>0</v>
      </c>
      <c r="K192" s="29"/>
      <c r="L192" s="150"/>
    </row>
    <row r="193" spans="1:12" s="98" customFormat="1" ht="12.75" customHeight="1" x14ac:dyDescent="0.2">
      <c r="A193" s="1070"/>
      <c r="B193" s="832" t="s">
        <v>1905</v>
      </c>
      <c r="C193" s="816">
        <v>0</v>
      </c>
      <c r="D193" s="816">
        <f>(519876.2+1714708.8)</f>
        <v>2234585</v>
      </c>
      <c r="E193" s="1071">
        <v>2234585</v>
      </c>
      <c r="F193" s="1071"/>
      <c r="G193" s="1051">
        <v>0</v>
      </c>
      <c r="H193" s="1055">
        <f t="shared" ref="H193:H256" si="40">E193/D193*100</f>
        <v>100</v>
      </c>
      <c r="I193" s="1056">
        <v>0</v>
      </c>
      <c r="J193" s="1072">
        <v>0</v>
      </c>
      <c r="K193" s="29"/>
      <c r="L193" s="150"/>
    </row>
    <row r="194" spans="1:12" s="98" customFormat="1" ht="12.75" customHeight="1" x14ac:dyDescent="0.2">
      <c r="A194" s="1070"/>
      <c r="B194" s="832" t="s">
        <v>1906</v>
      </c>
      <c r="C194" s="816">
        <v>0</v>
      </c>
      <c r="D194" s="816">
        <f>(551883.72+1820279.28)</f>
        <v>2372163</v>
      </c>
      <c r="E194" s="1071">
        <v>2372163</v>
      </c>
      <c r="F194" s="1071"/>
      <c r="G194" s="1051">
        <v>0</v>
      </c>
      <c r="H194" s="1055">
        <f t="shared" si="40"/>
        <v>100</v>
      </c>
      <c r="I194" s="1056">
        <v>0</v>
      </c>
      <c r="J194" s="1072">
        <v>0</v>
      </c>
      <c r="K194" s="29"/>
      <c r="L194" s="150"/>
    </row>
    <row r="195" spans="1:12" s="98" customFormat="1" ht="12.75" customHeight="1" x14ac:dyDescent="0.2">
      <c r="A195" s="692"/>
      <c r="B195" s="643" t="s">
        <v>1907</v>
      </c>
      <c r="C195" s="644">
        <v>0</v>
      </c>
      <c r="D195" s="644">
        <v>100000</v>
      </c>
      <c r="E195" s="644">
        <v>100000</v>
      </c>
      <c r="F195" s="644"/>
      <c r="G195" s="1051">
        <v>0</v>
      </c>
      <c r="H195" s="1055">
        <f t="shared" si="40"/>
        <v>100</v>
      </c>
      <c r="I195" s="1056">
        <v>0</v>
      </c>
      <c r="J195" s="29">
        <v>0</v>
      </c>
      <c r="K195" s="150"/>
    </row>
    <row r="196" spans="1:12" s="98" customFormat="1" ht="12.75" customHeight="1" x14ac:dyDescent="0.2">
      <c r="A196" s="692"/>
      <c r="B196" s="650" t="s">
        <v>2105</v>
      </c>
      <c r="C196" s="644">
        <v>500000</v>
      </c>
      <c r="D196" s="644">
        <f>500000+(775000-500000)</f>
        <v>775000</v>
      </c>
      <c r="E196" s="1073">
        <v>775000</v>
      </c>
      <c r="F196" s="1073"/>
      <c r="G196" s="1051">
        <f t="shared" si="38"/>
        <v>155</v>
      </c>
      <c r="H196" s="1055">
        <f t="shared" si="40"/>
        <v>100</v>
      </c>
      <c r="I196" s="1056">
        <v>0</v>
      </c>
      <c r="J196" s="29">
        <v>0</v>
      </c>
      <c r="K196" s="150"/>
    </row>
    <row r="197" spans="1:12" ht="12.75" customHeight="1" x14ac:dyDescent="0.2">
      <c r="A197" s="663">
        <v>4121</v>
      </c>
      <c r="B197" s="629" t="s">
        <v>213</v>
      </c>
      <c r="C197" s="635">
        <f>SUM(C198:C204)</f>
        <v>2109621</v>
      </c>
      <c r="D197" s="635">
        <f>SUM(D198:D204)</f>
        <v>2308368</v>
      </c>
      <c r="E197" s="635">
        <v>2308368</v>
      </c>
      <c r="F197" s="652">
        <f>SUM(E198:E204)</f>
        <v>2308368</v>
      </c>
      <c r="G197" s="630">
        <f t="shared" si="38"/>
        <v>109.4209813042248</v>
      </c>
      <c r="H197" s="1052">
        <f t="shared" si="40"/>
        <v>100</v>
      </c>
      <c r="I197" s="631">
        <f t="shared" si="37"/>
        <v>105.60971984506067</v>
      </c>
      <c r="J197" s="29">
        <v>2185753.36</v>
      </c>
    </row>
    <row r="198" spans="1:12" ht="12.75" customHeight="1" x14ac:dyDescent="0.2">
      <c r="A198" s="663"/>
      <c r="B198" s="643" t="s">
        <v>1175</v>
      </c>
      <c r="C198" s="644">
        <v>360000</v>
      </c>
      <c r="D198" s="644">
        <f>360000+67500</f>
        <v>427500</v>
      </c>
      <c r="E198" s="644">
        <v>427500</v>
      </c>
      <c r="F198" s="644"/>
      <c r="G198" s="1051">
        <f t="shared" si="38"/>
        <v>118.75</v>
      </c>
      <c r="H198" s="1055">
        <f t="shared" si="40"/>
        <v>100</v>
      </c>
      <c r="I198" s="1056">
        <f t="shared" si="37"/>
        <v>147.41379310344826</v>
      </c>
      <c r="J198" s="29">
        <v>290000</v>
      </c>
    </row>
    <row r="199" spans="1:12" x14ac:dyDescent="0.2">
      <c r="A199" s="663"/>
      <c r="B199" s="643" t="s">
        <v>1176</v>
      </c>
      <c r="C199" s="644">
        <v>3000</v>
      </c>
      <c r="D199" s="644">
        <f>3000-204</f>
        <v>2796</v>
      </c>
      <c r="E199" s="644">
        <v>2796</v>
      </c>
      <c r="F199" s="644"/>
      <c r="G199" s="1051">
        <f t="shared" si="38"/>
        <v>93.2</v>
      </c>
      <c r="H199" s="1055">
        <f t="shared" si="40"/>
        <v>100</v>
      </c>
      <c r="I199" s="1056">
        <f t="shared" ref="I199:I261" si="41">E199/J199*100</f>
        <v>142.87174246295351</v>
      </c>
      <c r="J199" s="29">
        <v>1957</v>
      </c>
    </row>
    <row r="200" spans="1:12" ht="12.75" customHeight="1" x14ac:dyDescent="0.2">
      <c r="A200" s="663"/>
      <c r="B200" s="643" t="s">
        <v>1178</v>
      </c>
      <c r="C200" s="644">
        <v>918175</v>
      </c>
      <c r="D200" s="644">
        <f>918175-75889</f>
        <v>842286</v>
      </c>
      <c r="E200" s="644">
        <v>842286</v>
      </c>
      <c r="F200" s="644"/>
      <c r="G200" s="1051">
        <f t="shared" si="38"/>
        <v>91.734800010891178</v>
      </c>
      <c r="H200" s="1055">
        <f t="shared" si="40"/>
        <v>100</v>
      </c>
      <c r="I200" s="1056">
        <f t="shared" si="41"/>
        <v>126.23736556238984</v>
      </c>
      <c r="J200" s="29">
        <v>667224</v>
      </c>
      <c r="K200" s="150"/>
    </row>
    <row r="201" spans="1:12" ht="12.75" customHeight="1" x14ac:dyDescent="0.2">
      <c r="A201" s="663"/>
      <c r="B201" s="643" t="s">
        <v>1179</v>
      </c>
      <c r="C201" s="644">
        <v>602075</v>
      </c>
      <c r="D201" s="644">
        <v>602075</v>
      </c>
      <c r="E201" s="644">
        <v>602075</v>
      </c>
      <c r="F201" s="644"/>
      <c r="G201" s="1051">
        <f t="shared" si="38"/>
        <v>100</v>
      </c>
      <c r="H201" s="1055">
        <f t="shared" si="40"/>
        <v>100</v>
      </c>
      <c r="I201" s="1056">
        <f t="shared" si="41"/>
        <v>67.677544308094554</v>
      </c>
      <c r="J201" s="29">
        <v>889623</v>
      </c>
      <c r="K201" s="150"/>
    </row>
    <row r="202" spans="1:12" ht="12.75" customHeight="1" x14ac:dyDescent="0.2">
      <c r="A202" s="663"/>
      <c r="B202" s="643" t="s">
        <v>1180</v>
      </c>
      <c r="C202" s="644">
        <v>126071</v>
      </c>
      <c r="D202" s="644">
        <v>126071</v>
      </c>
      <c r="E202" s="644">
        <v>126071</v>
      </c>
      <c r="F202" s="644"/>
      <c r="G202" s="1051">
        <f t="shared" si="38"/>
        <v>100</v>
      </c>
      <c r="H202" s="1055">
        <f t="shared" si="40"/>
        <v>100</v>
      </c>
      <c r="I202" s="1056">
        <f t="shared" si="41"/>
        <v>54.487500864393887</v>
      </c>
      <c r="J202" s="29">
        <v>231376</v>
      </c>
      <c r="K202" s="150"/>
    </row>
    <row r="203" spans="1:12" ht="12.75" customHeight="1" x14ac:dyDescent="0.2">
      <c r="A203" s="663"/>
      <c r="B203" s="643" t="s">
        <v>1181</v>
      </c>
      <c r="C203" s="644">
        <v>100000</v>
      </c>
      <c r="D203" s="644">
        <f>100000+(230505-100000)+76835</f>
        <v>307340</v>
      </c>
      <c r="E203" s="644">
        <v>307340</v>
      </c>
      <c r="F203" s="644"/>
      <c r="G203" s="1051">
        <f t="shared" si="38"/>
        <v>307.33999999999997</v>
      </c>
      <c r="H203" s="1055">
        <f t="shared" si="40"/>
        <v>100</v>
      </c>
      <c r="I203" s="1056">
        <f t="shared" si="41"/>
        <v>372.20236647751767</v>
      </c>
      <c r="J203" s="29">
        <v>82573.36</v>
      </c>
    </row>
    <row r="204" spans="1:12" x14ac:dyDescent="0.2">
      <c r="A204" s="663"/>
      <c r="B204" s="672" t="s">
        <v>1183</v>
      </c>
      <c r="C204" s="644">
        <v>300</v>
      </c>
      <c r="D204" s="644">
        <v>300</v>
      </c>
      <c r="E204" s="644">
        <v>300</v>
      </c>
      <c r="F204" s="644"/>
      <c r="G204" s="1051">
        <f t="shared" si="38"/>
        <v>100</v>
      </c>
      <c r="H204" s="1055">
        <f t="shared" si="40"/>
        <v>100</v>
      </c>
      <c r="I204" s="1056">
        <v>0</v>
      </c>
      <c r="J204" s="29">
        <v>0</v>
      </c>
    </row>
    <row r="205" spans="1:12" ht="12.75" customHeight="1" x14ac:dyDescent="0.2">
      <c r="A205" s="663">
        <v>4122</v>
      </c>
      <c r="B205" s="634" t="s">
        <v>221</v>
      </c>
      <c r="C205" s="635">
        <f>SUM(C208:C217)</f>
        <v>0</v>
      </c>
      <c r="D205" s="635">
        <f>SUM(D206:D217)</f>
        <v>11302616.870000001</v>
      </c>
      <c r="E205" s="635">
        <v>11302616.869999999</v>
      </c>
      <c r="F205" s="652">
        <f>SUM(E206:E217)</f>
        <v>11302616.870000001</v>
      </c>
      <c r="G205" s="630">
        <v>0</v>
      </c>
      <c r="H205" s="1052">
        <f t="shared" si="40"/>
        <v>99.999999999999986</v>
      </c>
      <c r="I205" s="631">
        <f t="shared" si="41"/>
        <v>74.952082225100639</v>
      </c>
      <c r="J205" s="29">
        <v>15079790.359999999</v>
      </c>
      <c r="K205" s="150"/>
    </row>
    <row r="206" spans="1:12" s="98" customFormat="1" ht="12.75" customHeight="1" x14ac:dyDescent="0.2">
      <c r="A206" s="692"/>
      <c r="B206" s="690" t="s">
        <v>2106</v>
      </c>
      <c r="C206" s="644">
        <v>0</v>
      </c>
      <c r="D206" s="644">
        <f>(4900+44100)</f>
        <v>49000</v>
      </c>
      <c r="E206" s="644">
        <v>49000</v>
      </c>
      <c r="F206" s="644"/>
      <c r="G206" s="1051">
        <v>0</v>
      </c>
      <c r="H206" s="1055">
        <f t="shared" si="40"/>
        <v>100</v>
      </c>
      <c r="I206" s="1056">
        <v>0</v>
      </c>
      <c r="J206" s="29">
        <v>0</v>
      </c>
      <c r="K206" s="150"/>
    </row>
    <row r="207" spans="1:12" s="98" customFormat="1" ht="12.75" customHeight="1" x14ac:dyDescent="0.2">
      <c r="A207" s="692"/>
      <c r="B207" s="690" t="s">
        <v>2107</v>
      </c>
      <c r="C207" s="644">
        <v>0</v>
      </c>
      <c r="D207" s="644">
        <f>(7519+67671)</f>
        <v>75190</v>
      </c>
      <c r="E207" s="644">
        <v>75190</v>
      </c>
      <c r="F207" s="644"/>
      <c r="G207" s="1051">
        <v>0</v>
      </c>
      <c r="H207" s="1055">
        <f t="shared" si="40"/>
        <v>100</v>
      </c>
      <c r="I207" s="1056">
        <v>0</v>
      </c>
      <c r="J207" s="29">
        <v>0</v>
      </c>
      <c r="K207" s="150"/>
    </row>
    <row r="208" spans="1:12" s="98" customFormat="1" ht="12.75" customHeight="1" x14ac:dyDescent="0.2">
      <c r="A208" s="692"/>
      <c r="B208" s="690" t="s">
        <v>2108</v>
      </c>
      <c r="C208" s="644">
        <v>0</v>
      </c>
      <c r="D208" s="644">
        <f>(6798+61182)</f>
        <v>67980</v>
      </c>
      <c r="E208" s="644">
        <v>67980</v>
      </c>
      <c r="F208" s="644"/>
      <c r="G208" s="1051">
        <v>0</v>
      </c>
      <c r="H208" s="1055">
        <f t="shared" si="40"/>
        <v>100</v>
      </c>
      <c r="I208" s="1056">
        <v>0</v>
      </c>
      <c r="J208" s="29">
        <v>0</v>
      </c>
      <c r="K208" s="150"/>
    </row>
    <row r="209" spans="1:17" s="98" customFormat="1" ht="12.75" customHeight="1" x14ac:dyDescent="0.2">
      <c r="A209" s="692"/>
      <c r="B209" s="690" t="s">
        <v>1189</v>
      </c>
      <c r="C209" s="644">
        <v>0</v>
      </c>
      <c r="D209" s="644">
        <v>4551000</v>
      </c>
      <c r="E209" s="644">
        <v>4551000</v>
      </c>
      <c r="F209" s="644"/>
      <c r="G209" s="1051">
        <v>0</v>
      </c>
      <c r="H209" s="1055">
        <f t="shared" si="40"/>
        <v>100</v>
      </c>
      <c r="I209" s="1056">
        <f t="shared" si="41"/>
        <v>102.26966292134831</v>
      </c>
      <c r="J209" s="29">
        <v>4450000</v>
      </c>
      <c r="K209" s="150"/>
    </row>
    <row r="210" spans="1:17" s="98" customFormat="1" ht="12.75" customHeight="1" x14ac:dyDescent="0.2">
      <c r="A210" s="692"/>
      <c r="B210" s="690" t="s">
        <v>1910</v>
      </c>
      <c r="C210" s="644">
        <v>0</v>
      </c>
      <c r="D210" s="644">
        <v>80000</v>
      </c>
      <c r="E210" s="644">
        <v>80000</v>
      </c>
      <c r="F210" s="644"/>
      <c r="G210" s="1051">
        <v>0</v>
      </c>
      <c r="H210" s="1055">
        <f t="shared" si="40"/>
        <v>100</v>
      </c>
      <c r="I210" s="1056">
        <f t="shared" si="41"/>
        <v>100</v>
      </c>
      <c r="J210" s="29">
        <v>80000</v>
      </c>
      <c r="K210" s="150"/>
    </row>
    <row r="211" spans="1:17" s="98" customFormat="1" ht="12.75" customHeight="1" x14ac:dyDescent="0.2">
      <c r="A211" s="692"/>
      <c r="B211" s="690" t="s">
        <v>1911</v>
      </c>
      <c r="C211" s="644">
        <v>0</v>
      </c>
      <c r="D211" s="644">
        <v>50000</v>
      </c>
      <c r="E211" s="644">
        <v>50000</v>
      </c>
      <c r="F211" s="644"/>
      <c r="G211" s="1051">
        <v>0</v>
      </c>
      <c r="H211" s="1055">
        <f t="shared" si="40"/>
        <v>100</v>
      </c>
      <c r="I211" s="1056">
        <f t="shared" si="41"/>
        <v>113.63636363636364</v>
      </c>
      <c r="J211" s="29">
        <v>44000</v>
      </c>
      <c r="K211" s="150"/>
    </row>
    <row r="212" spans="1:17" s="98" customFormat="1" ht="12.75" customHeight="1" x14ac:dyDescent="0.2">
      <c r="A212" s="692"/>
      <c r="B212" s="643" t="s">
        <v>1912</v>
      </c>
      <c r="C212" s="644">
        <v>0</v>
      </c>
      <c r="D212" s="644">
        <v>9234</v>
      </c>
      <c r="E212" s="644">
        <v>9234</v>
      </c>
      <c r="F212" s="644"/>
      <c r="G212" s="1051">
        <v>0</v>
      </c>
      <c r="H212" s="1055">
        <f t="shared" si="40"/>
        <v>100</v>
      </c>
      <c r="I212" s="1056">
        <f t="shared" si="41"/>
        <v>25</v>
      </c>
      <c r="J212" s="29">
        <v>36936</v>
      </c>
      <c r="K212" s="150"/>
    </row>
    <row r="213" spans="1:17" s="98" customFormat="1" ht="12.75" customHeight="1" x14ac:dyDescent="0.2">
      <c r="A213" s="692"/>
      <c r="B213" s="690" t="s">
        <v>1913</v>
      </c>
      <c r="C213" s="644">
        <v>0</v>
      </c>
      <c r="D213" s="644">
        <v>210200</v>
      </c>
      <c r="E213" s="644">
        <v>210200</v>
      </c>
      <c r="F213" s="644"/>
      <c r="G213" s="1051">
        <v>0</v>
      </c>
      <c r="H213" s="1055">
        <f t="shared" si="40"/>
        <v>100</v>
      </c>
      <c r="I213" s="1056">
        <f t="shared" si="41"/>
        <v>111.80851063829786</v>
      </c>
      <c r="J213" s="29">
        <v>188000</v>
      </c>
      <c r="K213" s="150"/>
    </row>
    <row r="214" spans="1:17" s="98" customFormat="1" ht="12.75" customHeight="1" x14ac:dyDescent="0.2">
      <c r="A214" s="692"/>
      <c r="B214" s="690" t="s">
        <v>1914</v>
      </c>
      <c r="C214" s="644">
        <v>0</v>
      </c>
      <c r="D214" s="644">
        <v>45000</v>
      </c>
      <c r="E214" s="644">
        <v>45000</v>
      </c>
      <c r="F214" s="644"/>
      <c r="G214" s="1051">
        <v>0</v>
      </c>
      <c r="H214" s="1055">
        <f t="shared" si="40"/>
        <v>100</v>
      </c>
      <c r="I214" s="1056">
        <f t="shared" si="41"/>
        <v>1.2642047449818095</v>
      </c>
      <c r="J214" s="29">
        <v>3559550</v>
      </c>
      <c r="K214" s="150"/>
    </row>
    <row r="215" spans="1:17" s="98" customFormat="1" ht="12.75" customHeight="1" x14ac:dyDescent="0.2">
      <c r="A215" s="692"/>
      <c r="B215" s="690" t="s">
        <v>2109</v>
      </c>
      <c r="C215" s="644">
        <v>0</v>
      </c>
      <c r="D215" s="644">
        <f>170400-28290</f>
        <v>142110</v>
      </c>
      <c r="E215" s="644">
        <v>142110</v>
      </c>
      <c r="F215" s="644"/>
      <c r="G215" s="1051">
        <v>0</v>
      </c>
      <c r="H215" s="1055">
        <f t="shared" si="40"/>
        <v>100</v>
      </c>
      <c r="I215" s="1056">
        <f t="shared" si="41"/>
        <v>67.639219419324121</v>
      </c>
      <c r="J215" s="29">
        <v>210100</v>
      </c>
      <c r="K215" s="150"/>
    </row>
    <row r="216" spans="1:17" ht="12.75" customHeight="1" x14ac:dyDescent="0.2">
      <c r="A216" s="1074"/>
      <c r="B216" s="832" t="s">
        <v>1915</v>
      </c>
      <c r="C216" s="1075">
        <v>0</v>
      </c>
      <c r="D216" s="1075">
        <f>(4752.88+26932.97)+(1806.05+10234.3)+(5713.08+32374.09)+(-1607.13-9107.07)+(-1051.79-5960.11)+(-177.66-1006.74)</f>
        <v>62902.869999999995</v>
      </c>
      <c r="E216" s="1075">
        <v>62902.87</v>
      </c>
      <c r="F216" s="1075"/>
      <c r="G216" s="1051">
        <v>0</v>
      </c>
      <c r="H216" s="1055">
        <f t="shared" si="40"/>
        <v>100.00000000000003</v>
      </c>
      <c r="I216" s="1056">
        <f t="shared" si="41"/>
        <v>29.782941033982446</v>
      </c>
      <c r="J216" s="1072">
        <v>211204.36</v>
      </c>
      <c r="K216" s="29"/>
      <c r="Q216" s="150"/>
    </row>
    <row r="217" spans="1:17" ht="12.75" customHeight="1" x14ac:dyDescent="0.2">
      <c r="A217" s="663"/>
      <c r="B217" s="643" t="s">
        <v>1916</v>
      </c>
      <c r="C217" s="644">
        <v>0</v>
      </c>
      <c r="D217" s="644">
        <v>5960000</v>
      </c>
      <c r="E217" s="644">
        <v>5960000</v>
      </c>
      <c r="F217" s="644"/>
      <c r="G217" s="1051">
        <v>0</v>
      </c>
      <c r="H217" s="1055">
        <f t="shared" si="40"/>
        <v>100</v>
      </c>
      <c r="I217" s="1056">
        <f t="shared" si="41"/>
        <v>95.36</v>
      </c>
      <c r="J217" s="1076">
        <v>6250000</v>
      </c>
      <c r="K217" s="150"/>
    </row>
    <row r="218" spans="1:17" s="98" customFormat="1" ht="12.75" customHeight="1" x14ac:dyDescent="0.2">
      <c r="A218" s="1057">
        <v>4134</v>
      </c>
      <c r="B218" s="629" t="s">
        <v>2110</v>
      </c>
      <c r="C218" s="637">
        <v>6100000</v>
      </c>
      <c r="D218" s="637">
        <f>6100000-94000</f>
        <v>6006000</v>
      </c>
      <c r="E218" s="637">
        <f>6006000+508023.13</f>
        <v>6514023.1299999999</v>
      </c>
      <c r="F218" s="644"/>
      <c r="G218" s="630">
        <f t="shared" si="38"/>
        <v>106.7872644262295</v>
      </c>
      <c r="H218" s="1052">
        <f t="shared" si="40"/>
        <v>108.45859357309358</v>
      </c>
      <c r="I218" s="631">
        <f t="shared" si="41"/>
        <v>100.84563783013903</v>
      </c>
      <c r="J218" s="29">
        <v>6459400</v>
      </c>
    </row>
    <row r="219" spans="1:17" s="98" customFormat="1" ht="12.75" customHeight="1" x14ac:dyDescent="0.2">
      <c r="A219" s="663">
        <v>4213</v>
      </c>
      <c r="B219" s="629" t="s">
        <v>229</v>
      </c>
      <c r="C219" s="635">
        <f>SUM(C220)</f>
        <v>1400000</v>
      </c>
      <c r="D219" s="635">
        <f>SUM(D220)</f>
        <v>2180699.34</v>
      </c>
      <c r="E219" s="635">
        <v>2180699.34</v>
      </c>
      <c r="F219" s="652"/>
      <c r="G219" s="630">
        <f t="shared" si="38"/>
        <v>155.76423857142856</v>
      </c>
      <c r="H219" s="1052">
        <f t="shared" si="40"/>
        <v>100</v>
      </c>
      <c r="I219" s="631">
        <v>0</v>
      </c>
      <c r="J219" s="29">
        <v>0</v>
      </c>
    </row>
    <row r="220" spans="1:17" s="2" customFormat="1" ht="12.75" customHeight="1" x14ac:dyDescent="0.2">
      <c r="A220" s="715"/>
      <c r="B220" s="672" t="s">
        <v>2111</v>
      </c>
      <c r="C220" s="652">
        <v>1400000</v>
      </c>
      <c r="D220" s="652">
        <f>1400000-1400000+2180699.34</f>
        <v>2180699.34</v>
      </c>
      <c r="E220" s="652">
        <v>2180699.34</v>
      </c>
      <c r="F220" s="652"/>
      <c r="G220" s="1051">
        <f t="shared" si="38"/>
        <v>155.76423857142856</v>
      </c>
      <c r="H220" s="1055">
        <f t="shared" si="40"/>
        <v>100</v>
      </c>
      <c r="I220" s="1056">
        <v>0</v>
      </c>
      <c r="J220" s="88">
        <v>0</v>
      </c>
    </row>
    <row r="221" spans="1:17" s="98" customFormat="1" ht="12.75" customHeight="1" x14ac:dyDescent="0.2">
      <c r="A221" s="663">
        <v>4216</v>
      </c>
      <c r="B221" s="634" t="s">
        <v>234</v>
      </c>
      <c r="C221" s="718">
        <f>SUM(C222:C227)</f>
        <v>12419843.800000001</v>
      </c>
      <c r="D221" s="718">
        <f>SUM(D222:D227)</f>
        <v>12233249.83</v>
      </c>
      <c r="E221" s="718">
        <v>12233249.83</v>
      </c>
      <c r="F221" s="1077">
        <f>SUM(E222:E227)</f>
        <v>12233249.830000002</v>
      </c>
      <c r="G221" s="630">
        <f t="shared" si="38"/>
        <v>98.497614197048108</v>
      </c>
      <c r="H221" s="1052">
        <f t="shared" si="40"/>
        <v>100</v>
      </c>
      <c r="I221" s="631">
        <f t="shared" si="41"/>
        <v>39.272113626285865</v>
      </c>
      <c r="J221" s="29">
        <v>31149965.460000001</v>
      </c>
      <c r="K221" s="150"/>
    </row>
    <row r="222" spans="1:17" s="2" customFormat="1" ht="12.75" customHeight="1" x14ac:dyDescent="0.2">
      <c r="A222" s="715"/>
      <c r="B222" s="672" t="s">
        <v>1919</v>
      </c>
      <c r="C222" s="644">
        <v>500000</v>
      </c>
      <c r="D222" s="644">
        <f>500000-500000</f>
        <v>0</v>
      </c>
      <c r="E222" s="644">
        <v>0</v>
      </c>
      <c r="F222" s="644"/>
      <c r="G222" s="1051">
        <f t="shared" si="38"/>
        <v>0</v>
      </c>
      <c r="H222" s="1055">
        <v>0</v>
      </c>
      <c r="I222" s="1056">
        <v>0</v>
      </c>
      <c r="J222" s="88">
        <v>0</v>
      </c>
    </row>
    <row r="223" spans="1:17" s="2" customFormat="1" ht="12.75" customHeight="1" x14ac:dyDescent="0.2">
      <c r="A223" s="715"/>
      <c r="B223" s="672" t="s">
        <v>2112</v>
      </c>
      <c r="C223" s="644">
        <v>0</v>
      </c>
      <c r="D223" s="644">
        <v>1200000</v>
      </c>
      <c r="E223" s="644">
        <v>1200000</v>
      </c>
      <c r="F223" s="644"/>
      <c r="G223" s="1051">
        <v>0</v>
      </c>
      <c r="H223" s="1055">
        <f t="shared" si="40"/>
        <v>100</v>
      </c>
      <c r="I223" s="1056">
        <v>0</v>
      </c>
      <c r="J223" s="88">
        <v>0</v>
      </c>
    </row>
    <row r="224" spans="1:17" s="2" customFormat="1" ht="12.75" customHeight="1" x14ac:dyDescent="0.2">
      <c r="A224" s="715"/>
      <c r="B224" s="693" t="s">
        <v>1920</v>
      </c>
      <c r="C224" s="652">
        <v>4250000</v>
      </c>
      <c r="D224" s="652">
        <f>4250000+(-4250000+205587.45+4111749.01)</f>
        <v>4317336.46</v>
      </c>
      <c r="E224" s="652">
        <v>4317336.46</v>
      </c>
      <c r="F224" s="652"/>
      <c r="G224" s="1051">
        <f t="shared" si="38"/>
        <v>101.58438729411765</v>
      </c>
      <c r="H224" s="1055">
        <f t="shared" si="40"/>
        <v>100</v>
      </c>
      <c r="I224" s="1056">
        <v>0</v>
      </c>
      <c r="J224" s="88">
        <v>0</v>
      </c>
    </row>
    <row r="225" spans="1:11" s="2" customFormat="1" ht="12.75" customHeight="1" x14ac:dyDescent="0.2">
      <c r="A225" s="715"/>
      <c r="B225" s="693" t="s">
        <v>1921</v>
      </c>
      <c r="C225" s="652">
        <v>4800000</v>
      </c>
      <c r="D225" s="652">
        <f>4800000+(-4800000+239760.39+4795207.68)</f>
        <v>5034968.0699999994</v>
      </c>
      <c r="E225" s="652">
        <v>5034968.07</v>
      </c>
      <c r="F225" s="652"/>
      <c r="G225" s="1051">
        <f t="shared" si="38"/>
        <v>104.89516812500001</v>
      </c>
      <c r="H225" s="1055">
        <f t="shared" si="40"/>
        <v>100.00000000000003</v>
      </c>
      <c r="I225" s="1056">
        <v>0</v>
      </c>
      <c r="J225" s="88">
        <v>0</v>
      </c>
    </row>
    <row r="226" spans="1:11" s="2" customFormat="1" ht="12.75" customHeight="1" x14ac:dyDescent="0.2">
      <c r="A226" s="715"/>
      <c r="B226" s="693" t="s">
        <v>2113</v>
      </c>
      <c r="C226" s="652">
        <v>0</v>
      </c>
      <c r="D226" s="652">
        <f>(93385.85+1587559.45)</f>
        <v>1680945.3</v>
      </c>
      <c r="E226" s="652">
        <v>1680945.3</v>
      </c>
      <c r="F226" s="652"/>
      <c r="G226" s="1051">
        <v>0</v>
      </c>
      <c r="H226" s="1055">
        <f t="shared" si="40"/>
        <v>100</v>
      </c>
      <c r="I226" s="1056">
        <v>0</v>
      </c>
      <c r="J226" s="88">
        <v>0</v>
      </c>
    </row>
    <row r="227" spans="1:11" s="98" customFormat="1" ht="12.75" customHeight="1" x14ac:dyDescent="0.2">
      <c r="A227" s="663"/>
      <c r="B227" s="693" t="s">
        <v>1922</v>
      </c>
      <c r="C227" s="652">
        <v>2869843.8</v>
      </c>
      <c r="D227" s="652">
        <f>2869843.8-2869843.8</f>
        <v>0</v>
      </c>
      <c r="E227" s="652">
        <v>0</v>
      </c>
      <c r="F227" s="652"/>
      <c r="G227" s="1051">
        <f t="shared" si="38"/>
        <v>0</v>
      </c>
      <c r="H227" s="1055">
        <v>0</v>
      </c>
      <c r="I227" s="1056">
        <v>0</v>
      </c>
      <c r="J227" s="29">
        <v>0</v>
      </c>
    </row>
    <row r="228" spans="1:11" s="98" customFormat="1" ht="12.75" customHeight="1" x14ac:dyDescent="0.2">
      <c r="A228" s="663">
        <v>4222</v>
      </c>
      <c r="B228" s="634" t="s">
        <v>245</v>
      </c>
      <c r="C228" s="718">
        <f>SUM(C229:C232)</f>
        <v>500080</v>
      </c>
      <c r="D228" s="718">
        <f>SUM(D229:D232)</f>
        <v>374884</v>
      </c>
      <c r="E228" s="718">
        <v>374884</v>
      </c>
      <c r="F228" s="1077">
        <f>SUM(E229:E232)</f>
        <v>374884</v>
      </c>
      <c r="G228" s="630">
        <f t="shared" si="38"/>
        <v>74.964805631099026</v>
      </c>
      <c r="H228" s="1052">
        <f t="shared" si="40"/>
        <v>100</v>
      </c>
      <c r="I228" s="631">
        <f t="shared" si="41"/>
        <v>4.3878941758759975</v>
      </c>
      <c r="J228" s="29">
        <v>8543597.1099999994</v>
      </c>
    </row>
    <row r="229" spans="1:11" s="98" customFormat="1" ht="12.75" customHeight="1" x14ac:dyDescent="0.2">
      <c r="A229" s="692"/>
      <c r="B229" s="690" t="s">
        <v>1923</v>
      </c>
      <c r="C229" s="644">
        <v>0</v>
      </c>
      <c r="D229" s="644">
        <v>150000</v>
      </c>
      <c r="E229" s="644">
        <v>150000</v>
      </c>
      <c r="F229" s="644"/>
      <c r="G229" s="1051">
        <v>0</v>
      </c>
      <c r="H229" s="1055">
        <f t="shared" si="40"/>
        <v>100</v>
      </c>
      <c r="I229" s="1056">
        <f t="shared" si="41"/>
        <v>96.15384615384616</v>
      </c>
      <c r="J229" s="29">
        <v>156000</v>
      </c>
      <c r="K229" s="150"/>
    </row>
    <row r="230" spans="1:11" s="98" customFormat="1" ht="12.75" customHeight="1" x14ac:dyDescent="0.2">
      <c r="A230" s="692"/>
      <c r="B230" s="690" t="s">
        <v>1924</v>
      </c>
      <c r="C230" s="644">
        <v>0</v>
      </c>
      <c r="D230" s="644">
        <v>22018</v>
      </c>
      <c r="E230" s="644">
        <v>22018</v>
      </c>
      <c r="F230" s="644"/>
      <c r="G230" s="1051">
        <v>0</v>
      </c>
      <c r="H230" s="1055">
        <f t="shared" si="40"/>
        <v>100</v>
      </c>
      <c r="I230" s="1056">
        <v>0</v>
      </c>
      <c r="J230" s="29">
        <v>0</v>
      </c>
      <c r="K230" s="150"/>
    </row>
    <row r="231" spans="1:11" s="98" customFormat="1" ht="12.75" customHeight="1" x14ac:dyDescent="0.2">
      <c r="A231" s="692"/>
      <c r="B231" s="643" t="s">
        <v>1912</v>
      </c>
      <c r="C231" s="644">
        <v>212100</v>
      </c>
      <c r="D231" s="644">
        <f>212100-9234</f>
        <v>202866</v>
      </c>
      <c r="E231" s="644">
        <v>202866</v>
      </c>
      <c r="F231" s="644"/>
      <c r="G231" s="1051">
        <f t="shared" si="38"/>
        <v>95.64639321074965</v>
      </c>
      <c r="H231" s="1055">
        <f t="shared" si="40"/>
        <v>100</v>
      </c>
      <c r="I231" s="1056">
        <f t="shared" si="41"/>
        <v>23.638542763645184</v>
      </c>
      <c r="J231" s="29">
        <v>858200.11</v>
      </c>
      <c r="K231" s="150"/>
    </row>
    <row r="232" spans="1:11" s="98" customFormat="1" ht="12.75" customHeight="1" x14ac:dyDescent="0.2">
      <c r="A232" s="730"/>
      <c r="B232" s="731" t="s">
        <v>1211</v>
      </c>
      <c r="C232" s="695">
        <v>287980</v>
      </c>
      <c r="D232" s="695">
        <f>287980-287980</f>
        <v>0</v>
      </c>
      <c r="E232" s="695">
        <v>0</v>
      </c>
      <c r="F232" s="695"/>
      <c r="G232" s="1051">
        <f t="shared" si="38"/>
        <v>0</v>
      </c>
      <c r="H232" s="1055">
        <v>0</v>
      </c>
      <c r="I232" s="1056">
        <v>0</v>
      </c>
      <c r="J232" s="29">
        <v>230320</v>
      </c>
    </row>
    <row r="233" spans="1:11" s="98" customFormat="1" ht="12.75" customHeight="1" x14ac:dyDescent="0.2">
      <c r="A233" s="732"/>
      <c r="B233" s="733"/>
      <c r="C233" s="682"/>
      <c r="D233" s="682"/>
      <c r="E233" s="682"/>
      <c r="F233" s="682"/>
      <c r="G233" s="682"/>
      <c r="H233" s="682"/>
      <c r="I233" s="583"/>
      <c r="J233" s="29"/>
    </row>
    <row r="234" spans="1:11" s="98" customFormat="1" ht="20.25" x14ac:dyDescent="0.3">
      <c r="A234" s="734"/>
      <c r="B234" s="618" t="s">
        <v>13</v>
      </c>
      <c r="C234" s="735">
        <f>SUM(C32+C64+C161+C176)</f>
        <v>828459861.11999989</v>
      </c>
      <c r="D234" s="735">
        <f>SUM(D32+D64+D161+D176)</f>
        <v>844124550.40999997</v>
      </c>
      <c r="E234" s="735">
        <v>894703922.80999994</v>
      </c>
      <c r="F234" s="1078">
        <f>SUM(E32,E64,E161,E176)</f>
        <v>894703922.81000006</v>
      </c>
      <c r="G234" s="735">
        <f t="shared" si="38"/>
        <v>107.99604963364722</v>
      </c>
      <c r="H234" s="735">
        <f t="shared" si="40"/>
        <v>105.99193239616511</v>
      </c>
      <c r="I234" s="736">
        <f t="shared" si="41"/>
        <v>109.75885198470129</v>
      </c>
      <c r="J234" s="1037">
        <v>815154228.23000002</v>
      </c>
    </row>
    <row r="235" spans="1:11" s="98" customFormat="1" ht="12.75" customHeight="1" x14ac:dyDescent="0.25">
      <c r="A235" s="737"/>
      <c r="B235" s="738"/>
      <c r="C235" s="739"/>
      <c r="D235" s="739"/>
      <c r="E235" s="739"/>
      <c r="F235" s="739"/>
      <c r="G235" s="739"/>
      <c r="H235" s="739"/>
      <c r="I235" s="740"/>
      <c r="J235" s="29"/>
    </row>
    <row r="236" spans="1:11" s="244" customFormat="1" ht="16.5" customHeight="1" x14ac:dyDescent="0.25">
      <c r="A236" s="621"/>
      <c r="B236" s="657" t="s">
        <v>14</v>
      </c>
      <c r="C236" s="741">
        <f>SUM(C237:C240)</f>
        <v>172017736.07999998</v>
      </c>
      <c r="D236" s="741">
        <f>SUM(D237:D240)</f>
        <v>172017736.07999998</v>
      </c>
      <c r="E236" s="741">
        <f>SUM(E237:E240)</f>
        <v>-42164553.82</v>
      </c>
      <c r="F236" s="1079">
        <f>SUM(E237:E240)</f>
        <v>-42164553.82</v>
      </c>
      <c r="G236" s="623">
        <f t="shared" si="38"/>
        <v>-24.511747905105903</v>
      </c>
      <c r="H236" s="623">
        <f t="shared" si="40"/>
        <v>-24.511747905105903</v>
      </c>
      <c r="I236" s="741">
        <f t="shared" si="41"/>
        <v>-23.898682168312295</v>
      </c>
      <c r="J236" s="29">
        <v>176430455.55000001</v>
      </c>
    </row>
    <row r="237" spans="1:11" ht="27.75" customHeight="1" x14ac:dyDescent="0.2">
      <c r="A237" s="660">
        <v>8115</v>
      </c>
      <c r="B237" s="743" t="s">
        <v>2153</v>
      </c>
      <c r="C237" s="637">
        <f>100000000-11315591.92</f>
        <v>88684408.079999998</v>
      </c>
      <c r="D237" s="637">
        <f>100000000-11315591.92</f>
        <v>88684408.079999998</v>
      </c>
      <c r="E237" s="637">
        <v>-34850411.469999999</v>
      </c>
      <c r="F237" s="644"/>
      <c r="G237" s="630">
        <f t="shared" si="38"/>
        <v>-39.297112338577385</v>
      </c>
      <c r="H237" s="1052">
        <f t="shared" si="40"/>
        <v>-39.297112338577385</v>
      </c>
      <c r="I237" s="639">
        <f t="shared" si="41"/>
        <v>-30.966434008151349</v>
      </c>
      <c r="J237" s="1037">
        <v>112542540.29000001</v>
      </c>
    </row>
    <row r="238" spans="1:11" x14ac:dyDescent="0.2">
      <c r="A238" s="660">
        <v>8124</v>
      </c>
      <c r="B238" s="745" t="s">
        <v>1214</v>
      </c>
      <c r="C238" s="637">
        <f>-(555556*12)</f>
        <v>-6666672</v>
      </c>
      <c r="D238" s="637">
        <f>-(555556*12)</f>
        <v>-6666672</v>
      </c>
      <c r="E238" s="637">
        <v>-6666672</v>
      </c>
      <c r="F238" s="644"/>
      <c r="G238" s="630">
        <f t="shared" si="38"/>
        <v>100</v>
      </c>
      <c r="H238" s="1052">
        <f t="shared" si="40"/>
        <v>100</v>
      </c>
      <c r="I238" s="631">
        <v>0</v>
      </c>
      <c r="J238" s="29">
        <v>0</v>
      </c>
    </row>
    <row r="239" spans="1:11" ht="12.75" customHeight="1" x14ac:dyDescent="0.2">
      <c r="A239" s="660">
        <v>8125</v>
      </c>
      <c r="B239" s="745" t="s">
        <v>1215</v>
      </c>
      <c r="C239" s="637">
        <v>90000000</v>
      </c>
      <c r="D239" s="637">
        <v>90000000</v>
      </c>
      <c r="E239" s="637">
        <v>0</v>
      </c>
      <c r="F239" s="644"/>
      <c r="G239" s="630">
        <f t="shared" si="38"/>
        <v>0</v>
      </c>
      <c r="H239" s="1052">
        <f t="shared" si="40"/>
        <v>0</v>
      </c>
      <c r="I239" s="631">
        <v>0</v>
      </c>
      <c r="J239" s="29">
        <v>0</v>
      </c>
    </row>
    <row r="240" spans="1:11" s="235" customFormat="1" ht="12.75" customHeight="1" x14ac:dyDescent="0.4">
      <c r="A240" s="663">
        <v>8901</v>
      </c>
      <c r="B240" s="634" t="s">
        <v>254</v>
      </c>
      <c r="C240" s="635">
        <f>SUM(C241:C241)</f>
        <v>0</v>
      </c>
      <c r="D240" s="635">
        <f>SUM(D241:D241)</f>
        <v>0</v>
      </c>
      <c r="E240" s="635">
        <v>-647470.35</v>
      </c>
      <c r="F240" s="652"/>
      <c r="G240" s="630">
        <v>0</v>
      </c>
      <c r="H240" s="1052">
        <v>0</v>
      </c>
      <c r="I240" s="639">
        <f t="shared" si="41"/>
        <v>-712.77830588781842</v>
      </c>
      <c r="J240" s="1037">
        <v>90837.55</v>
      </c>
    </row>
    <row r="241" spans="1:10" ht="12.75" customHeight="1" x14ac:dyDescent="0.2">
      <c r="A241" s="1080"/>
      <c r="B241" s="1080" t="s">
        <v>256</v>
      </c>
      <c r="C241" s="816">
        <v>0</v>
      </c>
      <c r="D241" s="816">
        <v>0</v>
      </c>
      <c r="E241" s="695">
        <v>-647470.35</v>
      </c>
      <c r="F241" s="695"/>
      <c r="G241" s="1051">
        <v>0</v>
      </c>
      <c r="H241" s="1055">
        <v>0</v>
      </c>
      <c r="I241" s="1056">
        <f t="shared" si="41"/>
        <v>-229.88453693488776</v>
      </c>
      <c r="J241" s="1037">
        <v>281650.24</v>
      </c>
    </row>
    <row r="242" spans="1:10" ht="12.75" customHeight="1" x14ac:dyDescent="0.2">
      <c r="A242" s="749"/>
      <c r="B242" s="700"/>
      <c r="C242" s="750"/>
      <c r="D242" s="750"/>
      <c r="E242" s="750"/>
      <c r="F242" s="750"/>
      <c r="G242" s="750"/>
      <c r="H242" s="750"/>
      <c r="I242" s="751"/>
    </row>
    <row r="243" spans="1:10" s="33" customFormat="1" ht="24" customHeight="1" x14ac:dyDescent="0.35">
      <c r="A243" s="752"/>
      <c r="B243" s="753" t="s">
        <v>15</v>
      </c>
      <c r="C243" s="754">
        <f>SUM(C234+C236)</f>
        <v>1000477597.1999998</v>
      </c>
      <c r="D243" s="754">
        <f>SUM(D234+D236)</f>
        <v>1016142286.49</v>
      </c>
      <c r="E243" s="754">
        <v>852539368.99000001</v>
      </c>
      <c r="F243" s="1048">
        <f>SUM(E234:E236)</f>
        <v>852539368.98999989</v>
      </c>
      <c r="G243" s="754">
        <f t="shared" ref="G243:G305" si="42">E243/C243*100</f>
        <v>85.213239294510032</v>
      </c>
      <c r="H243" s="754">
        <f t="shared" si="40"/>
        <v>83.899605431723174</v>
      </c>
      <c r="I243" s="1081">
        <f t="shared" si="41"/>
        <v>85.977464450141753</v>
      </c>
      <c r="J243" s="1037">
        <v>991584683.77999997</v>
      </c>
    </row>
    <row r="244" spans="1:10" s="98" customFormat="1" ht="20.25" x14ac:dyDescent="0.3">
      <c r="A244" s="756"/>
      <c r="B244" s="757" t="s">
        <v>257</v>
      </c>
      <c r="C244" s="758"/>
      <c r="D244" s="758"/>
      <c r="E244" s="758"/>
      <c r="F244" s="758"/>
      <c r="G244" s="758"/>
      <c r="H244" s="758"/>
      <c r="I244" s="740"/>
      <c r="J244" s="29"/>
    </row>
    <row r="245" spans="1:10" s="85" customFormat="1" ht="20.25" x14ac:dyDescent="0.3">
      <c r="A245" s="759"/>
      <c r="B245" s="757" t="s">
        <v>258</v>
      </c>
      <c r="C245" s="760">
        <f>C246+C260+C286+C296</f>
        <v>75934044.200000003</v>
      </c>
      <c r="D245" s="760">
        <f>D246+D260+D286+D296</f>
        <v>60951276.200000003</v>
      </c>
      <c r="E245" s="760">
        <v>53673121.170000002</v>
      </c>
      <c r="F245" s="1082">
        <f>SUM(E246,E260,E286,E296)</f>
        <v>53673121.170000002</v>
      </c>
      <c r="G245" s="735">
        <f t="shared" si="42"/>
        <v>70.683870107895558</v>
      </c>
      <c r="H245" s="735">
        <f t="shared" si="40"/>
        <v>88.059060476243161</v>
      </c>
      <c r="I245" s="1083">
        <f t="shared" si="41"/>
        <v>117.07219004239965</v>
      </c>
      <c r="J245" s="1037">
        <v>45846175.039999999</v>
      </c>
    </row>
    <row r="246" spans="1:10" ht="15.75" x14ac:dyDescent="0.25">
      <c r="A246" s="762"/>
      <c r="B246" s="763" t="s">
        <v>259</v>
      </c>
      <c r="C246" s="764">
        <f t="shared" ref="C246:D246" si="43">SUM(C247+C252+C257)</f>
        <v>2095000</v>
      </c>
      <c r="D246" s="764">
        <f t="shared" si="43"/>
        <v>2337676</v>
      </c>
      <c r="E246" s="764">
        <v>1565327.63</v>
      </c>
      <c r="F246" s="1084">
        <f>SUM(E247,E252,E257)</f>
        <v>1565327.63</v>
      </c>
      <c r="G246" s="623">
        <f t="shared" si="42"/>
        <v>74.717309307875894</v>
      </c>
      <c r="H246" s="623">
        <f t="shared" si="40"/>
        <v>66.960846156610231</v>
      </c>
      <c r="I246" s="741">
        <f t="shared" si="41"/>
        <v>74.555943910457245</v>
      </c>
      <c r="J246" s="29">
        <v>2099534.3199999998</v>
      </c>
    </row>
    <row r="247" spans="1:10" x14ac:dyDescent="0.2">
      <c r="A247" s="766">
        <v>2310</v>
      </c>
      <c r="B247" s="767" t="s">
        <v>1216</v>
      </c>
      <c r="C247" s="768">
        <f>SUM(C248:C251)</f>
        <v>315000</v>
      </c>
      <c r="D247" s="768">
        <f>SUM(D248:D251)</f>
        <v>315000</v>
      </c>
      <c r="E247" s="768">
        <v>120058</v>
      </c>
      <c r="F247" s="1085">
        <f>SUM(E248:E251)</f>
        <v>120058</v>
      </c>
      <c r="G247" s="630">
        <f t="shared" si="42"/>
        <v>38.113650793650791</v>
      </c>
      <c r="H247" s="1052">
        <f t="shared" si="40"/>
        <v>38.113650793650791</v>
      </c>
      <c r="I247" s="631">
        <v>0</v>
      </c>
      <c r="J247" s="29">
        <v>227886.4</v>
      </c>
    </row>
    <row r="248" spans="1:10" x14ac:dyDescent="0.2">
      <c r="A248" s="769" t="s">
        <v>261</v>
      </c>
      <c r="B248" s="643" t="s">
        <v>262</v>
      </c>
      <c r="C248" s="644">
        <v>15000</v>
      </c>
      <c r="D248" s="644">
        <f>15000-13240</f>
        <v>1760</v>
      </c>
      <c r="E248" s="644">
        <v>0</v>
      </c>
      <c r="F248" s="644"/>
      <c r="G248" s="1051">
        <f t="shared" si="42"/>
        <v>0</v>
      </c>
      <c r="H248" s="1055">
        <f t="shared" si="40"/>
        <v>0</v>
      </c>
      <c r="I248" s="1056">
        <v>0</v>
      </c>
      <c r="J248" s="29">
        <v>0</v>
      </c>
    </row>
    <row r="249" spans="1:10" x14ac:dyDescent="0.2">
      <c r="A249" s="769" t="s">
        <v>263</v>
      </c>
      <c r="B249" s="643" t="s">
        <v>1217</v>
      </c>
      <c r="C249" s="644">
        <v>150000</v>
      </c>
      <c r="D249" s="644">
        <f>150000+58821</f>
        <v>208821</v>
      </c>
      <c r="E249" s="644">
        <v>106818</v>
      </c>
      <c r="F249" s="644"/>
      <c r="G249" s="1051">
        <f t="shared" si="42"/>
        <v>71.212000000000003</v>
      </c>
      <c r="H249" s="1055">
        <f t="shared" si="40"/>
        <v>51.1529012886635</v>
      </c>
      <c r="I249" s="1056">
        <v>0</v>
      </c>
      <c r="J249" s="29">
        <v>227886.4</v>
      </c>
    </row>
    <row r="250" spans="1:10" x14ac:dyDescent="0.2">
      <c r="A250" s="769" t="s">
        <v>265</v>
      </c>
      <c r="B250" s="643" t="s">
        <v>1218</v>
      </c>
      <c r="C250" s="644">
        <v>150000</v>
      </c>
      <c r="D250" s="644">
        <f>150000-58821</f>
        <v>91179</v>
      </c>
      <c r="E250" s="644">
        <v>0</v>
      </c>
      <c r="F250" s="644"/>
      <c r="G250" s="1051">
        <f t="shared" si="42"/>
        <v>0</v>
      </c>
      <c r="H250" s="1055">
        <f t="shared" si="40"/>
        <v>0</v>
      </c>
      <c r="I250" s="1056">
        <v>0</v>
      </c>
      <c r="J250" s="29">
        <v>0</v>
      </c>
    </row>
    <row r="251" spans="1:10" x14ac:dyDescent="0.2">
      <c r="A251" s="769" t="s">
        <v>1925</v>
      </c>
      <c r="B251" s="643" t="s">
        <v>1926</v>
      </c>
      <c r="C251" s="644">
        <v>0</v>
      </c>
      <c r="D251" s="644">
        <v>13240</v>
      </c>
      <c r="E251" s="644">
        <v>13240</v>
      </c>
      <c r="F251" s="644"/>
      <c r="G251" s="1051">
        <v>0</v>
      </c>
      <c r="H251" s="1055">
        <f t="shared" si="40"/>
        <v>100</v>
      </c>
      <c r="I251" s="1056">
        <v>0</v>
      </c>
      <c r="J251" s="29">
        <v>0</v>
      </c>
    </row>
    <row r="252" spans="1:10" x14ac:dyDescent="0.2">
      <c r="A252" s="663">
        <v>2321</v>
      </c>
      <c r="B252" s="629" t="s">
        <v>1219</v>
      </c>
      <c r="C252" s="635">
        <f>SUM(C253:C256)</f>
        <v>1600000</v>
      </c>
      <c r="D252" s="635">
        <f>SUM(D253:D256)</f>
        <v>1912676</v>
      </c>
      <c r="E252" s="635">
        <v>1408025.63</v>
      </c>
      <c r="F252" s="652">
        <f>SUM(E253:E256)</f>
        <v>1408025.63</v>
      </c>
      <c r="G252" s="630">
        <f t="shared" si="42"/>
        <v>88.001601874999992</v>
      </c>
      <c r="H252" s="1052">
        <f t="shared" si="40"/>
        <v>73.615480614594418</v>
      </c>
      <c r="I252" s="631">
        <f t="shared" si="41"/>
        <v>75.229193212791856</v>
      </c>
      <c r="J252" s="29">
        <v>1871647.92</v>
      </c>
    </row>
    <row r="253" spans="1:10" x14ac:dyDescent="0.2">
      <c r="A253" s="769" t="s">
        <v>268</v>
      </c>
      <c r="B253" s="643" t="s">
        <v>269</v>
      </c>
      <c r="C253" s="644">
        <v>200000</v>
      </c>
      <c r="D253" s="644">
        <f>200000+70000</f>
        <v>270000</v>
      </c>
      <c r="E253" s="644">
        <v>187850</v>
      </c>
      <c r="F253" s="644"/>
      <c r="G253" s="1051">
        <f t="shared" si="42"/>
        <v>93.924999999999997</v>
      </c>
      <c r="H253" s="1055">
        <f t="shared" si="40"/>
        <v>69.574074074074076</v>
      </c>
      <c r="I253" s="1056">
        <f t="shared" si="41"/>
        <v>97.727580143378873</v>
      </c>
      <c r="J253" s="29">
        <v>192218</v>
      </c>
    </row>
    <row r="254" spans="1:10" x14ac:dyDescent="0.2">
      <c r="A254" s="769" t="s">
        <v>270</v>
      </c>
      <c r="B254" s="770" t="s">
        <v>1927</v>
      </c>
      <c r="C254" s="644">
        <v>500000</v>
      </c>
      <c r="D254" s="644">
        <f>500000+242676+100000</f>
        <v>842676</v>
      </c>
      <c r="E254" s="644">
        <v>623565.36</v>
      </c>
      <c r="F254" s="644"/>
      <c r="G254" s="1051">
        <f t="shared" si="42"/>
        <v>124.713072</v>
      </c>
      <c r="H254" s="1055">
        <f t="shared" si="40"/>
        <v>73.99823419677314</v>
      </c>
      <c r="I254" s="1056">
        <f t="shared" si="41"/>
        <v>266.21340136183659</v>
      </c>
      <c r="J254" s="29">
        <v>234235.15</v>
      </c>
    </row>
    <row r="255" spans="1:10" x14ac:dyDescent="0.2">
      <c r="A255" s="769" t="s">
        <v>272</v>
      </c>
      <c r="B255" s="643" t="s">
        <v>1221</v>
      </c>
      <c r="C255" s="644">
        <v>700000</v>
      </c>
      <c r="D255" s="644">
        <f>700000-100000</f>
        <v>600000</v>
      </c>
      <c r="E255" s="644">
        <v>596610.27</v>
      </c>
      <c r="F255" s="644"/>
      <c r="G255" s="1051">
        <f t="shared" si="42"/>
        <v>85.23003857142858</v>
      </c>
      <c r="H255" s="1055">
        <f t="shared" si="40"/>
        <v>99.435045000000002</v>
      </c>
      <c r="I255" s="1056">
        <v>0</v>
      </c>
      <c r="J255" s="29">
        <v>1445193.97</v>
      </c>
    </row>
    <row r="256" spans="1:10" s="2" customFormat="1" ht="12.75" customHeight="1" x14ac:dyDescent="0.2">
      <c r="A256" s="769" t="s">
        <v>272</v>
      </c>
      <c r="B256" s="668" t="s">
        <v>1222</v>
      </c>
      <c r="C256" s="644">
        <v>200000</v>
      </c>
      <c r="D256" s="644">
        <v>200000</v>
      </c>
      <c r="E256" s="644">
        <v>0</v>
      </c>
      <c r="F256" s="644"/>
      <c r="G256" s="1051">
        <f t="shared" si="42"/>
        <v>0</v>
      </c>
      <c r="H256" s="1055">
        <f t="shared" si="40"/>
        <v>0</v>
      </c>
      <c r="I256" s="670">
        <v>0</v>
      </c>
      <c r="J256" s="32">
        <v>0</v>
      </c>
    </row>
    <row r="257" spans="1:10" ht="12.75" customHeight="1" x14ac:dyDescent="0.2">
      <c r="A257" s="660">
        <v>2333</v>
      </c>
      <c r="B257" s="626" t="s">
        <v>1223</v>
      </c>
      <c r="C257" s="771">
        <f>SUM(C258:C259)</f>
        <v>180000</v>
      </c>
      <c r="D257" s="771">
        <f>SUM(D258:D259)</f>
        <v>110000</v>
      </c>
      <c r="E257" s="771">
        <v>37244</v>
      </c>
      <c r="F257" s="678">
        <f>SUM(E258:E259)</f>
        <v>37244</v>
      </c>
      <c r="G257" s="630">
        <f t="shared" si="42"/>
        <v>20.691111111111109</v>
      </c>
      <c r="H257" s="1052">
        <f t="shared" ref="H257:H320" si="44">E257/D257*100</f>
        <v>33.858181818181819</v>
      </c>
      <c r="I257" s="631">
        <v>0</v>
      </c>
      <c r="J257" s="29">
        <v>0</v>
      </c>
    </row>
    <row r="258" spans="1:10" x14ac:dyDescent="0.2">
      <c r="A258" s="769" t="s">
        <v>276</v>
      </c>
      <c r="B258" s="643" t="s">
        <v>2154</v>
      </c>
      <c r="C258" s="644">
        <v>80000</v>
      </c>
      <c r="D258" s="644">
        <v>80000</v>
      </c>
      <c r="E258" s="644">
        <v>37244</v>
      </c>
      <c r="F258" s="644"/>
      <c r="G258" s="1051">
        <f t="shared" si="42"/>
        <v>46.555</v>
      </c>
      <c r="H258" s="1055">
        <f t="shared" si="44"/>
        <v>46.555</v>
      </c>
      <c r="I258" s="1056">
        <v>0</v>
      </c>
      <c r="J258" s="29">
        <v>0</v>
      </c>
    </row>
    <row r="259" spans="1:10" x14ac:dyDescent="0.2">
      <c r="A259" s="769" t="s">
        <v>278</v>
      </c>
      <c r="B259" s="643" t="s">
        <v>1225</v>
      </c>
      <c r="C259" s="694">
        <v>100000</v>
      </c>
      <c r="D259" s="694">
        <f>100000-70000</f>
        <v>30000</v>
      </c>
      <c r="E259" s="694">
        <v>0</v>
      </c>
      <c r="F259" s="694"/>
      <c r="G259" s="1051">
        <f t="shared" si="42"/>
        <v>0</v>
      </c>
      <c r="H259" s="1055">
        <f t="shared" si="44"/>
        <v>0</v>
      </c>
      <c r="I259" s="1056">
        <v>0</v>
      </c>
      <c r="J259" s="29">
        <v>0</v>
      </c>
    </row>
    <row r="260" spans="1:10" s="98" customFormat="1" ht="15.75" x14ac:dyDescent="0.25">
      <c r="A260" s="621"/>
      <c r="B260" s="657" t="s">
        <v>279</v>
      </c>
      <c r="C260" s="772">
        <f>SUM(C261+C273+C281)</f>
        <v>47752000</v>
      </c>
      <c r="D260" s="772">
        <f>SUM(D261+D273+D281)</f>
        <v>35217877.310000002</v>
      </c>
      <c r="E260" s="772">
        <v>33933965.600000001</v>
      </c>
      <c r="F260" s="1086">
        <f>SUM(E261,E273,E281)</f>
        <v>33933965.600000001</v>
      </c>
      <c r="G260" s="623">
        <f t="shared" si="42"/>
        <v>71.06292008711678</v>
      </c>
      <c r="H260" s="623">
        <f t="shared" si="44"/>
        <v>96.354375084283006</v>
      </c>
      <c r="I260" s="741">
        <f t="shared" si="41"/>
        <v>121.13203052602799</v>
      </c>
      <c r="J260" s="29">
        <v>28014031.84</v>
      </c>
    </row>
    <row r="261" spans="1:10" s="98" customFormat="1" x14ac:dyDescent="0.2">
      <c r="A261" s="699">
        <v>2212</v>
      </c>
      <c r="B261" s="767" t="s">
        <v>1226</v>
      </c>
      <c r="C261" s="661">
        <f>SUM(C263:C272)</f>
        <v>45642000</v>
      </c>
      <c r="D261" s="661">
        <f>SUM(D263:D272)</f>
        <v>33684863</v>
      </c>
      <c r="E261" s="661">
        <v>33039445.960000001</v>
      </c>
      <c r="F261" s="1059">
        <f>SUM(E263:E272)</f>
        <v>33039445.460000001</v>
      </c>
      <c r="G261" s="630">
        <f t="shared" si="42"/>
        <v>72.388251960913195</v>
      </c>
      <c r="H261" s="1052">
        <f t="shared" si="44"/>
        <v>98.08395527688505</v>
      </c>
      <c r="I261" s="631">
        <f t="shared" si="41"/>
        <v>125.46605920085861</v>
      </c>
      <c r="J261" s="29">
        <v>26333373.48</v>
      </c>
    </row>
    <row r="262" spans="1:10" s="2" customFormat="1" x14ac:dyDescent="0.2">
      <c r="A262" s="715"/>
      <c r="B262" s="679" t="s">
        <v>1227</v>
      </c>
      <c r="C262" s="652">
        <f>SUM(C263:C265)</f>
        <v>11467000</v>
      </c>
      <c r="D262" s="652">
        <f>SUM(D263:D265)</f>
        <v>773190</v>
      </c>
      <c r="E262" s="652">
        <v>773190</v>
      </c>
      <c r="F262" s="652"/>
      <c r="G262" s="1051">
        <f t="shared" si="42"/>
        <v>6.7427400366268415</v>
      </c>
      <c r="H262" s="1055">
        <f t="shared" si="44"/>
        <v>100</v>
      </c>
      <c r="I262" s="1056">
        <v>0</v>
      </c>
      <c r="J262" s="88">
        <v>292212.59999999998</v>
      </c>
    </row>
    <row r="263" spans="1:10" s="98" customFormat="1" x14ac:dyDescent="0.2">
      <c r="A263" s="769" t="s">
        <v>282</v>
      </c>
      <c r="B263" s="773" t="s">
        <v>1228</v>
      </c>
      <c r="C263" s="644">
        <v>30000</v>
      </c>
      <c r="D263" s="644">
        <f>30000-30000</f>
        <v>0</v>
      </c>
      <c r="E263" s="644">
        <v>0</v>
      </c>
      <c r="F263" s="644"/>
      <c r="G263" s="1051">
        <f t="shared" si="42"/>
        <v>0</v>
      </c>
      <c r="H263" s="1055">
        <v>0</v>
      </c>
      <c r="I263" s="1056">
        <v>0</v>
      </c>
      <c r="J263" s="29">
        <v>0</v>
      </c>
    </row>
    <row r="264" spans="1:10" s="98" customFormat="1" x14ac:dyDescent="0.2">
      <c r="A264" s="769" t="s">
        <v>282</v>
      </c>
      <c r="B264" s="773" t="s">
        <v>1229</v>
      </c>
      <c r="C264" s="644">
        <v>10637000</v>
      </c>
      <c r="D264" s="644">
        <f>10637000-10637000</f>
        <v>0</v>
      </c>
      <c r="E264" s="644">
        <v>0</v>
      </c>
      <c r="F264" s="644"/>
      <c r="G264" s="1051">
        <f t="shared" si="42"/>
        <v>0</v>
      </c>
      <c r="H264" s="1055">
        <v>0</v>
      </c>
      <c r="I264" s="1056">
        <v>0</v>
      </c>
      <c r="J264" s="29">
        <v>0</v>
      </c>
    </row>
    <row r="265" spans="1:10" s="98" customFormat="1" x14ac:dyDescent="0.2">
      <c r="A265" s="769" t="s">
        <v>282</v>
      </c>
      <c r="B265" s="773" t="s">
        <v>1230</v>
      </c>
      <c r="C265" s="644">
        <v>800000</v>
      </c>
      <c r="D265" s="644">
        <f>800000-26810</f>
        <v>773190</v>
      </c>
      <c r="E265" s="644">
        <v>773190</v>
      </c>
      <c r="F265" s="644"/>
      <c r="G265" s="1051">
        <f t="shared" si="42"/>
        <v>96.648750000000007</v>
      </c>
      <c r="H265" s="1055">
        <f t="shared" si="44"/>
        <v>100</v>
      </c>
      <c r="I265" s="1056">
        <v>0</v>
      </c>
      <c r="J265" s="29">
        <v>0</v>
      </c>
    </row>
    <row r="266" spans="1:10" s="98" customFormat="1" x14ac:dyDescent="0.2">
      <c r="A266" s="769" t="s">
        <v>286</v>
      </c>
      <c r="B266" s="643" t="s">
        <v>1231</v>
      </c>
      <c r="C266" s="644">
        <v>4440000</v>
      </c>
      <c r="D266" s="644">
        <f>4440000+300000</f>
        <v>4740000</v>
      </c>
      <c r="E266" s="644">
        <v>4740000</v>
      </c>
      <c r="F266" s="644">
        <f>SUM(E266:E267)</f>
        <v>28370000</v>
      </c>
      <c r="G266" s="1051">
        <f t="shared" si="42"/>
        <v>106.75675675675676</v>
      </c>
      <c r="H266" s="1055">
        <f t="shared" si="44"/>
        <v>100</v>
      </c>
      <c r="I266" s="1056">
        <f t="shared" ref="I266:I326" si="45">E266/J266*100</f>
        <v>112.05673758865248</v>
      </c>
      <c r="J266" s="29">
        <v>4230000</v>
      </c>
    </row>
    <row r="267" spans="1:10" s="98" customFormat="1" x14ac:dyDescent="0.2">
      <c r="A267" s="769" t="s">
        <v>286</v>
      </c>
      <c r="B267" s="643" t="s">
        <v>1232</v>
      </c>
      <c r="C267" s="644">
        <v>23730000</v>
      </c>
      <c r="D267" s="644">
        <f>23730000-100000-1600000</f>
        <v>22030000</v>
      </c>
      <c r="E267" s="644">
        <v>23630000</v>
      </c>
      <c r="F267" s="644"/>
      <c r="G267" s="1051">
        <f t="shared" si="42"/>
        <v>99.578592498946477</v>
      </c>
      <c r="H267" s="1055">
        <f t="shared" si="44"/>
        <v>107.26282342260554</v>
      </c>
      <c r="I267" s="1056">
        <f t="shared" si="45"/>
        <v>115.48503838301399</v>
      </c>
      <c r="J267" s="29">
        <v>20461525</v>
      </c>
    </row>
    <row r="268" spans="1:10" s="98" customFormat="1" x14ac:dyDescent="0.2">
      <c r="A268" s="769" t="s">
        <v>291</v>
      </c>
      <c r="B268" s="643" t="s">
        <v>1233</v>
      </c>
      <c r="C268" s="644">
        <v>2000000</v>
      </c>
      <c r="D268" s="644">
        <f>2000000+61673-100000-125000</f>
        <v>1836673</v>
      </c>
      <c r="E268" s="644">
        <v>917408.84</v>
      </c>
      <c r="F268" s="644">
        <f>SUM(E268:E269)</f>
        <v>2404175.46</v>
      </c>
      <c r="G268" s="1051">
        <f t="shared" si="42"/>
        <v>45.870441999999997</v>
      </c>
      <c r="H268" s="1055">
        <f t="shared" si="44"/>
        <v>49.949492370171498</v>
      </c>
      <c r="I268" s="1056">
        <f t="shared" si="45"/>
        <v>81.4820582038124</v>
      </c>
      <c r="J268" s="29">
        <v>1125902.8799999999</v>
      </c>
    </row>
    <row r="269" spans="1:10" s="98" customFormat="1" x14ac:dyDescent="0.2">
      <c r="A269" s="769" t="s">
        <v>291</v>
      </c>
      <c r="B269" s="643" t="s">
        <v>1234</v>
      </c>
      <c r="C269" s="644">
        <v>1000000</v>
      </c>
      <c r="D269" s="644">
        <f>1000000+500000+300000+300000</f>
        <v>2100000</v>
      </c>
      <c r="E269" s="644">
        <v>1486766.62</v>
      </c>
      <c r="F269" s="644"/>
      <c r="G269" s="1051">
        <f t="shared" si="42"/>
        <v>148.67666199999999</v>
      </c>
      <c r="H269" s="1055">
        <f t="shared" si="44"/>
        <v>70.798410476190483</v>
      </c>
      <c r="I269" s="1056">
        <v>0</v>
      </c>
      <c r="J269" s="29">
        <v>222733</v>
      </c>
    </row>
    <row r="270" spans="1:10" s="98" customFormat="1" x14ac:dyDescent="0.2">
      <c r="A270" s="769" t="s">
        <v>293</v>
      </c>
      <c r="B270" s="643" t="s">
        <v>1235</v>
      </c>
      <c r="C270" s="644">
        <v>2050000</v>
      </c>
      <c r="D270" s="644">
        <f>2050000-500000-300000-550000</f>
        <v>700000</v>
      </c>
      <c r="E270" s="644">
        <v>189987</v>
      </c>
      <c r="F270" s="644">
        <f>SUM(E270:E271)</f>
        <v>887080</v>
      </c>
      <c r="G270" s="1051">
        <f t="shared" si="42"/>
        <v>9.2676585365853654</v>
      </c>
      <c r="H270" s="1055">
        <f t="shared" si="44"/>
        <v>27.140999999999998</v>
      </c>
      <c r="I270" s="1056">
        <v>0</v>
      </c>
      <c r="J270" s="29">
        <v>0</v>
      </c>
    </row>
    <row r="271" spans="1:10" s="98" customFormat="1" x14ac:dyDescent="0.2">
      <c r="A271" s="769" t="s">
        <v>293</v>
      </c>
      <c r="B271" s="643" t="s">
        <v>1236</v>
      </c>
      <c r="C271" s="644">
        <v>350000</v>
      </c>
      <c r="D271" s="644">
        <f>350000+550000</f>
        <v>900000</v>
      </c>
      <c r="E271" s="644">
        <v>697093</v>
      </c>
      <c r="F271" s="644"/>
      <c r="G271" s="1051">
        <f t="shared" si="42"/>
        <v>199.16942857142857</v>
      </c>
      <c r="H271" s="1055">
        <f t="shared" si="44"/>
        <v>77.454777777777778</v>
      </c>
      <c r="I271" s="1056">
        <v>0</v>
      </c>
      <c r="J271" s="29">
        <v>0</v>
      </c>
    </row>
    <row r="272" spans="1:10" s="98" customFormat="1" x14ac:dyDescent="0.2">
      <c r="A272" s="769" t="s">
        <v>1237</v>
      </c>
      <c r="B272" s="643" t="s">
        <v>1238</v>
      </c>
      <c r="C272" s="644">
        <v>605000</v>
      </c>
      <c r="D272" s="644">
        <v>605000</v>
      </c>
      <c r="E272" s="644">
        <v>605000</v>
      </c>
      <c r="F272" s="644"/>
      <c r="G272" s="1051">
        <f t="shared" si="42"/>
        <v>100</v>
      </c>
      <c r="H272" s="1055">
        <f t="shared" si="44"/>
        <v>100</v>
      </c>
      <c r="I272" s="1056">
        <v>0</v>
      </c>
      <c r="J272" s="29">
        <v>0</v>
      </c>
    </row>
    <row r="273" spans="1:10" s="98" customFormat="1" x14ac:dyDescent="0.2">
      <c r="A273" s="663">
        <v>2219</v>
      </c>
      <c r="B273" s="629" t="s">
        <v>1241</v>
      </c>
      <c r="C273" s="635">
        <f>SUM(C275+C277+C278+C279+C276+C280)</f>
        <v>1960000</v>
      </c>
      <c r="D273" s="635">
        <f>SUM(D275+D277+D278+D279+D276+D280)</f>
        <v>1381890.31</v>
      </c>
      <c r="E273" s="635">
        <v>837551.63</v>
      </c>
      <c r="F273" s="652">
        <f>SUM(E274,E278:E280)</f>
        <v>837551.63</v>
      </c>
      <c r="G273" s="630">
        <f t="shared" si="42"/>
        <v>42.732226020408163</v>
      </c>
      <c r="H273" s="1052">
        <f t="shared" si="44"/>
        <v>60.609125336438609</v>
      </c>
      <c r="I273" s="631">
        <f t="shared" si="45"/>
        <v>58.935506843105856</v>
      </c>
      <c r="J273" s="29">
        <v>1421132.48</v>
      </c>
    </row>
    <row r="274" spans="1:10" s="98" customFormat="1" x14ac:dyDescent="0.2">
      <c r="A274" s="769"/>
      <c r="B274" s="679" t="s">
        <v>281</v>
      </c>
      <c r="C274" s="652">
        <f>SUM(C275:C277)</f>
        <v>1300000</v>
      </c>
      <c r="D274" s="652">
        <f>SUM(D275:D277)</f>
        <v>603000</v>
      </c>
      <c r="E274" s="652">
        <v>415706.63</v>
      </c>
      <c r="F274" s="652">
        <f>SUM(E275:E277)</f>
        <v>415706.63</v>
      </c>
      <c r="G274" s="1051">
        <f t="shared" si="42"/>
        <v>31.977433076923077</v>
      </c>
      <c r="H274" s="1055">
        <f t="shared" si="44"/>
        <v>68.939739635157551</v>
      </c>
      <c r="I274" s="1056">
        <f t="shared" si="45"/>
        <v>48.272426277673055</v>
      </c>
      <c r="J274" s="29">
        <v>861167.88</v>
      </c>
    </row>
    <row r="275" spans="1:10" s="98" customFormat="1" x14ac:dyDescent="0.2">
      <c r="A275" s="769" t="s">
        <v>474</v>
      </c>
      <c r="B275" s="643" t="s">
        <v>1248</v>
      </c>
      <c r="C275" s="644">
        <v>700000</v>
      </c>
      <c r="D275" s="644">
        <f>700000-700000+3000</f>
        <v>3000</v>
      </c>
      <c r="E275" s="644">
        <v>3000</v>
      </c>
      <c r="F275" s="644"/>
      <c r="G275" s="1051">
        <f t="shared" si="42"/>
        <v>0.4285714285714286</v>
      </c>
      <c r="H275" s="1055">
        <v>0</v>
      </c>
      <c r="I275" s="1056">
        <v>0</v>
      </c>
      <c r="J275" s="29">
        <v>2000</v>
      </c>
    </row>
    <row r="276" spans="1:10" s="98" customFormat="1" x14ac:dyDescent="0.2">
      <c r="A276" s="769" t="s">
        <v>1251</v>
      </c>
      <c r="B276" s="643" t="s">
        <v>1252</v>
      </c>
      <c r="C276" s="644">
        <v>500000</v>
      </c>
      <c r="D276" s="644">
        <v>500000</v>
      </c>
      <c r="E276" s="644">
        <v>385844.63</v>
      </c>
      <c r="F276" s="644"/>
      <c r="G276" s="1051">
        <f t="shared" si="42"/>
        <v>77.168925999999999</v>
      </c>
      <c r="H276" s="1055">
        <f t="shared" si="44"/>
        <v>77.168925999999999</v>
      </c>
      <c r="I276" s="1056">
        <v>0</v>
      </c>
      <c r="J276" s="29">
        <v>0</v>
      </c>
    </row>
    <row r="277" spans="1:10" s="98" customFormat="1" x14ac:dyDescent="0.2">
      <c r="A277" s="769" t="s">
        <v>498</v>
      </c>
      <c r="B277" s="643" t="s">
        <v>1253</v>
      </c>
      <c r="C277" s="644">
        <v>100000</v>
      </c>
      <c r="D277" s="644">
        <v>100000</v>
      </c>
      <c r="E277" s="644">
        <v>26862</v>
      </c>
      <c r="F277" s="644"/>
      <c r="G277" s="1051">
        <f t="shared" si="42"/>
        <v>26.862000000000002</v>
      </c>
      <c r="H277" s="1055">
        <f t="shared" si="44"/>
        <v>26.862000000000002</v>
      </c>
      <c r="I277" s="1056">
        <f t="shared" si="45"/>
        <v>35.395035049807625</v>
      </c>
      <c r="J277" s="29">
        <v>75892</v>
      </c>
    </row>
    <row r="278" spans="1:10" s="98" customFormat="1" x14ac:dyDescent="0.2">
      <c r="A278" s="769" t="s">
        <v>1254</v>
      </c>
      <c r="B278" s="643" t="s">
        <v>1255</v>
      </c>
      <c r="C278" s="644">
        <v>10000</v>
      </c>
      <c r="D278" s="644">
        <f>10000-3000</f>
        <v>7000</v>
      </c>
      <c r="E278" s="644">
        <v>0</v>
      </c>
      <c r="F278" s="644">
        <f>SUM(E278:E280)</f>
        <v>421845</v>
      </c>
      <c r="G278" s="1051">
        <f t="shared" si="42"/>
        <v>0</v>
      </c>
      <c r="H278" s="1055">
        <f t="shared" si="44"/>
        <v>0</v>
      </c>
      <c r="I278" s="1056">
        <v>0</v>
      </c>
      <c r="J278" s="29">
        <v>1929.93</v>
      </c>
    </row>
    <row r="279" spans="1:10" s="98" customFormat="1" x14ac:dyDescent="0.2">
      <c r="A279" s="774" t="s">
        <v>299</v>
      </c>
      <c r="B279" s="690" t="s">
        <v>1256</v>
      </c>
      <c r="C279" s="644">
        <v>100000</v>
      </c>
      <c r="D279" s="644">
        <f>100000+114240</f>
        <v>214240</v>
      </c>
      <c r="E279" s="644">
        <v>214240</v>
      </c>
      <c r="F279" s="644"/>
      <c r="G279" s="1051">
        <f t="shared" si="42"/>
        <v>214.23999999999998</v>
      </c>
      <c r="H279" s="1055">
        <f t="shared" si="44"/>
        <v>100</v>
      </c>
      <c r="I279" s="1056">
        <v>0</v>
      </c>
      <c r="J279" s="29">
        <v>0</v>
      </c>
    </row>
    <row r="280" spans="1:10" s="98" customFormat="1" x14ac:dyDescent="0.2">
      <c r="A280" s="774" t="s">
        <v>301</v>
      </c>
      <c r="B280" s="690" t="s">
        <v>1257</v>
      </c>
      <c r="C280" s="644">
        <v>550000</v>
      </c>
      <c r="D280" s="644">
        <f>550000-76104.43-103109.69+76104.43+100000+125000-114240</f>
        <v>557650.31000000006</v>
      </c>
      <c r="E280" s="644">
        <v>207605</v>
      </c>
      <c r="F280" s="644"/>
      <c r="G280" s="1051">
        <f t="shared" si="42"/>
        <v>37.74636363636364</v>
      </c>
      <c r="H280" s="1055">
        <f t="shared" si="44"/>
        <v>37.228527677138743</v>
      </c>
      <c r="I280" s="1056">
        <v>0</v>
      </c>
      <c r="J280" s="29">
        <v>558034.67000000004</v>
      </c>
    </row>
    <row r="281" spans="1:10" x14ac:dyDescent="0.2">
      <c r="A281" s="663">
        <v>2221</v>
      </c>
      <c r="B281" s="629" t="s">
        <v>1258</v>
      </c>
      <c r="C281" s="635">
        <f>SUM(C282,C284:C285)</f>
        <v>150000</v>
      </c>
      <c r="D281" s="635">
        <f>SUM(D282,D284:D285)</f>
        <v>151124</v>
      </c>
      <c r="E281" s="635">
        <v>56968.01</v>
      </c>
      <c r="F281" s="652">
        <f>SUM(E283:E285)</f>
        <v>56968.009999999995</v>
      </c>
      <c r="G281" s="630">
        <f t="shared" si="42"/>
        <v>37.978673333333333</v>
      </c>
      <c r="H281" s="1052">
        <f t="shared" si="44"/>
        <v>37.696203117969354</v>
      </c>
      <c r="I281" s="631">
        <v>0</v>
      </c>
      <c r="J281" s="29">
        <v>259525.88</v>
      </c>
    </row>
    <row r="282" spans="1:10" s="2" customFormat="1" x14ac:dyDescent="0.2">
      <c r="A282" s="715"/>
      <c r="B282" s="679" t="s">
        <v>281</v>
      </c>
      <c r="C282" s="652">
        <f>SUM(C283)</f>
        <v>0</v>
      </c>
      <c r="D282" s="652">
        <f>SUM(D283)</f>
        <v>29498.59</v>
      </c>
      <c r="E282" s="652">
        <v>29498.59</v>
      </c>
      <c r="F282" s="652"/>
      <c r="G282" s="1051">
        <v>0</v>
      </c>
      <c r="H282" s="1055">
        <f t="shared" si="44"/>
        <v>100</v>
      </c>
      <c r="I282" s="1056">
        <v>0</v>
      </c>
      <c r="J282" s="88">
        <v>122642.21</v>
      </c>
    </row>
    <row r="283" spans="1:10" x14ac:dyDescent="0.2">
      <c r="A283" s="769" t="s">
        <v>1259</v>
      </c>
      <c r="B283" s="672" t="s">
        <v>1928</v>
      </c>
      <c r="C283" s="644">
        <v>0</v>
      </c>
      <c r="D283" s="644">
        <v>29498.59</v>
      </c>
      <c r="E283" s="644">
        <v>29498.59</v>
      </c>
      <c r="F283" s="644"/>
      <c r="G283" s="1051">
        <v>0</v>
      </c>
      <c r="H283" s="1055">
        <f t="shared" si="44"/>
        <v>100</v>
      </c>
      <c r="I283" s="1056">
        <v>0</v>
      </c>
      <c r="J283" s="29">
        <v>122642.21</v>
      </c>
    </row>
    <row r="284" spans="1:10" x14ac:dyDescent="0.2">
      <c r="A284" s="775" t="s">
        <v>308</v>
      </c>
      <c r="B284" s="679" t="s">
        <v>1929</v>
      </c>
      <c r="C284" s="644">
        <v>60000</v>
      </c>
      <c r="D284" s="644">
        <f>60000-29498.59</f>
        <v>30501.41</v>
      </c>
      <c r="E284" s="644">
        <v>0</v>
      </c>
      <c r="F284" s="644"/>
      <c r="G284" s="1051">
        <f t="shared" si="42"/>
        <v>0</v>
      </c>
      <c r="H284" s="1055">
        <f t="shared" si="44"/>
        <v>0</v>
      </c>
      <c r="I284" s="1056">
        <v>0</v>
      </c>
      <c r="J284" s="29">
        <v>0</v>
      </c>
    </row>
    <row r="285" spans="1:10" x14ac:dyDescent="0.2">
      <c r="A285" s="775" t="s">
        <v>310</v>
      </c>
      <c r="B285" s="776" t="s">
        <v>1930</v>
      </c>
      <c r="C285" s="644">
        <v>90000</v>
      </c>
      <c r="D285" s="644">
        <f>90000+1124</f>
        <v>91124</v>
      </c>
      <c r="E285" s="644">
        <v>27469.42</v>
      </c>
      <c r="F285" s="644"/>
      <c r="G285" s="1051">
        <f t="shared" si="42"/>
        <v>30.521577777777775</v>
      </c>
      <c r="H285" s="1055">
        <f t="shared" si="44"/>
        <v>30.145098985997098</v>
      </c>
      <c r="I285" s="1056">
        <v>0</v>
      </c>
      <c r="J285" s="29">
        <v>136883.68</v>
      </c>
    </row>
    <row r="286" spans="1:10" ht="15.75" x14ac:dyDescent="0.25">
      <c r="A286" s="621"/>
      <c r="B286" s="657" t="s">
        <v>312</v>
      </c>
      <c r="C286" s="777">
        <f t="shared" ref="C286:D286" si="46">C287</f>
        <v>1050000</v>
      </c>
      <c r="D286" s="777">
        <f t="shared" si="46"/>
        <v>1050000</v>
      </c>
      <c r="E286" s="777">
        <v>329349</v>
      </c>
      <c r="F286" s="1087">
        <f>SUM(E288:E295)</f>
        <v>329349</v>
      </c>
      <c r="G286" s="623">
        <f t="shared" si="42"/>
        <v>31.366571428571426</v>
      </c>
      <c r="H286" s="623">
        <f t="shared" si="44"/>
        <v>31.366571428571426</v>
      </c>
      <c r="I286" s="741">
        <f t="shared" si="45"/>
        <v>19.086068084184102</v>
      </c>
      <c r="J286" s="29">
        <v>1725599</v>
      </c>
    </row>
    <row r="287" spans="1:10" x14ac:dyDescent="0.2">
      <c r="A287" s="766">
        <v>3639</v>
      </c>
      <c r="B287" s="767" t="s">
        <v>313</v>
      </c>
      <c r="C287" s="661">
        <f>SUM(C288:C295)</f>
        <v>1050000</v>
      </c>
      <c r="D287" s="661">
        <f>SUM(D288:D295)</f>
        <v>1050000</v>
      </c>
      <c r="E287" s="661">
        <v>329349</v>
      </c>
      <c r="F287" s="1059"/>
      <c r="G287" s="630">
        <f t="shared" si="42"/>
        <v>31.366571428571426</v>
      </c>
      <c r="H287" s="1052">
        <f t="shared" si="44"/>
        <v>31.366571428571426</v>
      </c>
      <c r="I287" s="631">
        <f t="shared" si="45"/>
        <v>19.086068084184102</v>
      </c>
      <c r="J287" s="29">
        <v>1725599</v>
      </c>
    </row>
    <row r="288" spans="1:10" x14ac:dyDescent="0.2">
      <c r="A288" s="769" t="s">
        <v>314</v>
      </c>
      <c r="B288" s="672" t="s">
        <v>1263</v>
      </c>
      <c r="C288" s="644">
        <v>500000</v>
      </c>
      <c r="D288" s="644">
        <v>500000</v>
      </c>
      <c r="E288" s="644">
        <v>10290</v>
      </c>
      <c r="F288" s="644"/>
      <c r="G288" s="1051">
        <f t="shared" si="42"/>
        <v>2.0580000000000003</v>
      </c>
      <c r="H288" s="1055">
        <f t="shared" si="44"/>
        <v>2.0580000000000003</v>
      </c>
      <c r="I288" s="1056">
        <f t="shared" si="45"/>
        <v>0.67820069204152256</v>
      </c>
      <c r="J288" s="29">
        <v>1517250</v>
      </c>
    </row>
    <row r="289" spans="1:10" x14ac:dyDescent="0.2">
      <c r="A289" s="769" t="s">
        <v>316</v>
      </c>
      <c r="B289" s="643" t="s">
        <v>1264</v>
      </c>
      <c r="C289" s="644">
        <v>50000</v>
      </c>
      <c r="D289" s="644">
        <v>50000</v>
      </c>
      <c r="E289" s="644">
        <v>4235</v>
      </c>
      <c r="F289" s="644"/>
      <c r="G289" s="1051">
        <f t="shared" si="42"/>
        <v>8.4699999999999989</v>
      </c>
      <c r="H289" s="1055">
        <f t="shared" si="44"/>
        <v>8.4699999999999989</v>
      </c>
      <c r="I289" s="1056">
        <v>0</v>
      </c>
      <c r="J289" s="29">
        <v>0</v>
      </c>
    </row>
    <row r="290" spans="1:10" x14ac:dyDescent="0.2">
      <c r="A290" s="778" t="s">
        <v>316</v>
      </c>
      <c r="B290" s="690" t="s">
        <v>1265</v>
      </c>
      <c r="C290" s="644">
        <v>50000</v>
      </c>
      <c r="D290" s="644">
        <v>50000</v>
      </c>
      <c r="E290" s="644">
        <v>0</v>
      </c>
      <c r="F290" s="644"/>
      <c r="G290" s="1051">
        <f t="shared" si="42"/>
        <v>0</v>
      </c>
      <c r="H290" s="1055">
        <f t="shared" si="44"/>
        <v>0</v>
      </c>
      <c r="I290" s="1056">
        <v>0</v>
      </c>
      <c r="J290" s="29">
        <v>0</v>
      </c>
    </row>
    <row r="291" spans="1:10" x14ac:dyDescent="0.2">
      <c r="A291" s="769" t="s">
        <v>325</v>
      </c>
      <c r="B291" s="643" t="s">
        <v>1266</v>
      </c>
      <c r="C291" s="644">
        <v>50000</v>
      </c>
      <c r="D291" s="644">
        <f>50000-8000+15000</f>
        <v>57000</v>
      </c>
      <c r="E291" s="644">
        <v>56250</v>
      </c>
      <c r="F291" s="644"/>
      <c r="G291" s="1051">
        <f t="shared" si="42"/>
        <v>112.5</v>
      </c>
      <c r="H291" s="1055">
        <f t="shared" si="44"/>
        <v>98.68421052631578</v>
      </c>
      <c r="I291" s="1056">
        <v>0</v>
      </c>
      <c r="J291" s="29">
        <v>3577</v>
      </c>
    </row>
    <row r="292" spans="1:10" x14ac:dyDescent="0.2">
      <c r="A292" s="769" t="s">
        <v>321</v>
      </c>
      <c r="B292" s="643" t="s">
        <v>1267</v>
      </c>
      <c r="C292" s="644">
        <v>150000</v>
      </c>
      <c r="D292" s="644">
        <v>150000</v>
      </c>
      <c r="E292" s="644">
        <v>106135</v>
      </c>
      <c r="F292" s="644"/>
      <c r="G292" s="1051">
        <f t="shared" si="42"/>
        <v>70.756666666666661</v>
      </c>
      <c r="H292" s="1055">
        <f t="shared" si="44"/>
        <v>70.756666666666661</v>
      </c>
      <c r="I292" s="1056">
        <f t="shared" si="45"/>
        <v>150.20520803849419</v>
      </c>
      <c r="J292" s="29">
        <v>70660</v>
      </c>
    </row>
    <row r="293" spans="1:10" x14ac:dyDescent="0.2">
      <c r="A293" s="769" t="s">
        <v>323</v>
      </c>
      <c r="B293" s="643" t="s">
        <v>1268</v>
      </c>
      <c r="C293" s="644">
        <v>210000</v>
      </c>
      <c r="D293" s="644">
        <f>210000-15000</f>
        <v>195000</v>
      </c>
      <c r="E293" s="644">
        <v>129224</v>
      </c>
      <c r="F293" s="644"/>
      <c r="G293" s="1051">
        <f t="shared" si="42"/>
        <v>61.5352380952381</v>
      </c>
      <c r="H293" s="1055">
        <f t="shared" si="44"/>
        <v>66.268717948717949</v>
      </c>
      <c r="I293" s="1056">
        <f t="shared" si="45"/>
        <v>133.3704884870628</v>
      </c>
      <c r="J293" s="29">
        <v>96891</v>
      </c>
    </row>
    <row r="294" spans="1:10" x14ac:dyDescent="0.2">
      <c r="A294" s="775" t="s">
        <v>331</v>
      </c>
      <c r="B294" s="643" t="s">
        <v>1269</v>
      </c>
      <c r="C294" s="644">
        <v>10000</v>
      </c>
      <c r="D294" s="644">
        <f>10000+8000</f>
        <v>18000</v>
      </c>
      <c r="E294" s="644">
        <v>12000</v>
      </c>
      <c r="F294" s="644"/>
      <c r="G294" s="1051">
        <f t="shared" si="42"/>
        <v>120</v>
      </c>
      <c r="H294" s="1055">
        <f t="shared" si="44"/>
        <v>66.666666666666657</v>
      </c>
      <c r="I294" s="1056">
        <v>0</v>
      </c>
      <c r="J294" s="29">
        <v>0</v>
      </c>
    </row>
    <row r="295" spans="1:10" x14ac:dyDescent="0.2">
      <c r="A295" s="775" t="s">
        <v>333</v>
      </c>
      <c r="B295" s="779" t="s">
        <v>1270</v>
      </c>
      <c r="C295" s="644">
        <v>30000</v>
      </c>
      <c r="D295" s="644">
        <v>30000</v>
      </c>
      <c r="E295" s="644">
        <v>11215</v>
      </c>
      <c r="F295" s="644"/>
      <c r="G295" s="1051">
        <f t="shared" si="42"/>
        <v>37.383333333333333</v>
      </c>
      <c r="H295" s="1055">
        <f t="shared" si="44"/>
        <v>37.383333333333333</v>
      </c>
      <c r="I295" s="1056">
        <f t="shared" si="45"/>
        <v>30.130840117138174</v>
      </c>
      <c r="J295" s="29">
        <v>37221</v>
      </c>
    </row>
    <row r="296" spans="1:10" ht="15.75" x14ac:dyDescent="0.25">
      <c r="A296" s="621"/>
      <c r="B296" s="657" t="s">
        <v>335</v>
      </c>
      <c r="C296" s="780">
        <f>SUM(C297,C301,C304,C311,C320,C335,C341,C343,C346)</f>
        <v>25037044.199999999</v>
      </c>
      <c r="D296" s="780">
        <f>SUM(D297,D301,D304,D311,D320,D335,D341,D343,D346)</f>
        <v>22345722.890000001</v>
      </c>
      <c r="E296" s="780">
        <v>17844478.940000001</v>
      </c>
      <c r="F296" s="1088">
        <f>SUM(E297,E301,E304,E311,E320,E335,E341,E343,E346)</f>
        <v>17844478.940000001</v>
      </c>
      <c r="G296" s="623">
        <f t="shared" si="42"/>
        <v>71.272306736591545</v>
      </c>
      <c r="H296" s="623">
        <f t="shared" si="44"/>
        <v>79.856351158751892</v>
      </c>
      <c r="I296" s="741">
        <f t="shared" si="45"/>
        <v>127.39677556363658</v>
      </c>
      <c r="J296" s="29">
        <v>14007009.880000001</v>
      </c>
    </row>
    <row r="297" spans="1:10" x14ac:dyDescent="0.2">
      <c r="A297" s="766">
        <v>3341</v>
      </c>
      <c r="B297" s="767" t="s">
        <v>1271</v>
      </c>
      <c r="C297" s="687">
        <f>SUM(C298:C300)</f>
        <v>225000</v>
      </c>
      <c r="D297" s="687">
        <f>SUM(D298:D300)</f>
        <v>225000</v>
      </c>
      <c r="E297" s="687">
        <v>217275.44</v>
      </c>
      <c r="F297" s="1089">
        <f>SUM(E298:E300)</f>
        <v>217275.44</v>
      </c>
      <c r="G297" s="630">
        <f t="shared" si="42"/>
        <v>96.566862222222227</v>
      </c>
      <c r="H297" s="1052">
        <f t="shared" si="44"/>
        <v>96.566862222222227</v>
      </c>
      <c r="I297" s="631">
        <f t="shared" si="45"/>
        <v>107.14471201048983</v>
      </c>
      <c r="J297" s="29">
        <v>202786.9</v>
      </c>
    </row>
    <row r="298" spans="1:10" x14ac:dyDescent="0.2">
      <c r="A298" s="769" t="s">
        <v>337</v>
      </c>
      <c r="B298" s="672" t="s">
        <v>338</v>
      </c>
      <c r="C298" s="644">
        <v>145000</v>
      </c>
      <c r="D298" s="644">
        <v>145000</v>
      </c>
      <c r="E298" s="644">
        <v>144072.28</v>
      </c>
      <c r="F298" s="644"/>
      <c r="G298" s="1051">
        <f t="shared" si="42"/>
        <v>99.360193103448282</v>
      </c>
      <c r="H298" s="1055">
        <f t="shared" si="44"/>
        <v>99.360193103448282</v>
      </c>
      <c r="I298" s="1056">
        <f t="shared" si="45"/>
        <v>72.430232897193633</v>
      </c>
      <c r="J298" s="29">
        <v>198911.8</v>
      </c>
    </row>
    <row r="299" spans="1:10" x14ac:dyDescent="0.2">
      <c r="A299" s="769" t="s">
        <v>339</v>
      </c>
      <c r="B299" s="672" t="s">
        <v>1272</v>
      </c>
      <c r="C299" s="644">
        <v>5000</v>
      </c>
      <c r="D299" s="644">
        <v>5000</v>
      </c>
      <c r="E299" s="644">
        <v>3875</v>
      </c>
      <c r="F299" s="644"/>
      <c r="G299" s="1051">
        <f t="shared" si="42"/>
        <v>77.5</v>
      </c>
      <c r="H299" s="1055">
        <f t="shared" si="44"/>
        <v>77.5</v>
      </c>
      <c r="I299" s="1056">
        <f t="shared" si="45"/>
        <v>100</v>
      </c>
      <c r="J299" s="29">
        <v>3875</v>
      </c>
    </row>
    <row r="300" spans="1:10" x14ac:dyDescent="0.2">
      <c r="A300" s="769" t="s">
        <v>1273</v>
      </c>
      <c r="B300" s="672" t="s">
        <v>1274</v>
      </c>
      <c r="C300" s="644">
        <v>75000</v>
      </c>
      <c r="D300" s="644">
        <v>75000</v>
      </c>
      <c r="E300" s="644">
        <v>69328.160000000003</v>
      </c>
      <c r="F300" s="644"/>
      <c r="G300" s="1051">
        <f t="shared" si="42"/>
        <v>92.437546666666677</v>
      </c>
      <c r="H300" s="1055">
        <f t="shared" si="44"/>
        <v>92.437546666666677</v>
      </c>
      <c r="I300" s="1056">
        <v>0</v>
      </c>
      <c r="J300" s="29">
        <v>0</v>
      </c>
    </row>
    <row r="301" spans="1:10" x14ac:dyDescent="0.2">
      <c r="A301" s="660">
        <v>3412</v>
      </c>
      <c r="B301" s="629" t="s">
        <v>1931</v>
      </c>
      <c r="C301" s="635">
        <f>SUM(C303)</f>
        <v>0</v>
      </c>
      <c r="D301" s="635">
        <f>SUM(D302:D303)</f>
        <v>694029.69</v>
      </c>
      <c r="E301" s="635">
        <v>691424.25</v>
      </c>
      <c r="F301" s="652"/>
      <c r="G301" s="630">
        <v>0</v>
      </c>
      <c r="H301" s="1052">
        <f t="shared" si="44"/>
        <v>99.624592429179799</v>
      </c>
      <c r="I301" s="631">
        <v>0</v>
      </c>
      <c r="J301" s="29">
        <v>0</v>
      </c>
    </row>
    <row r="302" spans="1:10" x14ac:dyDescent="0.2">
      <c r="A302" s="769" t="s">
        <v>1932</v>
      </c>
      <c r="B302" s="782" t="s">
        <v>1933</v>
      </c>
      <c r="C302" s="678">
        <v>0</v>
      </c>
      <c r="D302" s="678">
        <f>274029.69+220000</f>
        <v>494029.69</v>
      </c>
      <c r="E302" s="678">
        <v>494029.69</v>
      </c>
      <c r="F302" s="678"/>
      <c r="G302" s="1051">
        <v>0</v>
      </c>
      <c r="H302" s="1055">
        <f t="shared" si="44"/>
        <v>100</v>
      </c>
      <c r="I302" s="1056">
        <v>0</v>
      </c>
      <c r="J302" s="29">
        <v>0</v>
      </c>
    </row>
    <row r="303" spans="1:10" x14ac:dyDescent="0.2">
      <c r="A303" s="769" t="s">
        <v>1932</v>
      </c>
      <c r="B303" s="782" t="s">
        <v>2114</v>
      </c>
      <c r="C303" s="678">
        <v>0</v>
      </c>
      <c r="D303" s="678">
        <v>200000</v>
      </c>
      <c r="E303" s="678">
        <v>197394.56</v>
      </c>
      <c r="F303" s="678"/>
      <c r="G303" s="1051">
        <v>0</v>
      </c>
      <c r="H303" s="1055">
        <f t="shared" si="44"/>
        <v>98.697279999999992</v>
      </c>
      <c r="I303" s="1056">
        <v>0</v>
      </c>
      <c r="J303" s="29">
        <v>0</v>
      </c>
    </row>
    <row r="304" spans="1:10" x14ac:dyDescent="0.2">
      <c r="A304" s="660">
        <v>3421</v>
      </c>
      <c r="B304" s="629" t="s">
        <v>1275</v>
      </c>
      <c r="C304" s="635">
        <f>SUM(C305:C310)</f>
        <v>1740000</v>
      </c>
      <c r="D304" s="635">
        <f>SUM(D305:D310)</f>
        <v>1669080</v>
      </c>
      <c r="E304" s="635">
        <v>1580432.45</v>
      </c>
      <c r="F304" s="652">
        <f>SUM(E305:E310)</f>
        <v>1580432.4500000002</v>
      </c>
      <c r="G304" s="630">
        <f t="shared" si="42"/>
        <v>90.829451149425296</v>
      </c>
      <c r="H304" s="1052">
        <f t="shared" si="44"/>
        <v>94.688837563208466</v>
      </c>
      <c r="I304" s="631">
        <f t="shared" si="45"/>
        <v>116.61403807476418</v>
      </c>
      <c r="J304" s="29">
        <v>1355267.75</v>
      </c>
    </row>
    <row r="305" spans="1:10" x14ac:dyDescent="0.2">
      <c r="A305" s="769" t="s">
        <v>350</v>
      </c>
      <c r="B305" s="782" t="s">
        <v>1276</v>
      </c>
      <c r="C305" s="678">
        <v>500000</v>
      </c>
      <c r="D305" s="678">
        <f>500000+146890.31+103109.69</f>
        <v>750000</v>
      </c>
      <c r="E305" s="678">
        <v>750000</v>
      </c>
      <c r="F305" s="678"/>
      <c r="G305" s="1051">
        <f t="shared" si="42"/>
        <v>150</v>
      </c>
      <c r="H305" s="1055">
        <f t="shared" si="44"/>
        <v>100</v>
      </c>
      <c r="I305" s="1056">
        <f t="shared" si="45"/>
        <v>187.5</v>
      </c>
      <c r="J305" s="29">
        <v>400000</v>
      </c>
    </row>
    <row r="306" spans="1:10" x14ac:dyDescent="0.2">
      <c r="A306" s="769" t="s">
        <v>342</v>
      </c>
      <c r="B306" s="783" t="s">
        <v>1277</v>
      </c>
      <c r="C306" s="644">
        <v>600000</v>
      </c>
      <c r="D306" s="644">
        <f>600000-179080-274029.69-146890.31</f>
        <v>0</v>
      </c>
      <c r="E306" s="644">
        <v>0</v>
      </c>
      <c r="F306" s="644"/>
      <c r="G306" s="1051">
        <f t="shared" ref="G306:G369" si="47">E306/C306*100</f>
        <v>0</v>
      </c>
      <c r="H306" s="1055">
        <v>0</v>
      </c>
      <c r="I306" s="1056">
        <v>0</v>
      </c>
      <c r="J306" s="29">
        <v>0</v>
      </c>
    </row>
    <row r="307" spans="1:10" x14ac:dyDescent="0.2">
      <c r="A307" s="769" t="s">
        <v>344</v>
      </c>
      <c r="B307" s="783" t="s">
        <v>1278</v>
      </c>
      <c r="C307" s="644">
        <v>60000</v>
      </c>
      <c r="D307" s="644">
        <v>60000</v>
      </c>
      <c r="E307" s="644">
        <v>28132.400000000001</v>
      </c>
      <c r="F307" s="644"/>
      <c r="G307" s="1051">
        <f t="shared" si="47"/>
        <v>46.887333333333338</v>
      </c>
      <c r="H307" s="1055">
        <f t="shared" si="44"/>
        <v>46.887333333333338</v>
      </c>
      <c r="I307" s="1056">
        <f t="shared" si="45"/>
        <v>283.19022357334836</v>
      </c>
      <c r="J307" s="29">
        <v>9934.1</v>
      </c>
    </row>
    <row r="308" spans="1:10" x14ac:dyDescent="0.2">
      <c r="A308" s="769" t="s">
        <v>346</v>
      </c>
      <c r="B308" s="783" t="s">
        <v>1279</v>
      </c>
      <c r="C308" s="644">
        <v>80000</v>
      </c>
      <c r="D308" s="644">
        <v>80000</v>
      </c>
      <c r="E308" s="644">
        <v>75679</v>
      </c>
      <c r="F308" s="644"/>
      <c r="G308" s="1051">
        <f t="shared" si="47"/>
        <v>94.598749999999995</v>
      </c>
      <c r="H308" s="1055">
        <f t="shared" si="44"/>
        <v>94.598749999999995</v>
      </c>
      <c r="I308" s="1056">
        <v>0</v>
      </c>
      <c r="J308" s="29">
        <v>60319</v>
      </c>
    </row>
    <row r="309" spans="1:10" x14ac:dyDescent="0.2">
      <c r="A309" s="769" t="s">
        <v>348</v>
      </c>
      <c r="B309" s="782" t="s">
        <v>1280</v>
      </c>
      <c r="C309" s="644">
        <v>500000</v>
      </c>
      <c r="D309" s="644">
        <f>500000+179080</f>
        <v>679080</v>
      </c>
      <c r="E309" s="644">
        <v>626662.94999999995</v>
      </c>
      <c r="F309" s="644"/>
      <c r="G309" s="1051">
        <f t="shared" si="47"/>
        <v>125.33258999999998</v>
      </c>
      <c r="H309" s="1055">
        <f t="shared" si="44"/>
        <v>92.281167167344051</v>
      </c>
      <c r="I309" s="1056">
        <f t="shared" si="45"/>
        <v>79.69613590781357</v>
      </c>
      <c r="J309" s="29">
        <v>786315.35</v>
      </c>
    </row>
    <row r="310" spans="1:10" x14ac:dyDescent="0.2">
      <c r="A310" s="769" t="s">
        <v>1281</v>
      </c>
      <c r="B310" s="783" t="s">
        <v>1934</v>
      </c>
      <c r="C310" s="644">
        <v>0</v>
      </c>
      <c r="D310" s="644">
        <v>100000</v>
      </c>
      <c r="E310" s="644">
        <v>99958.1</v>
      </c>
      <c r="F310" s="644"/>
      <c r="G310" s="1051">
        <v>0</v>
      </c>
      <c r="H310" s="1055">
        <f t="shared" si="44"/>
        <v>99.958100000000002</v>
      </c>
      <c r="I310" s="1056">
        <v>0</v>
      </c>
      <c r="J310" s="29">
        <v>0</v>
      </c>
    </row>
    <row r="311" spans="1:10" x14ac:dyDescent="0.2">
      <c r="A311" s="663">
        <v>3613</v>
      </c>
      <c r="B311" s="629" t="s">
        <v>1283</v>
      </c>
      <c r="C311" s="635">
        <f>SUM(C312:C319)</f>
        <v>1870000</v>
      </c>
      <c r="D311" s="635">
        <f>SUM(D312:D319)</f>
        <v>1477333</v>
      </c>
      <c r="E311" s="635">
        <v>1042152.03</v>
      </c>
      <c r="F311" s="652">
        <f>SUM(E312:E319)</f>
        <v>1042152.0299999999</v>
      </c>
      <c r="G311" s="630">
        <f t="shared" si="47"/>
        <v>55.730055080213901</v>
      </c>
      <c r="H311" s="1052">
        <f t="shared" si="44"/>
        <v>70.542797730775661</v>
      </c>
      <c r="I311" s="631">
        <f t="shared" si="45"/>
        <v>346.59276183092413</v>
      </c>
      <c r="J311" s="29">
        <v>300684.88</v>
      </c>
    </row>
    <row r="312" spans="1:10" x14ac:dyDescent="0.2">
      <c r="A312" s="769" t="s">
        <v>1284</v>
      </c>
      <c r="B312" s="782" t="s">
        <v>1285</v>
      </c>
      <c r="C312" s="644">
        <v>350000</v>
      </c>
      <c r="D312" s="644">
        <f>350000-48744</f>
        <v>301256</v>
      </c>
      <c r="E312" s="644">
        <v>301256</v>
      </c>
      <c r="F312" s="644"/>
      <c r="G312" s="1051">
        <f t="shared" si="47"/>
        <v>86.073142857142855</v>
      </c>
      <c r="H312" s="1055">
        <f t="shared" si="44"/>
        <v>100</v>
      </c>
      <c r="I312" s="1056">
        <v>0</v>
      </c>
      <c r="J312" s="29">
        <v>0</v>
      </c>
    </row>
    <row r="313" spans="1:10" x14ac:dyDescent="0.2">
      <c r="A313" s="775" t="s">
        <v>353</v>
      </c>
      <c r="B313" s="773" t="s">
        <v>1286</v>
      </c>
      <c r="C313" s="644">
        <v>5000</v>
      </c>
      <c r="D313" s="644">
        <v>5000</v>
      </c>
      <c r="E313" s="644">
        <v>2252.41</v>
      </c>
      <c r="F313" s="644"/>
      <c r="G313" s="1051">
        <f t="shared" si="47"/>
        <v>45.048200000000001</v>
      </c>
      <c r="H313" s="1055">
        <f t="shared" si="44"/>
        <v>45.048200000000001</v>
      </c>
      <c r="I313" s="1056">
        <v>0</v>
      </c>
      <c r="J313" s="29">
        <v>0</v>
      </c>
    </row>
    <row r="314" spans="1:10" x14ac:dyDescent="0.2">
      <c r="A314" s="775" t="s">
        <v>355</v>
      </c>
      <c r="B314" s="773" t="s">
        <v>1287</v>
      </c>
      <c r="C314" s="644">
        <v>15000</v>
      </c>
      <c r="D314" s="644">
        <v>15000</v>
      </c>
      <c r="E314" s="644">
        <v>14246.2</v>
      </c>
      <c r="F314" s="644"/>
      <c r="G314" s="1051">
        <f t="shared" si="47"/>
        <v>94.974666666666678</v>
      </c>
      <c r="H314" s="1055">
        <f t="shared" si="44"/>
        <v>94.974666666666678</v>
      </c>
      <c r="I314" s="1056">
        <f t="shared" si="45"/>
        <v>104.96402273427221</v>
      </c>
      <c r="J314" s="29">
        <v>13572.46</v>
      </c>
    </row>
    <row r="315" spans="1:10" x14ac:dyDescent="0.2">
      <c r="A315" s="775" t="s">
        <v>357</v>
      </c>
      <c r="B315" s="643" t="s">
        <v>1288</v>
      </c>
      <c r="C315" s="644">
        <v>200000</v>
      </c>
      <c r="D315" s="644">
        <v>200000</v>
      </c>
      <c r="E315" s="644">
        <v>140009.78</v>
      </c>
      <c r="F315" s="644"/>
      <c r="G315" s="1051">
        <f t="shared" si="47"/>
        <v>70.004890000000003</v>
      </c>
      <c r="H315" s="1055">
        <f t="shared" si="44"/>
        <v>70.004890000000003</v>
      </c>
      <c r="I315" s="1056">
        <f t="shared" si="45"/>
        <v>165.54225608402146</v>
      </c>
      <c r="J315" s="29">
        <v>84576.46</v>
      </c>
    </row>
    <row r="316" spans="1:10" x14ac:dyDescent="0.2">
      <c r="A316" s="775" t="s">
        <v>359</v>
      </c>
      <c r="B316" s="643" t="s">
        <v>1289</v>
      </c>
      <c r="C316" s="644">
        <v>640000</v>
      </c>
      <c r="D316" s="644">
        <v>640000</v>
      </c>
      <c r="E316" s="644">
        <v>576740.43999999994</v>
      </c>
      <c r="F316" s="644"/>
      <c r="G316" s="1051">
        <f t="shared" si="47"/>
        <v>90.115693749999991</v>
      </c>
      <c r="H316" s="1055">
        <f t="shared" si="44"/>
        <v>90.115693749999991</v>
      </c>
      <c r="I316" s="1056">
        <f t="shared" si="45"/>
        <v>293.826639460102</v>
      </c>
      <c r="J316" s="29">
        <v>196285.96</v>
      </c>
    </row>
    <row r="317" spans="1:10" x14ac:dyDescent="0.2">
      <c r="A317" s="775" t="s">
        <v>361</v>
      </c>
      <c r="B317" s="643" t="s">
        <v>1290</v>
      </c>
      <c r="C317" s="644">
        <v>100000</v>
      </c>
      <c r="D317" s="644">
        <f>100000-43923</f>
        <v>56077</v>
      </c>
      <c r="E317" s="644">
        <v>6050</v>
      </c>
      <c r="F317" s="644"/>
      <c r="G317" s="1051">
        <f t="shared" si="47"/>
        <v>6.05</v>
      </c>
      <c r="H317" s="1055">
        <f t="shared" si="44"/>
        <v>10.788736915312873</v>
      </c>
      <c r="I317" s="1056">
        <v>0</v>
      </c>
      <c r="J317" s="29">
        <v>6250</v>
      </c>
    </row>
    <row r="318" spans="1:10" x14ac:dyDescent="0.2">
      <c r="A318" s="775" t="s">
        <v>364</v>
      </c>
      <c r="B318" s="672" t="s">
        <v>1291</v>
      </c>
      <c r="C318" s="644">
        <v>260000</v>
      </c>
      <c r="D318" s="644">
        <v>260000</v>
      </c>
      <c r="E318" s="644">
        <v>1597.2</v>
      </c>
      <c r="F318" s="644"/>
      <c r="G318" s="1051">
        <f t="shared" si="47"/>
        <v>0.61430769230769233</v>
      </c>
      <c r="H318" s="1055">
        <f t="shared" si="44"/>
        <v>0.61430769230769233</v>
      </c>
      <c r="I318" s="1056">
        <v>0</v>
      </c>
      <c r="J318" s="29">
        <v>0</v>
      </c>
    </row>
    <row r="319" spans="1:10" x14ac:dyDescent="0.2">
      <c r="A319" s="769" t="s">
        <v>1292</v>
      </c>
      <c r="B319" s="783" t="s">
        <v>1293</v>
      </c>
      <c r="C319" s="644">
        <v>300000</v>
      </c>
      <c r="D319" s="644">
        <f>300000-300000</f>
        <v>0</v>
      </c>
      <c r="E319" s="644">
        <v>0</v>
      </c>
      <c r="F319" s="644"/>
      <c r="G319" s="1051">
        <f t="shared" si="47"/>
        <v>0</v>
      </c>
      <c r="H319" s="1055">
        <v>0</v>
      </c>
      <c r="I319" s="1056">
        <v>0</v>
      </c>
      <c r="J319" s="29">
        <v>0</v>
      </c>
    </row>
    <row r="320" spans="1:10" x14ac:dyDescent="0.2">
      <c r="A320" s="663">
        <v>3631</v>
      </c>
      <c r="B320" s="629" t="s">
        <v>1294</v>
      </c>
      <c r="C320" s="635">
        <f>SUM(C321:C326)</f>
        <v>14990000</v>
      </c>
      <c r="D320" s="635">
        <f>SUM(D321:D326)</f>
        <v>12741858</v>
      </c>
      <c r="E320" s="635">
        <v>9036374.3100000005</v>
      </c>
      <c r="F320" s="652">
        <f>SUM(E321:E334)</f>
        <v>9090404.3100000005</v>
      </c>
      <c r="G320" s="630">
        <f t="shared" si="47"/>
        <v>60.28268385590394</v>
      </c>
      <c r="H320" s="1052">
        <f t="shared" si="44"/>
        <v>70.918811918952485</v>
      </c>
      <c r="I320" s="631">
        <f t="shared" si="45"/>
        <v>114.13937207996932</v>
      </c>
      <c r="J320" s="29">
        <v>7916965.1500000004</v>
      </c>
    </row>
    <row r="321" spans="1:10" x14ac:dyDescent="0.2">
      <c r="A321" s="769" t="s">
        <v>371</v>
      </c>
      <c r="B321" s="643" t="s">
        <v>1295</v>
      </c>
      <c r="C321" s="644">
        <v>4800000</v>
      </c>
      <c r="D321" s="644">
        <f>4800000-350000</f>
        <v>4450000</v>
      </c>
      <c r="E321" s="644">
        <v>4450000</v>
      </c>
      <c r="F321" s="644"/>
      <c r="G321" s="1051">
        <f t="shared" si="47"/>
        <v>92.708333333333343</v>
      </c>
      <c r="H321" s="1055">
        <f t="shared" ref="H321:H384" si="48">E321/D321*100</f>
        <v>100</v>
      </c>
      <c r="I321" s="1056">
        <f t="shared" si="45"/>
        <v>104.59992877802603</v>
      </c>
      <c r="J321" s="29">
        <v>4254305</v>
      </c>
    </row>
    <row r="322" spans="1:10" x14ac:dyDescent="0.2">
      <c r="A322" s="775" t="s">
        <v>2115</v>
      </c>
      <c r="B322" s="643" t="s">
        <v>2116</v>
      </c>
      <c r="C322" s="644">
        <v>50000</v>
      </c>
      <c r="D322" s="644">
        <v>50000</v>
      </c>
      <c r="E322" s="644">
        <v>10002.780000000001</v>
      </c>
      <c r="F322" s="644"/>
      <c r="G322" s="1051">
        <f t="shared" si="47"/>
        <v>20.005559999999999</v>
      </c>
      <c r="H322" s="1055">
        <f t="shared" si="48"/>
        <v>20.005559999999999</v>
      </c>
      <c r="I322" s="1056">
        <v>0</v>
      </c>
      <c r="J322" s="29">
        <v>0</v>
      </c>
    </row>
    <row r="323" spans="1:10" x14ac:dyDescent="0.2">
      <c r="A323" s="775" t="s">
        <v>369</v>
      </c>
      <c r="B323" s="643" t="s">
        <v>1297</v>
      </c>
      <c r="C323" s="644">
        <v>250000</v>
      </c>
      <c r="D323" s="644">
        <v>250000</v>
      </c>
      <c r="E323" s="644">
        <v>86703.76</v>
      </c>
      <c r="F323" s="644">
        <f>SUM(E323:E324)</f>
        <v>381220.83</v>
      </c>
      <c r="G323" s="1051">
        <f t="shared" si="47"/>
        <v>34.681503999999997</v>
      </c>
      <c r="H323" s="1055">
        <f t="shared" si="48"/>
        <v>34.681503999999997</v>
      </c>
      <c r="I323" s="1056">
        <f t="shared" si="45"/>
        <v>7.8603785337929262</v>
      </c>
      <c r="J323" s="29">
        <v>1103048.1499999999</v>
      </c>
    </row>
    <row r="324" spans="1:10" x14ac:dyDescent="0.2">
      <c r="A324" s="775" t="s">
        <v>369</v>
      </c>
      <c r="B324" s="643" t="s">
        <v>1298</v>
      </c>
      <c r="C324" s="644">
        <v>300000</v>
      </c>
      <c r="D324" s="644">
        <f>300000+1858</f>
        <v>301858</v>
      </c>
      <c r="E324" s="644">
        <v>294517.07</v>
      </c>
      <c r="F324" s="644"/>
      <c r="G324" s="1051">
        <f t="shared" si="47"/>
        <v>98.172356666666673</v>
      </c>
      <c r="H324" s="1055">
        <f t="shared" si="48"/>
        <v>97.568084993606263</v>
      </c>
      <c r="I324" s="1056">
        <f t="shared" si="45"/>
        <v>984.27974115444476</v>
      </c>
      <c r="J324" s="29">
        <v>29922.09</v>
      </c>
    </row>
    <row r="325" spans="1:10" ht="12.75" customHeight="1" x14ac:dyDescent="0.2">
      <c r="A325" s="769" t="s">
        <v>373</v>
      </c>
      <c r="B325" s="643" t="s">
        <v>374</v>
      </c>
      <c r="C325" s="644">
        <v>7200000</v>
      </c>
      <c r="D325" s="644">
        <v>7200000</v>
      </c>
      <c r="E325" s="644">
        <v>4141120.7</v>
      </c>
      <c r="F325" s="644"/>
      <c r="G325" s="1051">
        <f t="shared" si="47"/>
        <v>57.515565277777782</v>
      </c>
      <c r="H325" s="1055">
        <f t="shared" si="48"/>
        <v>57.515565277777782</v>
      </c>
      <c r="I325" s="1056">
        <f t="shared" si="45"/>
        <v>164.43198360845543</v>
      </c>
      <c r="J325" s="29">
        <v>2518439.91</v>
      </c>
    </row>
    <row r="326" spans="1:10" ht="12.75" customHeight="1" x14ac:dyDescent="0.2">
      <c r="A326" s="769"/>
      <c r="B326" s="679" t="s">
        <v>281</v>
      </c>
      <c r="C326" s="652">
        <f>SUM(C327:C334)</f>
        <v>2390000</v>
      </c>
      <c r="D326" s="652">
        <f>SUM(D327:D334)</f>
        <v>490000</v>
      </c>
      <c r="E326" s="652">
        <v>54030</v>
      </c>
      <c r="F326" s="652">
        <f>SUM(E327:E334)</f>
        <v>54030</v>
      </c>
      <c r="G326" s="1051">
        <f t="shared" si="47"/>
        <v>2.2606694560669456</v>
      </c>
      <c r="H326" s="1055">
        <f t="shared" si="48"/>
        <v>11.026530612244898</v>
      </c>
      <c r="I326" s="1056">
        <f t="shared" si="45"/>
        <v>4322.3999999999996</v>
      </c>
      <c r="J326" s="29">
        <v>1250</v>
      </c>
    </row>
    <row r="327" spans="1:10" x14ac:dyDescent="0.2">
      <c r="A327" s="769" t="s">
        <v>1935</v>
      </c>
      <c r="B327" s="783" t="s">
        <v>1936</v>
      </c>
      <c r="C327" s="644">
        <v>0</v>
      </c>
      <c r="D327" s="644">
        <v>70301</v>
      </c>
      <c r="E327" s="644">
        <v>0</v>
      </c>
      <c r="F327" s="644"/>
      <c r="G327" s="1051">
        <v>0</v>
      </c>
      <c r="H327" s="1055">
        <f t="shared" si="48"/>
        <v>0</v>
      </c>
      <c r="I327" s="1056">
        <v>0</v>
      </c>
      <c r="J327" s="29">
        <v>0</v>
      </c>
    </row>
    <row r="328" spans="1:10" x14ac:dyDescent="0.2">
      <c r="A328" s="769" t="s">
        <v>571</v>
      </c>
      <c r="B328" s="783" t="s">
        <v>1937</v>
      </c>
      <c r="C328" s="644">
        <v>0</v>
      </c>
      <c r="D328" s="644">
        <v>26257</v>
      </c>
      <c r="E328" s="644">
        <v>0</v>
      </c>
      <c r="F328" s="644"/>
      <c r="G328" s="1051">
        <v>0</v>
      </c>
      <c r="H328" s="1055">
        <f t="shared" si="48"/>
        <v>0</v>
      </c>
      <c r="I328" s="1056">
        <v>0</v>
      </c>
      <c r="J328" s="29">
        <v>0</v>
      </c>
    </row>
    <row r="329" spans="1:10" x14ac:dyDescent="0.2">
      <c r="A329" s="769" t="s">
        <v>579</v>
      </c>
      <c r="B329" s="783" t="s">
        <v>1299</v>
      </c>
      <c r="C329" s="644">
        <v>650000</v>
      </c>
      <c r="D329" s="644">
        <f>650000-600000</f>
        <v>50000</v>
      </c>
      <c r="E329" s="644">
        <v>8470</v>
      </c>
      <c r="F329" s="644"/>
      <c r="G329" s="1051">
        <f t="shared" si="47"/>
        <v>1.303076923076923</v>
      </c>
      <c r="H329" s="1055">
        <f t="shared" si="48"/>
        <v>16.939999999999998</v>
      </c>
      <c r="I329" s="1056">
        <f t="shared" ref="I329:I387" si="49">E329/J329*100</f>
        <v>677.6</v>
      </c>
      <c r="J329" s="29">
        <v>1250</v>
      </c>
    </row>
    <row r="330" spans="1:10" ht="12.75" customHeight="1" x14ac:dyDescent="0.2">
      <c r="A330" s="769" t="s">
        <v>1300</v>
      </c>
      <c r="B330" s="783" t="s">
        <v>1301</v>
      </c>
      <c r="C330" s="644">
        <v>80000</v>
      </c>
      <c r="D330" s="644">
        <v>80000</v>
      </c>
      <c r="E330" s="644">
        <v>0</v>
      </c>
      <c r="F330" s="644"/>
      <c r="G330" s="1051">
        <f t="shared" si="47"/>
        <v>0</v>
      </c>
      <c r="H330" s="1055">
        <f t="shared" si="48"/>
        <v>0</v>
      </c>
      <c r="I330" s="1056">
        <v>0</v>
      </c>
      <c r="J330" s="29">
        <v>0</v>
      </c>
    </row>
    <row r="331" spans="1:10" ht="12.75" customHeight="1" x14ac:dyDescent="0.2">
      <c r="A331" s="769" t="s">
        <v>1302</v>
      </c>
      <c r="B331" s="783" t="s">
        <v>1303</v>
      </c>
      <c r="C331" s="644">
        <v>550000</v>
      </c>
      <c r="D331" s="644">
        <f>550000-124482-400000</f>
        <v>25518</v>
      </c>
      <c r="E331" s="644">
        <v>1200</v>
      </c>
      <c r="F331" s="644"/>
      <c r="G331" s="1051">
        <f t="shared" si="47"/>
        <v>0.2181818181818182</v>
      </c>
      <c r="H331" s="1055">
        <f t="shared" si="48"/>
        <v>4.7025628967787449</v>
      </c>
      <c r="I331" s="1056">
        <v>0</v>
      </c>
      <c r="J331" s="29">
        <v>0</v>
      </c>
    </row>
    <row r="332" spans="1:10" ht="12.75" customHeight="1" x14ac:dyDescent="0.2">
      <c r="A332" s="769" t="s">
        <v>1304</v>
      </c>
      <c r="B332" s="783" t="s">
        <v>1305</v>
      </c>
      <c r="C332" s="644">
        <v>50000</v>
      </c>
      <c r="D332" s="644">
        <f>50000+27924</f>
        <v>77924</v>
      </c>
      <c r="E332" s="644">
        <v>0</v>
      </c>
      <c r="F332" s="644"/>
      <c r="G332" s="1051">
        <f t="shared" si="47"/>
        <v>0</v>
      </c>
      <c r="H332" s="1055">
        <f t="shared" si="48"/>
        <v>0</v>
      </c>
      <c r="I332" s="1056">
        <v>0</v>
      </c>
      <c r="J332" s="29">
        <v>0</v>
      </c>
    </row>
    <row r="333" spans="1:10" ht="12.75" customHeight="1" x14ac:dyDescent="0.2">
      <c r="A333" s="769" t="s">
        <v>1306</v>
      </c>
      <c r="B333" s="783" t="s">
        <v>1307</v>
      </c>
      <c r="C333" s="644">
        <v>60000</v>
      </c>
      <c r="D333" s="644">
        <v>60000</v>
      </c>
      <c r="E333" s="644">
        <v>0</v>
      </c>
      <c r="F333" s="644"/>
      <c r="G333" s="1051">
        <f t="shared" si="47"/>
        <v>0</v>
      </c>
      <c r="H333" s="1055">
        <f t="shared" si="48"/>
        <v>0</v>
      </c>
      <c r="I333" s="1056">
        <v>0</v>
      </c>
      <c r="J333" s="29">
        <v>0</v>
      </c>
    </row>
    <row r="334" spans="1:10" ht="12.75" customHeight="1" x14ac:dyDescent="0.2">
      <c r="A334" s="769" t="s">
        <v>585</v>
      </c>
      <c r="B334" s="783" t="s">
        <v>1308</v>
      </c>
      <c r="C334" s="644">
        <v>1000000</v>
      </c>
      <c r="D334" s="644">
        <f>1000000-900000</f>
        <v>100000</v>
      </c>
      <c r="E334" s="644">
        <v>44360</v>
      </c>
      <c r="F334" s="644"/>
      <c r="G334" s="1051">
        <f t="shared" si="47"/>
        <v>4.4359999999999999</v>
      </c>
      <c r="H334" s="1055">
        <f t="shared" si="48"/>
        <v>44.36</v>
      </c>
      <c r="I334" s="1056">
        <v>0</v>
      </c>
      <c r="J334" s="29">
        <v>0</v>
      </c>
    </row>
    <row r="335" spans="1:10" x14ac:dyDescent="0.2">
      <c r="A335" s="663">
        <v>3632</v>
      </c>
      <c r="B335" s="629" t="s">
        <v>1309</v>
      </c>
      <c r="C335" s="635">
        <f>SUM(C337:C340)</f>
        <v>4142630</v>
      </c>
      <c r="D335" s="635">
        <f>SUM(D337:D340)</f>
        <v>3196077</v>
      </c>
      <c r="E335" s="635">
        <v>3096077</v>
      </c>
      <c r="F335" s="652">
        <f>SUM(E336,E338:E340)</f>
        <v>3096077</v>
      </c>
      <c r="G335" s="630">
        <f t="shared" si="47"/>
        <v>74.736990752251586</v>
      </c>
      <c r="H335" s="1052">
        <f t="shared" si="48"/>
        <v>96.871164242914048</v>
      </c>
      <c r="I335" s="631">
        <f t="shared" si="49"/>
        <v>88.951601017171882</v>
      </c>
      <c r="J335" s="29">
        <v>3480631</v>
      </c>
    </row>
    <row r="336" spans="1:10" s="2" customFormat="1" x14ac:dyDescent="0.2">
      <c r="A336" s="715"/>
      <c r="B336" s="672" t="s">
        <v>1310</v>
      </c>
      <c r="C336" s="652">
        <f>SUM(C337:C337)</f>
        <v>366630</v>
      </c>
      <c r="D336" s="652">
        <f>SUM(D337:D337)</f>
        <v>30240</v>
      </c>
      <c r="E336" s="652">
        <v>30240</v>
      </c>
      <c r="F336" s="652">
        <f>SUM(E337:E337)</f>
        <v>30240</v>
      </c>
      <c r="G336" s="1051">
        <f t="shared" si="47"/>
        <v>8.24809753702643</v>
      </c>
      <c r="H336" s="1055">
        <f t="shared" si="48"/>
        <v>100</v>
      </c>
      <c r="I336" s="1056">
        <v>0</v>
      </c>
      <c r="J336" s="88">
        <v>395670</v>
      </c>
    </row>
    <row r="337" spans="1:10" s="98" customFormat="1" x14ac:dyDescent="0.2">
      <c r="A337" s="769" t="s">
        <v>377</v>
      </c>
      <c r="B337" s="643" t="s">
        <v>1311</v>
      </c>
      <c r="C337" s="644">
        <v>366630</v>
      </c>
      <c r="D337" s="644">
        <f>366630+33698-370088</f>
        <v>30240</v>
      </c>
      <c r="E337" s="644">
        <v>30240</v>
      </c>
      <c r="F337" s="644"/>
      <c r="G337" s="1051">
        <f t="shared" si="47"/>
        <v>8.24809753702643</v>
      </c>
      <c r="H337" s="1055">
        <f t="shared" si="48"/>
        <v>100</v>
      </c>
      <c r="I337" s="1056">
        <v>0</v>
      </c>
      <c r="J337" s="29">
        <v>395670</v>
      </c>
    </row>
    <row r="338" spans="1:10" s="98" customFormat="1" x14ac:dyDescent="0.2">
      <c r="A338" s="769" t="s">
        <v>383</v>
      </c>
      <c r="B338" s="643" t="s">
        <v>1314</v>
      </c>
      <c r="C338" s="644">
        <v>3400000</v>
      </c>
      <c r="D338" s="644">
        <f>3400000-600000</f>
        <v>2800000</v>
      </c>
      <c r="E338" s="644">
        <v>2800000</v>
      </c>
      <c r="F338" s="644"/>
      <c r="G338" s="1051">
        <f t="shared" si="47"/>
        <v>82.35294117647058</v>
      </c>
      <c r="H338" s="1055">
        <f t="shared" si="48"/>
        <v>100</v>
      </c>
      <c r="I338" s="1056">
        <f t="shared" si="49"/>
        <v>90.762897812970735</v>
      </c>
      <c r="J338" s="29">
        <v>3084961</v>
      </c>
    </row>
    <row r="339" spans="1:10" s="98" customFormat="1" x14ac:dyDescent="0.2">
      <c r="A339" s="769" t="s">
        <v>383</v>
      </c>
      <c r="B339" s="643" t="s">
        <v>1315</v>
      </c>
      <c r="C339" s="644">
        <v>276000</v>
      </c>
      <c r="D339" s="644">
        <f>276000-10163</f>
        <v>265837</v>
      </c>
      <c r="E339" s="644">
        <v>265837</v>
      </c>
      <c r="F339" s="644"/>
      <c r="G339" s="1051">
        <f t="shared" si="47"/>
        <v>96.317753623188409</v>
      </c>
      <c r="H339" s="1055">
        <f t="shared" si="48"/>
        <v>100</v>
      </c>
      <c r="I339" s="1056">
        <v>0</v>
      </c>
      <c r="J339" s="29">
        <v>0</v>
      </c>
    </row>
    <row r="340" spans="1:10" s="98" customFormat="1" x14ac:dyDescent="0.2">
      <c r="A340" s="769" t="s">
        <v>387</v>
      </c>
      <c r="B340" s="643" t="s">
        <v>1316</v>
      </c>
      <c r="C340" s="644">
        <v>100000</v>
      </c>
      <c r="D340" s="644">
        <v>100000</v>
      </c>
      <c r="E340" s="644">
        <v>0</v>
      </c>
      <c r="F340" s="644"/>
      <c r="G340" s="1051">
        <f t="shared" si="47"/>
        <v>0</v>
      </c>
      <c r="H340" s="1055">
        <f t="shared" si="48"/>
        <v>0</v>
      </c>
      <c r="I340" s="1056">
        <v>0</v>
      </c>
      <c r="J340" s="29">
        <v>0</v>
      </c>
    </row>
    <row r="341" spans="1:10" s="98" customFormat="1" x14ac:dyDescent="0.2">
      <c r="A341" s="663">
        <v>3633</v>
      </c>
      <c r="B341" s="629" t="s">
        <v>1317</v>
      </c>
      <c r="C341" s="635">
        <f>SUM(C342)</f>
        <v>1780000</v>
      </c>
      <c r="D341" s="635">
        <f>SUM(D342)</f>
        <v>1780000</v>
      </c>
      <c r="E341" s="635">
        <v>1719263.54</v>
      </c>
      <c r="F341" s="652"/>
      <c r="G341" s="630">
        <f t="shared" si="47"/>
        <v>96.587839325842694</v>
      </c>
      <c r="H341" s="1052">
        <f t="shared" si="48"/>
        <v>96.587839325842694</v>
      </c>
      <c r="I341" s="631">
        <v>0</v>
      </c>
      <c r="J341" s="29">
        <v>0</v>
      </c>
    </row>
    <row r="342" spans="1:10" s="98" customFormat="1" ht="24.75" x14ac:dyDescent="0.2">
      <c r="A342" s="769"/>
      <c r="B342" s="650" t="s">
        <v>1318</v>
      </c>
      <c r="C342" s="644">
        <v>1780000</v>
      </c>
      <c r="D342" s="644">
        <v>1780000</v>
      </c>
      <c r="E342" s="644">
        <v>1719263.54</v>
      </c>
      <c r="F342" s="644"/>
      <c r="G342" s="1051">
        <f t="shared" si="47"/>
        <v>96.587839325842694</v>
      </c>
      <c r="H342" s="1055">
        <f t="shared" si="48"/>
        <v>96.587839325842694</v>
      </c>
      <c r="I342" s="670">
        <v>0</v>
      </c>
      <c r="J342" s="1037">
        <v>0</v>
      </c>
    </row>
    <row r="343" spans="1:10" s="98" customFormat="1" x14ac:dyDescent="0.2">
      <c r="A343" s="663">
        <v>3639</v>
      </c>
      <c r="B343" s="629" t="s">
        <v>1319</v>
      </c>
      <c r="C343" s="635">
        <f>SUM(C344:C345)</f>
        <v>14414.2</v>
      </c>
      <c r="D343" s="635">
        <f>SUM(D344:D345)</f>
        <v>14414.2</v>
      </c>
      <c r="E343" s="635">
        <v>6250.42</v>
      </c>
      <c r="F343" s="652">
        <f>SUM(E344:E345)</f>
        <v>6250.42</v>
      </c>
      <c r="G343" s="630">
        <f t="shared" si="47"/>
        <v>43.362933773639881</v>
      </c>
      <c r="H343" s="1052">
        <f t="shared" si="48"/>
        <v>43.362933773639881</v>
      </c>
      <c r="I343" s="631">
        <v>0</v>
      </c>
      <c r="J343" s="29">
        <v>9414.2000000000007</v>
      </c>
    </row>
    <row r="344" spans="1:10" s="98" customFormat="1" x14ac:dyDescent="0.2">
      <c r="A344" s="769" t="s">
        <v>390</v>
      </c>
      <c r="B344" s="773" t="s">
        <v>1320</v>
      </c>
      <c r="C344" s="644">
        <v>9414.2000000000007</v>
      </c>
      <c r="D344" s="644">
        <v>9414.2000000000007</v>
      </c>
      <c r="E344" s="644">
        <v>6250.42</v>
      </c>
      <c r="F344" s="644"/>
      <c r="G344" s="1051">
        <f t="shared" si="47"/>
        <v>66.393533173291402</v>
      </c>
      <c r="H344" s="1055">
        <f t="shared" si="48"/>
        <v>66.393533173291402</v>
      </c>
      <c r="I344" s="1056">
        <v>0</v>
      </c>
      <c r="J344" s="29">
        <v>9414.2000000000007</v>
      </c>
    </row>
    <row r="345" spans="1:10" s="98" customFormat="1" x14ac:dyDescent="0.2">
      <c r="A345" s="775" t="s">
        <v>392</v>
      </c>
      <c r="B345" s="643" t="s">
        <v>1321</v>
      </c>
      <c r="C345" s="644">
        <v>5000</v>
      </c>
      <c r="D345" s="644">
        <v>5000</v>
      </c>
      <c r="E345" s="644">
        <v>0</v>
      </c>
      <c r="F345" s="644"/>
      <c r="G345" s="1051">
        <f t="shared" si="47"/>
        <v>0</v>
      </c>
      <c r="H345" s="1055">
        <f t="shared" si="48"/>
        <v>0</v>
      </c>
      <c r="I345" s="1056">
        <v>0</v>
      </c>
      <c r="J345" s="29">
        <v>0</v>
      </c>
    </row>
    <row r="346" spans="1:10" s="98" customFormat="1" x14ac:dyDescent="0.2">
      <c r="A346" s="663">
        <v>3699</v>
      </c>
      <c r="B346" s="629" t="s">
        <v>1322</v>
      </c>
      <c r="C346" s="635">
        <f>SUM(C347:C348)</f>
        <v>275000</v>
      </c>
      <c r="D346" s="635">
        <f>SUM(D347:D348)</f>
        <v>547931</v>
      </c>
      <c r="E346" s="635">
        <v>455229.5</v>
      </c>
      <c r="F346" s="652">
        <f>SUM(E347:E348)</f>
        <v>455229.5</v>
      </c>
      <c r="G346" s="630">
        <f t="shared" si="47"/>
        <v>165.53800000000001</v>
      </c>
      <c r="H346" s="1052">
        <f t="shared" si="48"/>
        <v>83.081537638863296</v>
      </c>
      <c r="I346" s="631">
        <f t="shared" si="49"/>
        <v>61.412932034643717</v>
      </c>
      <c r="J346" s="29">
        <v>741260</v>
      </c>
    </row>
    <row r="347" spans="1:10" s="98" customFormat="1" x14ac:dyDescent="0.2">
      <c r="A347" s="774" t="s">
        <v>395</v>
      </c>
      <c r="B347" s="690" t="s">
        <v>1325</v>
      </c>
      <c r="C347" s="785">
        <v>275000</v>
      </c>
      <c r="D347" s="785">
        <f>275000</f>
        <v>275000</v>
      </c>
      <c r="E347" s="785">
        <v>275000</v>
      </c>
      <c r="F347" s="785"/>
      <c r="G347" s="1051">
        <f t="shared" si="47"/>
        <v>100</v>
      </c>
      <c r="H347" s="1055">
        <f t="shared" si="48"/>
        <v>100</v>
      </c>
      <c r="I347" s="1056">
        <f t="shared" si="49"/>
        <v>110.00000000000001</v>
      </c>
      <c r="J347" s="29">
        <v>250000</v>
      </c>
    </row>
    <row r="348" spans="1:10" s="98" customFormat="1" x14ac:dyDescent="0.2">
      <c r="A348" s="774" t="s">
        <v>1938</v>
      </c>
      <c r="B348" s="690" t="s">
        <v>1939</v>
      </c>
      <c r="C348" s="785">
        <v>0</v>
      </c>
      <c r="D348" s="785">
        <f>43923+29008+200000</f>
        <v>272931</v>
      </c>
      <c r="E348" s="785">
        <v>180229.5</v>
      </c>
      <c r="F348" s="785"/>
      <c r="G348" s="1051">
        <v>0</v>
      </c>
      <c r="H348" s="1055">
        <f t="shared" si="48"/>
        <v>66.034821987974979</v>
      </c>
      <c r="I348" s="1056">
        <v>0</v>
      </c>
      <c r="J348" s="29">
        <v>491260</v>
      </c>
    </row>
    <row r="349" spans="1:10" s="85" customFormat="1" ht="20.25" x14ac:dyDescent="0.3">
      <c r="A349" s="786"/>
      <c r="B349" s="787" t="s">
        <v>1017</v>
      </c>
      <c r="C349" s="788">
        <f>C350+C362+C414+C438+C445+C452+C458+C429+C492+C512</f>
        <v>196635250</v>
      </c>
      <c r="D349" s="788">
        <f>D350+D362+D414+D438+D445+D452+D458+D429+D492+D512</f>
        <v>146703272.44999999</v>
      </c>
      <c r="E349" s="788">
        <v>116124695.68000001</v>
      </c>
      <c r="F349" s="1090">
        <f>SUM(E350,E362,E414,E429,E438,E445,E452,E458,E492,E512)</f>
        <v>116124695.68000001</v>
      </c>
      <c r="G349" s="735">
        <f t="shared" si="47"/>
        <v>59.055889358596694</v>
      </c>
      <c r="H349" s="735">
        <f t="shared" si="48"/>
        <v>79.156172688361877</v>
      </c>
      <c r="I349" s="1091">
        <f t="shared" si="49"/>
        <v>88.015209699909732</v>
      </c>
      <c r="J349" s="1037">
        <v>131937077.78</v>
      </c>
    </row>
    <row r="350" spans="1:10" s="98" customFormat="1" ht="15.75" x14ac:dyDescent="0.25">
      <c r="A350" s="790"/>
      <c r="B350" s="791" t="s">
        <v>398</v>
      </c>
      <c r="C350" s="792">
        <f>SUM(C351+C354)</f>
        <v>4800000</v>
      </c>
      <c r="D350" s="792">
        <f>SUM(D351+D354)</f>
        <v>820000</v>
      </c>
      <c r="E350" s="792">
        <v>160787</v>
      </c>
      <c r="F350" s="1092">
        <f>SUM(E351,E354)</f>
        <v>160787</v>
      </c>
      <c r="G350" s="623">
        <f t="shared" si="47"/>
        <v>3.3497291666666666</v>
      </c>
      <c r="H350" s="623">
        <f t="shared" si="48"/>
        <v>19.608170731707318</v>
      </c>
      <c r="I350" s="741">
        <f t="shared" si="49"/>
        <v>7.1401260902561807</v>
      </c>
      <c r="J350" s="29">
        <v>2251879</v>
      </c>
    </row>
    <row r="351" spans="1:10" s="98" customFormat="1" x14ac:dyDescent="0.2">
      <c r="A351" s="793">
        <v>2310</v>
      </c>
      <c r="B351" s="794" t="s">
        <v>1216</v>
      </c>
      <c r="C351" s="795">
        <f>SUM(C352:C353)</f>
        <v>1010000</v>
      </c>
      <c r="D351" s="795">
        <f>SUM(D352:D353)</f>
        <v>10000</v>
      </c>
      <c r="E351" s="795">
        <v>3000</v>
      </c>
      <c r="F351" s="1093">
        <f>SUM(E352:E353)</f>
        <v>3000</v>
      </c>
      <c r="G351" s="630">
        <f t="shared" si="47"/>
        <v>0.29702970297029702</v>
      </c>
      <c r="H351" s="1052">
        <f t="shared" si="48"/>
        <v>30</v>
      </c>
      <c r="I351" s="631">
        <f t="shared" si="49"/>
        <v>0.13559205593262702</v>
      </c>
      <c r="J351" s="29">
        <v>2212519</v>
      </c>
    </row>
    <row r="352" spans="1:10" s="98" customFormat="1" x14ac:dyDescent="0.2">
      <c r="A352" s="796" t="s">
        <v>403</v>
      </c>
      <c r="B352" s="731" t="s">
        <v>404</v>
      </c>
      <c r="C352" s="695">
        <v>10000</v>
      </c>
      <c r="D352" s="695">
        <v>10000</v>
      </c>
      <c r="E352" s="695">
        <v>3000</v>
      </c>
      <c r="F352" s="695"/>
      <c r="G352" s="1051">
        <f t="shared" si="47"/>
        <v>30</v>
      </c>
      <c r="H352" s="1055">
        <f t="shared" si="48"/>
        <v>30</v>
      </c>
      <c r="I352" s="1056">
        <v>0</v>
      </c>
      <c r="J352" s="29">
        <v>0</v>
      </c>
    </row>
    <row r="353" spans="1:10" s="98" customFormat="1" x14ac:dyDescent="0.2">
      <c r="A353" s="796" t="s">
        <v>1327</v>
      </c>
      <c r="B353" s="731" t="s">
        <v>1328</v>
      </c>
      <c r="C353" s="695">
        <v>1000000</v>
      </c>
      <c r="D353" s="695">
        <f>1000000-1000000</f>
        <v>0</v>
      </c>
      <c r="E353" s="695">
        <v>0</v>
      </c>
      <c r="F353" s="695"/>
      <c r="G353" s="1051">
        <f t="shared" si="47"/>
        <v>0</v>
      </c>
      <c r="H353" s="1055">
        <v>0</v>
      </c>
      <c r="I353" s="1056">
        <v>0</v>
      </c>
      <c r="J353" s="29">
        <v>0</v>
      </c>
    </row>
    <row r="354" spans="1:10" s="98" customFormat="1" x14ac:dyDescent="0.2">
      <c r="A354" s="730">
        <v>2321</v>
      </c>
      <c r="B354" s="797" t="s">
        <v>1219</v>
      </c>
      <c r="C354" s="798">
        <f>SUM(C355:C361)</f>
        <v>3790000</v>
      </c>
      <c r="D354" s="798">
        <f>SUM(D355:D361)</f>
        <v>810000</v>
      </c>
      <c r="E354" s="798">
        <v>157787</v>
      </c>
      <c r="F354" s="1094">
        <f>SUM(E355:E361)</f>
        <v>157787</v>
      </c>
      <c r="G354" s="630">
        <f t="shared" si="47"/>
        <v>4.1632453825857523</v>
      </c>
      <c r="H354" s="1052">
        <f t="shared" si="48"/>
        <v>19.479876543209876</v>
      </c>
      <c r="I354" s="631">
        <f t="shared" si="49"/>
        <v>400.8816056910569</v>
      </c>
      <c r="J354" s="29">
        <v>39360</v>
      </c>
    </row>
    <row r="355" spans="1:10" s="98" customFormat="1" x14ac:dyDescent="0.2">
      <c r="A355" s="796" t="s">
        <v>1331</v>
      </c>
      <c r="B355" s="731" t="s">
        <v>1332</v>
      </c>
      <c r="C355" s="695">
        <v>1500000</v>
      </c>
      <c r="D355" s="695">
        <f>1500000-1000000-100000-400000</f>
        <v>0</v>
      </c>
      <c r="E355" s="695">
        <v>0</v>
      </c>
      <c r="F355" s="695"/>
      <c r="G355" s="1051">
        <f t="shared" si="47"/>
        <v>0</v>
      </c>
      <c r="H355" s="1055">
        <v>0</v>
      </c>
      <c r="I355" s="1056">
        <v>0</v>
      </c>
      <c r="J355" s="29">
        <v>0</v>
      </c>
    </row>
    <row r="356" spans="1:10" s="98" customFormat="1" x14ac:dyDescent="0.2">
      <c r="A356" s="796" t="s">
        <v>1333</v>
      </c>
      <c r="B356" s="731" t="s">
        <v>1334</v>
      </c>
      <c r="C356" s="695">
        <v>1000000</v>
      </c>
      <c r="D356" s="695">
        <f>1000000-1000000</f>
        <v>0</v>
      </c>
      <c r="E356" s="695">
        <v>0</v>
      </c>
      <c r="F356" s="695"/>
      <c r="G356" s="1051">
        <f t="shared" si="47"/>
        <v>0</v>
      </c>
      <c r="H356" s="1055">
        <v>0</v>
      </c>
      <c r="I356" s="1056">
        <v>0</v>
      </c>
      <c r="J356" s="29">
        <v>0</v>
      </c>
    </row>
    <row r="357" spans="1:10" s="98" customFormat="1" x14ac:dyDescent="0.2">
      <c r="A357" s="796" t="s">
        <v>1335</v>
      </c>
      <c r="B357" s="731" t="s">
        <v>1336</v>
      </c>
      <c r="C357" s="695">
        <v>500000</v>
      </c>
      <c r="D357" s="695">
        <f>500000-200000</f>
        <v>300000</v>
      </c>
      <c r="E357" s="695">
        <v>22930</v>
      </c>
      <c r="F357" s="695"/>
      <c r="G357" s="1051">
        <f t="shared" si="47"/>
        <v>4.5859999999999994</v>
      </c>
      <c r="H357" s="1055">
        <f t="shared" si="48"/>
        <v>7.6433333333333335</v>
      </c>
      <c r="I357" s="1056">
        <v>0</v>
      </c>
      <c r="J357" s="29">
        <v>0</v>
      </c>
    </row>
    <row r="358" spans="1:10" s="98" customFormat="1" x14ac:dyDescent="0.2">
      <c r="A358" s="796" t="s">
        <v>1329</v>
      </c>
      <c r="B358" s="731" t="s">
        <v>1330</v>
      </c>
      <c r="C358" s="695">
        <v>300000</v>
      </c>
      <c r="D358" s="695">
        <f>300000-280000+10000</f>
        <v>30000</v>
      </c>
      <c r="E358" s="695">
        <v>25473</v>
      </c>
      <c r="F358" s="695"/>
      <c r="G358" s="1051">
        <f t="shared" si="47"/>
        <v>8.4909999999999997</v>
      </c>
      <c r="H358" s="1055">
        <f t="shared" si="48"/>
        <v>84.91</v>
      </c>
      <c r="I358" s="1056">
        <v>0</v>
      </c>
      <c r="J358" s="29">
        <v>0</v>
      </c>
    </row>
    <row r="359" spans="1:10" s="98" customFormat="1" x14ac:dyDescent="0.2">
      <c r="A359" s="796" t="s">
        <v>411</v>
      </c>
      <c r="B359" s="731" t="s">
        <v>1337</v>
      </c>
      <c r="C359" s="695">
        <v>230000</v>
      </c>
      <c r="D359" s="695">
        <f>230000-10000</f>
        <v>220000</v>
      </c>
      <c r="E359" s="695">
        <v>109384</v>
      </c>
      <c r="F359" s="695"/>
      <c r="G359" s="1051">
        <f t="shared" si="47"/>
        <v>47.558260869565217</v>
      </c>
      <c r="H359" s="1055">
        <f t="shared" si="48"/>
        <v>49.72</v>
      </c>
      <c r="I359" s="1056">
        <f t="shared" si="49"/>
        <v>569.70833333333337</v>
      </c>
      <c r="J359" s="29">
        <v>19200</v>
      </c>
    </row>
    <row r="360" spans="1:10" s="98" customFormat="1" x14ac:dyDescent="0.2">
      <c r="A360" s="796" t="s">
        <v>413</v>
      </c>
      <c r="B360" s="731" t="s">
        <v>1338</v>
      </c>
      <c r="C360" s="695">
        <v>250000</v>
      </c>
      <c r="D360" s="695">
        <v>250000</v>
      </c>
      <c r="E360" s="695">
        <v>0</v>
      </c>
      <c r="F360" s="695"/>
      <c r="G360" s="1051">
        <f t="shared" si="47"/>
        <v>0</v>
      </c>
      <c r="H360" s="1055">
        <f t="shared" si="48"/>
        <v>0</v>
      </c>
      <c r="I360" s="1056">
        <f t="shared" si="49"/>
        <v>0</v>
      </c>
      <c r="J360" s="29">
        <v>20160</v>
      </c>
    </row>
    <row r="361" spans="1:10" x14ac:dyDescent="0.2">
      <c r="A361" s="799" t="s">
        <v>415</v>
      </c>
      <c r="B361" s="800" t="s">
        <v>416</v>
      </c>
      <c r="C361" s="728">
        <v>10000</v>
      </c>
      <c r="D361" s="728">
        <v>10000</v>
      </c>
      <c r="E361" s="728">
        <v>0</v>
      </c>
      <c r="F361" s="728"/>
      <c r="G361" s="1051">
        <f t="shared" si="47"/>
        <v>0</v>
      </c>
      <c r="H361" s="1055">
        <f t="shared" si="48"/>
        <v>0</v>
      </c>
      <c r="I361" s="1056">
        <v>0</v>
      </c>
      <c r="J361" s="29">
        <v>0</v>
      </c>
    </row>
    <row r="362" spans="1:10" ht="15.75" x14ac:dyDescent="0.25">
      <c r="A362" s="802"/>
      <c r="B362" s="803" t="s">
        <v>422</v>
      </c>
      <c r="C362" s="792">
        <f>SUM(C363+C378+C411)</f>
        <v>57873000</v>
      </c>
      <c r="D362" s="792">
        <f>SUM(D363+D378+D411)</f>
        <v>43226467.450000003</v>
      </c>
      <c r="E362" s="792">
        <v>33326899.550000001</v>
      </c>
      <c r="F362" s="1092">
        <f>SUM(E363,E378,E411)</f>
        <v>33326899.350000001</v>
      </c>
      <c r="G362" s="623">
        <f t="shared" si="47"/>
        <v>57.586265702486486</v>
      </c>
      <c r="H362" s="623">
        <f t="shared" si="48"/>
        <v>77.09836476586753</v>
      </c>
      <c r="I362" s="741">
        <f t="shared" si="49"/>
        <v>64.924722931000645</v>
      </c>
      <c r="J362" s="29">
        <v>51331600.729999997</v>
      </c>
    </row>
    <row r="363" spans="1:10" x14ac:dyDescent="0.2">
      <c r="A363" s="805">
        <v>2212</v>
      </c>
      <c r="B363" s="806" t="s">
        <v>1339</v>
      </c>
      <c r="C363" s="807">
        <f>SUM(C364:C377)</f>
        <v>10770000</v>
      </c>
      <c r="D363" s="807">
        <f>SUM(D364:D377)</f>
        <v>8040000</v>
      </c>
      <c r="E363" s="807">
        <v>6219302.5599999996</v>
      </c>
      <c r="F363" s="1095">
        <f>SUM(E364:E377)</f>
        <v>6219302.5599999996</v>
      </c>
      <c r="G363" s="630">
        <f t="shared" si="47"/>
        <v>57.746541875580313</v>
      </c>
      <c r="H363" s="1052">
        <f t="shared" si="48"/>
        <v>77.354509452736309</v>
      </c>
      <c r="I363" s="631">
        <f t="shared" si="49"/>
        <v>21.436543228280623</v>
      </c>
      <c r="J363" s="29">
        <v>29012618.75</v>
      </c>
    </row>
    <row r="364" spans="1:10" x14ac:dyDescent="0.2">
      <c r="A364" s="796" t="s">
        <v>293</v>
      </c>
      <c r="B364" s="731" t="s">
        <v>424</v>
      </c>
      <c r="C364" s="695">
        <v>300000</v>
      </c>
      <c r="D364" s="695">
        <f>300000-13500+(700000+1250000)-1800000</f>
        <v>436500</v>
      </c>
      <c r="E364" s="695">
        <v>166338.79999999999</v>
      </c>
      <c r="F364" s="695"/>
      <c r="G364" s="1051">
        <f t="shared" si="47"/>
        <v>55.446266666666666</v>
      </c>
      <c r="H364" s="1055">
        <f t="shared" si="48"/>
        <v>38.107399770904919</v>
      </c>
      <c r="I364" s="1056">
        <f t="shared" si="49"/>
        <v>178.11619933224679</v>
      </c>
      <c r="J364" s="29">
        <v>93387.8</v>
      </c>
    </row>
    <row r="365" spans="1:10" x14ac:dyDescent="0.2">
      <c r="A365" s="796" t="s">
        <v>291</v>
      </c>
      <c r="B365" s="731" t="s">
        <v>425</v>
      </c>
      <c r="C365" s="695">
        <v>5000000</v>
      </c>
      <c r="D365" s="695">
        <v>5000000</v>
      </c>
      <c r="E365" s="695">
        <v>4605305.51</v>
      </c>
      <c r="F365" s="695"/>
      <c r="G365" s="1051">
        <f t="shared" si="47"/>
        <v>92.106110199999989</v>
      </c>
      <c r="H365" s="1055">
        <f t="shared" si="48"/>
        <v>92.106110199999989</v>
      </c>
      <c r="I365" s="1056">
        <f t="shared" si="49"/>
        <v>224.32120656052894</v>
      </c>
      <c r="J365" s="29">
        <v>2052996.05</v>
      </c>
    </row>
    <row r="366" spans="1:10" x14ac:dyDescent="0.2">
      <c r="A366" s="796" t="s">
        <v>1358</v>
      </c>
      <c r="B366" s="731" t="s">
        <v>1940</v>
      </c>
      <c r="C366" s="695">
        <v>600000</v>
      </c>
      <c r="D366" s="695">
        <v>600000</v>
      </c>
      <c r="E366" s="695">
        <v>0</v>
      </c>
      <c r="F366" s="695"/>
      <c r="G366" s="1051">
        <f t="shared" si="47"/>
        <v>0</v>
      </c>
      <c r="H366" s="1055">
        <f t="shared" si="48"/>
        <v>0</v>
      </c>
      <c r="I366" s="1056">
        <v>0</v>
      </c>
      <c r="J366" s="29">
        <v>0</v>
      </c>
    </row>
    <row r="367" spans="1:10" x14ac:dyDescent="0.2">
      <c r="A367" s="796" t="s">
        <v>440</v>
      </c>
      <c r="B367" s="809" t="s">
        <v>1343</v>
      </c>
      <c r="C367" s="695">
        <v>10000</v>
      </c>
      <c r="D367" s="695">
        <v>10000</v>
      </c>
      <c r="E367" s="695">
        <v>0</v>
      </c>
      <c r="F367" s="695"/>
      <c r="G367" s="1051">
        <f t="shared" si="47"/>
        <v>0</v>
      </c>
      <c r="H367" s="1055">
        <f t="shared" si="48"/>
        <v>0</v>
      </c>
      <c r="I367" s="1056">
        <v>0</v>
      </c>
      <c r="J367" s="29">
        <v>0</v>
      </c>
    </row>
    <row r="368" spans="1:10" x14ac:dyDescent="0.2">
      <c r="A368" s="796" t="s">
        <v>442</v>
      </c>
      <c r="B368" s="731" t="s">
        <v>1344</v>
      </c>
      <c r="C368" s="695">
        <v>0</v>
      </c>
      <c r="D368" s="695">
        <v>13500</v>
      </c>
      <c r="E368" s="695">
        <v>13500</v>
      </c>
      <c r="F368" s="695"/>
      <c r="G368" s="1051">
        <v>0</v>
      </c>
      <c r="H368" s="1055">
        <f t="shared" si="48"/>
        <v>100</v>
      </c>
      <c r="I368" s="1056">
        <v>0</v>
      </c>
      <c r="J368" s="29">
        <v>3256880</v>
      </c>
    </row>
    <row r="369" spans="1:10" x14ac:dyDescent="0.2">
      <c r="A369" s="796" t="s">
        <v>1349</v>
      </c>
      <c r="B369" s="731" t="s">
        <v>1350</v>
      </c>
      <c r="C369" s="695">
        <v>150000</v>
      </c>
      <c r="D369" s="695">
        <f>150000+200000</f>
        <v>350000</v>
      </c>
      <c r="E369" s="695">
        <v>175450</v>
      </c>
      <c r="F369" s="695"/>
      <c r="G369" s="1051">
        <f t="shared" si="47"/>
        <v>116.96666666666667</v>
      </c>
      <c r="H369" s="1055">
        <f t="shared" si="48"/>
        <v>50.128571428571433</v>
      </c>
      <c r="I369" s="1056">
        <f t="shared" si="49"/>
        <v>3.2069626751402374</v>
      </c>
      <c r="J369" s="29">
        <v>5470908.7000000002</v>
      </c>
    </row>
    <row r="370" spans="1:10" x14ac:dyDescent="0.2">
      <c r="A370" s="796" t="s">
        <v>438</v>
      </c>
      <c r="B370" s="731" t="s">
        <v>1342</v>
      </c>
      <c r="C370" s="695">
        <v>10000</v>
      </c>
      <c r="D370" s="695">
        <v>10000</v>
      </c>
      <c r="E370" s="695">
        <v>0</v>
      </c>
      <c r="F370" s="695"/>
      <c r="G370" s="1051">
        <f t="shared" ref="G370:G433" si="50">E370/C370*100</f>
        <v>0</v>
      </c>
      <c r="H370" s="1055">
        <f t="shared" si="48"/>
        <v>0</v>
      </c>
      <c r="I370" s="1056">
        <v>0</v>
      </c>
      <c r="J370" s="29">
        <v>0</v>
      </c>
    </row>
    <row r="371" spans="1:10" x14ac:dyDescent="0.2">
      <c r="A371" s="796" t="s">
        <v>1345</v>
      </c>
      <c r="B371" s="731" t="s">
        <v>1346</v>
      </c>
      <c r="C371" s="695">
        <v>2200000</v>
      </c>
      <c r="D371" s="695">
        <f>2200000-200000-2000000</f>
        <v>0</v>
      </c>
      <c r="E371" s="695">
        <v>0</v>
      </c>
      <c r="F371" s="695"/>
      <c r="G371" s="1051">
        <f t="shared" si="50"/>
        <v>0</v>
      </c>
      <c r="H371" s="1055">
        <v>0</v>
      </c>
      <c r="I371" s="1056">
        <v>0</v>
      </c>
      <c r="J371" s="29">
        <v>0</v>
      </c>
    </row>
    <row r="372" spans="1:10" x14ac:dyDescent="0.2">
      <c r="A372" s="796" t="s">
        <v>451</v>
      </c>
      <c r="B372" s="731" t="s">
        <v>1352</v>
      </c>
      <c r="C372" s="695">
        <v>500000</v>
      </c>
      <c r="D372" s="695">
        <f>500000-500000</f>
        <v>0</v>
      </c>
      <c r="E372" s="695">
        <v>0</v>
      </c>
      <c r="F372" s="695"/>
      <c r="G372" s="1051">
        <f t="shared" si="50"/>
        <v>0</v>
      </c>
      <c r="H372" s="1055">
        <v>0</v>
      </c>
      <c r="I372" s="1056">
        <f t="shared" si="49"/>
        <v>0</v>
      </c>
      <c r="J372" s="29">
        <v>204490</v>
      </c>
    </row>
    <row r="373" spans="1:10" x14ac:dyDescent="0.2">
      <c r="A373" s="796" t="s">
        <v>1941</v>
      </c>
      <c r="B373" s="731" t="s">
        <v>1942</v>
      </c>
      <c r="C373" s="695">
        <v>0</v>
      </c>
      <c r="D373" s="695">
        <f>500000-450000</f>
        <v>50000</v>
      </c>
      <c r="E373" s="695">
        <v>36300</v>
      </c>
      <c r="F373" s="695"/>
      <c r="G373" s="1051">
        <v>0</v>
      </c>
      <c r="H373" s="1055">
        <f t="shared" si="48"/>
        <v>72.599999999999994</v>
      </c>
      <c r="I373" s="1056">
        <v>0</v>
      </c>
      <c r="J373" s="29">
        <v>0</v>
      </c>
    </row>
    <row r="374" spans="1:10" x14ac:dyDescent="0.2">
      <c r="A374" s="796" t="s">
        <v>1354</v>
      </c>
      <c r="B374" s="731" t="s">
        <v>1355</v>
      </c>
      <c r="C374" s="695">
        <v>500000</v>
      </c>
      <c r="D374" s="695">
        <f>500000-230000+70000</f>
        <v>340000</v>
      </c>
      <c r="E374" s="695">
        <v>336380</v>
      </c>
      <c r="F374" s="695"/>
      <c r="G374" s="1051">
        <f t="shared" si="50"/>
        <v>67.275999999999996</v>
      </c>
      <c r="H374" s="1055">
        <f t="shared" si="48"/>
        <v>98.935294117647061</v>
      </c>
      <c r="I374" s="1056">
        <v>0</v>
      </c>
      <c r="J374" s="29">
        <v>0</v>
      </c>
    </row>
    <row r="375" spans="1:10" x14ac:dyDescent="0.2">
      <c r="A375" s="796" t="s">
        <v>1356</v>
      </c>
      <c r="B375" s="731" t="s">
        <v>1357</v>
      </c>
      <c r="C375" s="695">
        <v>600000</v>
      </c>
      <c r="D375" s="695">
        <f>600000-200000-70000</f>
        <v>330000</v>
      </c>
      <c r="E375" s="695">
        <v>68002</v>
      </c>
      <c r="F375" s="695"/>
      <c r="G375" s="1051">
        <f t="shared" si="50"/>
        <v>11.333666666666668</v>
      </c>
      <c r="H375" s="1055">
        <f t="shared" si="48"/>
        <v>20.606666666666669</v>
      </c>
      <c r="I375" s="1056">
        <f t="shared" si="49"/>
        <v>1.9085419897761291</v>
      </c>
      <c r="J375" s="29">
        <v>3563034</v>
      </c>
    </row>
    <row r="376" spans="1:10" x14ac:dyDescent="0.2">
      <c r="A376" s="796" t="s">
        <v>447</v>
      </c>
      <c r="B376" s="731" t="s">
        <v>448</v>
      </c>
      <c r="C376" s="695">
        <v>550000</v>
      </c>
      <c r="D376" s="695">
        <v>550000</v>
      </c>
      <c r="E376" s="695">
        <v>510318</v>
      </c>
      <c r="F376" s="695"/>
      <c r="G376" s="1051">
        <f t="shared" si="50"/>
        <v>92.785090909090911</v>
      </c>
      <c r="H376" s="1055">
        <f t="shared" si="48"/>
        <v>92.785090909090911</v>
      </c>
      <c r="I376" s="1056">
        <v>0</v>
      </c>
      <c r="J376" s="29">
        <v>786500</v>
      </c>
    </row>
    <row r="377" spans="1:10" x14ac:dyDescent="0.2">
      <c r="A377" s="796" t="s">
        <v>453</v>
      </c>
      <c r="B377" s="731" t="s">
        <v>1353</v>
      </c>
      <c r="C377" s="695">
        <v>350000</v>
      </c>
      <c r="D377" s="695">
        <v>350000</v>
      </c>
      <c r="E377" s="695">
        <v>307708.25</v>
      </c>
      <c r="F377" s="695"/>
      <c r="G377" s="1051">
        <f t="shared" si="50"/>
        <v>87.916642857142861</v>
      </c>
      <c r="H377" s="1055">
        <f t="shared" si="48"/>
        <v>87.916642857142861</v>
      </c>
      <c r="I377" s="1056">
        <f t="shared" si="49"/>
        <v>241.08646459195273</v>
      </c>
      <c r="J377" s="29">
        <v>127633.98</v>
      </c>
    </row>
    <row r="378" spans="1:10" x14ac:dyDescent="0.2">
      <c r="A378" s="730">
        <v>2219</v>
      </c>
      <c r="B378" s="797" t="s">
        <v>1241</v>
      </c>
      <c r="C378" s="798">
        <f>SUM(C379:C410)</f>
        <v>45348000</v>
      </c>
      <c r="D378" s="798">
        <f>SUM(D379:D410)</f>
        <v>33331467.449999999</v>
      </c>
      <c r="E378" s="798">
        <v>25925810.760000002</v>
      </c>
      <c r="F378" s="1094">
        <f>SUM(E379:E410)</f>
        <v>25925810.760000002</v>
      </c>
      <c r="G378" s="630">
        <f t="shared" si="50"/>
        <v>57.170792008467849</v>
      </c>
      <c r="H378" s="1052">
        <f t="shared" si="48"/>
        <v>77.781786232157032</v>
      </c>
      <c r="I378" s="631">
        <f t="shared" si="49"/>
        <v>129.51967022910227</v>
      </c>
      <c r="J378" s="29">
        <v>20016890.649999999</v>
      </c>
    </row>
    <row r="379" spans="1:10" x14ac:dyDescent="0.2">
      <c r="A379" s="796" t="s">
        <v>299</v>
      </c>
      <c r="B379" s="731" t="s">
        <v>460</v>
      </c>
      <c r="C379" s="695">
        <v>200000</v>
      </c>
      <c r="D379" s="695">
        <f>200000+50000</f>
        <v>250000</v>
      </c>
      <c r="E379" s="695">
        <v>208740</v>
      </c>
      <c r="F379" s="695"/>
      <c r="G379" s="1051">
        <f t="shared" si="50"/>
        <v>104.37</v>
      </c>
      <c r="H379" s="1055">
        <f t="shared" si="48"/>
        <v>83.496000000000009</v>
      </c>
      <c r="I379" s="1056">
        <v>0</v>
      </c>
      <c r="J379" s="29">
        <v>0</v>
      </c>
    </row>
    <row r="380" spans="1:10" x14ac:dyDescent="0.2">
      <c r="A380" s="796" t="s">
        <v>301</v>
      </c>
      <c r="B380" s="731" t="s">
        <v>461</v>
      </c>
      <c r="C380" s="695">
        <v>3600000</v>
      </c>
      <c r="D380" s="695">
        <f>3600000-50000-50000</f>
        <v>3500000</v>
      </c>
      <c r="E380" s="695">
        <v>2467853.87</v>
      </c>
      <c r="F380" s="695"/>
      <c r="G380" s="1051">
        <f t="shared" si="50"/>
        <v>68.551496388888893</v>
      </c>
      <c r="H380" s="1055">
        <f t="shared" si="48"/>
        <v>70.510110571428569</v>
      </c>
      <c r="I380" s="1056">
        <v>0</v>
      </c>
      <c r="J380" s="29">
        <v>0</v>
      </c>
    </row>
    <row r="381" spans="1:10" x14ac:dyDescent="0.2">
      <c r="A381" s="796" t="s">
        <v>464</v>
      </c>
      <c r="B381" s="731" t="s">
        <v>1360</v>
      </c>
      <c r="C381" s="695">
        <v>5350000</v>
      </c>
      <c r="D381" s="695">
        <f>5350000+500000</f>
        <v>5850000</v>
      </c>
      <c r="E381" s="695">
        <v>4030637.06</v>
      </c>
      <c r="F381" s="695"/>
      <c r="G381" s="1051">
        <f t="shared" si="50"/>
        <v>75.339010467289725</v>
      </c>
      <c r="H381" s="1055">
        <f t="shared" si="48"/>
        <v>68.899778803418812</v>
      </c>
      <c r="I381" s="1056">
        <v>0</v>
      </c>
      <c r="J381" s="29">
        <v>0</v>
      </c>
    </row>
    <row r="382" spans="1:10" x14ac:dyDescent="0.2">
      <c r="A382" s="796" t="s">
        <v>468</v>
      </c>
      <c r="B382" s="731" t="s">
        <v>1361</v>
      </c>
      <c r="C382" s="695">
        <v>1500000</v>
      </c>
      <c r="D382" s="695">
        <f>1500000+50000+660000</f>
        <v>2210000</v>
      </c>
      <c r="E382" s="695">
        <v>1603295.09</v>
      </c>
      <c r="F382" s="695"/>
      <c r="G382" s="1051">
        <f t="shared" si="50"/>
        <v>106.88633933333334</v>
      </c>
      <c r="H382" s="1055">
        <f t="shared" si="48"/>
        <v>72.547289140271502</v>
      </c>
      <c r="I382" s="1056">
        <v>0</v>
      </c>
      <c r="J382" s="29">
        <v>0</v>
      </c>
    </row>
    <row r="383" spans="1:10" x14ac:dyDescent="0.2">
      <c r="A383" s="796" t="s">
        <v>470</v>
      </c>
      <c r="B383" s="809" t="s">
        <v>1943</v>
      </c>
      <c r="C383" s="695">
        <v>100000</v>
      </c>
      <c r="D383" s="695">
        <v>100000</v>
      </c>
      <c r="E383" s="695">
        <v>58080</v>
      </c>
      <c r="F383" s="695"/>
      <c r="G383" s="1051">
        <f t="shared" si="50"/>
        <v>58.08</v>
      </c>
      <c r="H383" s="1055">
        <f t="shared" si="48"/>
        <v>58.08</v>
      </c>
      <c r="I383" s="1056">
        <v>0</v>
      </c>
      <c r="J383" s="29">
        <v>133705</v>
      </c>
    </row>
    <row r="384" spans="1:10" x14ac:dyDescent="0.2">
      <c r="A384" s="796" t="s">
        <v>1396</v>
      </c>
      <c r="B384" s="809" t="s">
        <v>1397</v>
      </c>
      <c r="C384" s="695">
        <v>800000</v>
      </c>
      <c r="D384" s="695">
        <f>800000-730000</f>
        <v>70000</v>
      </c>
      <c r="E384" s="695">
        <v>60500</v>
      </c>
      <c r="F384" s="695"/>
      <c r="G384" s="1051">
        <f t="shared" si="50"/>
        <v>7.5625</v>
      </c>
      <c r="H384" s="1055">
        <f t="shared" si="48"/>
        <v>86.428571428571431</v>
      </c>
      <c r="I384" s="1056">
        <v>0</v>
      </c>
      <c r="J384" s="29">
        <v>0</v>
      </c>
    </row>
    <row r="385" spans="1:10" x14ac:dyDescent="0.2">
      <c r="A385" s="796" t="s">
        <v>486</v>
      </c>
      <c r="B385" s="731" t="s">
        <v>1944</v>
      </c>
      <c r="C385" s="695">
        <v>500000</v>
      </c>
      <c r="D385" s="695">
        <f>500000+2500000-300000</f>
        <v>2700000</v>
      </c>
      <c r="E385" s="695">
        <v>2680300.56</v>
      </c>
      <c r="F385" s="695"/>
      <c r="G385" s="1051">
        <f t="shared" si="50"/>
        <v>536.060112</v>
      </c>
      <c r="H385" s="1055">
        <f t="shared" ref="H385:H448" si="51">E385/D385*100</f>
        <v>99.27039111111111</v>
      </c>
      <c r="I385" s="1056">
        <v>0</v>
      </c>
      <c r="J385" s="29">
        <v>1820496.02</v>
      </c>
    </row>
    <row r="386" spans="1:10" x14ac:dyDescent="0.2">
      <c r="A386" s="796" t="s">
        <v>1394</v>
      </c>
      <c r="B386" s="809" t="s">
        <v>1395</v>
      </c>
      <c r="C386" s="695">
        <v>550000</v>
      </c>
      <c r="D386" s="695">
        <v>550000</v>
      </c>
      <c r="E386" s="695">
        <v>375100</v>
      </c>
      <c r="F386" s="695"/>
      <c r="G386" s="1051">
        <f t="shared" si="50"/>
        <v>68.2</v>
      </c>
      <c r="H386" s="1055">
        <f t="shared" si="51"/>
        <v>68.2</v>
      </c>
      <c r="I386" s="1056">
        <v>0</v>
      </c>
      <c r="J386" s="29">
        <v>0</v>
      </c>
    </row>
    <row r="387" spans="1:10" x14ac:dyDescent="0.2">
      <c r="A387" s="796" t="s">
        <v>1398</v>
      </c>
      <c r="B387" s="809" t="s">
        <v>1399</v>
      </c>
      <c r="C387" s="695">
        <v>600000</v>
      </c>
      <c r="D387" s="695">
        <f>600000-550000</f>
        <v>50000</v>
      </c>
      <c r="E387" s="695">
        <v>42350</v>
      </c>
      <c r="F387" s="695"/>
      <c r="G387" s="1051">
        <f t="shared" si="50"/>
        <v>7.0583333333333336</v>
      </c>
      <c r="H387" s="1055">
        <f t="shared" si="51"/>
        <v>84.7</v>
      </c>
      <c r="I387" s="1056">
        <f t="shared" si="49"/>
        <v>163.17330661940358</v>
      </c>
      <c r="J387" s="29">
        <v>25954</v>
      </c>
    </row>
    <row r="388" spans="1:10" x14ac:dyDescent="0.2">
      <c r="A388" s="796" t="s">
        <v>1400</v>
      </c>
      <c r="B388" s="809" t="s">
        <v>1401</v>
      </c>
      <c r="C388" s="695">
        <v>350000</v>
      </c>
      <c r="D388" s="695">
        <v>350000</v>
      </c>
      <c r="E388" s="695">
        <v>9680</v>
      </c>
      <c r="F388" s="695"/>
      <c r="G388" s="1051">
        <f t="shared" si="50"/>
        <v>2.7657142857142856</v>
      </c>
      <c r="H388" s="1055">
        <f t="shared" si="51"/>
        <v>2.7657142857142856</v>
      </c>
      <c r="I388" s="1056">
        <v>0</v>
      </c>
      <c r="J388" s="29">
        <v>0</v>
      </c>
    </row>
    <row r="389" spans="1:10" x14ac:dyDescent="0.2">
      <c r="A389" s="796" t="s">
        <v>492</v>
      </c>
      <c r="B389" s="809" t="s">
        <v>1945</v>
      </c>
      <c r="C389" s="695">
        <v>37000</v>
      </c>
      <c r="D389" s="695">
        <v>37000</v>
      </c>
      <c r="E389" s="695">
        <v>36300</v>
      </c>
      <c r="F389" s="695"/>
      <c r="G389" s="1051">
        <f t="shared" si="50"/>
        <v>98.108108108108098</v>
      </c>
      <c r="H389" s="1055">
        <f t="shared" si="51"/>
        <v>98.108108108108098</v>
      </c>
      <c r="I389" s="1056">
        <v>0</v>
      </c>
      <c r="J389" s="29">
        <v>0</v>
      </c>
    </row>
    <row r="390" spans="1:10" x14ac:dyDescent="0.2">
      <c r="A390" s="796" t="s">
        <v>1369</v>
      </c>
      <c r="B390" s="809" t="s">
        <v>1370</v>
      </c>
      <c r="C390" s="695">
        <v>37000</v>
      </c>
      <c r="D390" s="695">
        <v>37000</v>
      </c>
      <c r="E390" s="695">
        <v>36300</v>
      </c>
      <c r="F390" s="695"/>
      <c r="G390" s="1051">
        <f t="shared" si="50"/>
        <v>98.108108108108098</v>
      </c>
      <c r="H390" s="1055">
        <f t="shared" si="51"/>
        <v>98.108108108108098</v>
      </c>
      <c r="I390" s="1056">
        <v>0</v>
      </c>
      <c r="J390" s="29">
        <v>145200</v>
      </c>
    </row>
    <row r="391" spans="1:10" x14ac:dyDescent="0.2">
      <c r="A391" s="796" t="s">
        <v>1374</v>
      </c>
      <c r="B391" s="809" t="s">
        <v>1375</v>
      </c>
      <c r="C391" s="695">
        <v>200000</v>
      </c>
      <c r="D391" s="695">
        <v>200000</v>
      </c>
      <c r="E391" s="695">
        <v>59692</v>
      </c>
      <c r="F391" s="695"/>
      <c r="G391" s="1051">
        <f t="shared" si="50"/>
        <v>29.846</v>
      </c>
      <c r="H391" s="1055">
        <f t="shared" si="51"/>
        <v>29.846</v>
      </c>
      <c r="I391" s="1056">
        <v>0</v>
      </c>
      <c r="J391" s="29">
        <v>78986</v>
      </c>
    </row>
    <row r="392" spans="1:10" x14ac:dyDescent="0.2">
      <c r="A392" s="796" t="s">
        <v>1376</v>
      </c>
      <c r="B392" s="809" t="s">
        <v>1377</v>
      </c>
      <c r="C392" s="695">
        <v>3330000</v>
      </c>
      <c r="D392" s="695">
        <f>3330000-700000</f>
        <v>2630000</v>
      </c>
      <c r="E392" s="695">
        <v>2568200.04</v>
      </c>
      <c r="F392" s="695"/>
      <c r="G392" s="1051">
        <f t="shared" si="50"/>
        <v>77.123124324324323</v>
      </c>
      <c r="H392" s="1055">
        <f t="shared" si="51"/>
        <v>97.650191634980985</v>
      </c>
      <c r="I392" s="1056">
        <f t="shared" ref="I392:I432" si="52">E392/J392*100</f>
        <v>1286.4477872116613</v>
      </c>
      <c r="J392" s="29">
        <v>199635</v>
      </c>
    </row>
    <row r="393" spans="1:10" x14ac:dyDescent="0.2">
      <c r="A393" s="796" t="s">
        <v>1378</v>
      </c>
      <c r="B393" s="809" t="s">
        <v>1379</v>
      </c>
      <c r="C393" s="695">
        <v>1630000</v>
      </c>
      <c r="D393" s="695">
        <f>1630000-450000</f>
        <v>1180000</v>
      </c>
      <c r="E393" s="695">
        <v>1172402.21</v>
      </c>
      <c r="F393" s="695"/>
      <c r="G393" s="1051">
        <f t="shared" si="50"/>
        <v>71.926515950920248</v>
      </c>
      <c r="H393" s="1055">
        <f t="shared" si="51"/>
        <v>99.356119491525419</v>
      </c>
      <c r="I393" s="1056">
        <f t="shared" si="52"/>
        <v>5520.8241194198527</v>
      </c>
      <c r="J393" s="29">
        <v>21236</v>
      </c>
    </row>
    <row r="394" spans="1:10" x14ac:dyDescent="0.2">
      <c r="A394" s="796" t="s">
        <v>1381</v>
      </c>
      <c r="B394" s="809" t="s">
        <v>1946</v>
      </c>
      <c r="C394" s="695">
        <v>2400000</v>
      </c>
      <c r="D394" s="695">
        <f>2400000-800000</f>
        <v>1600000</v>
      </c>
      <c r="E394" s="695">
        <v>1591569.08</v>
      </c>
      <c r="F394" s="695"/>
      <c r="G394" s="1051">
        <f t="shared" si="50"/>
        <v>66.315378333333342</v>
      </c>
      <c r="H394" s="1055">
        <f t="shared" si="51"/>
        <v>99.473067499999999</v>
      </c>
      <c r="I394" s="1056">
        <f t="shared" si="52"/>
        <v>814.1934539948229</v>
      </c>
      <c r="J394" s="29">
        <v>195478</v>
      </c>
    </row>
    <row r="395" spans="1:10" x14ac:dyDescent="0.2">
      <c r="A395" s="796" t="s">
        <v>1383</v>
      </c>
      <c r="B395" s="809" t="s">
        <v>1384</v>
      </c>
      <c r="C395" s="695">
        <v>3150000</v>
      </c>
      <c r="D395" s="695">
        <f>3150000-81550.55-500000-310000</f>
        <v>2258449.4500000002</v>
      </c>
      <c r="E395" s="695">
        <v>2252557.63</v>
      </c>
      <c r="F395" s="695"/>
      <c r="G395" s="1051">
        <f t="shared" si="50"/>
        <v>71.509766031746025</v>
      </c>
      <c r="H395" s="1055">
        <f t="shared" si="51"/>
        <v>99.739121015084038</v>
      </c>
      <c r="I395" s="1056">
        <f t="shared" si="52"/>
        <v>8679.0384141172835</v>
      </c>
      <c r="J395" s="29">
        <v>25954</v>
      </c>
    </row>
    <row r="396" spans="1:10" x14ac:dyDescent="0.2">
      <c r="A396" s="796" t="s">
        <v>1385</v>
      </c>
      <c r="B396" s="809" t="s">
        <v>1386</v>
      </c>
      <c r="C396" s="695">
        <v>37000</v>
      </c>
      <c r="D396" s="695">
        <v>37000</v>
      </c>
      <c r="E396" s="695">
        <v>36300</v>
      </c>
      <c r="F396" s="695"/>
      <c r="G396" s="1051">
        <f t="shared" si="50"/>
        <v>98.108108108108098</v>
      </c>
      <c r="H396" s="1055">
        <f t="shared" si="51"/>
        <v>98.108108108108098</v>
      </c>
      <c r="I396" s="1056">
        <v>0</v>
      </c>
      <c r="J396" s="29">
        <v>108900</v>
      </c>
    </row>
    <row r="397" spans="1:10" x14ac:dyDescent="0.2">
      <c r="A397" s="796" t="s">
        <v>1387</v>
      </c>
      <c r="B397" s="809" t="s">
        <v>1388</v>
      </c>
      <c r="C397" s="695">
        <v>37000</v>
      </c>
      <c r="D397" s="695">
        <v>37000</v>
      </c>
      <c r="E397" s="695">
        <v>0</v>
      </c>
      <c r="F397" s="695"/>
      <c r="G397" s="1051">
        <f t="shared" si="50"/>
        <v>0</v>
      </c>
      <c r="H397" s="1055">
        <f t="shared" si="51"/>
        <v>0</v>
      </c>
      <c r="I397" s="1056">
        <v>0</v>
      </c>
      <c r="J397" s="29">
        <v>108900</v>
      </c>
    </row>
    <row r="398" spans="1:10" x14ac:dyDescent="0.2">
      <c r="A398" s="796" t="s">
        <v>1389</v>
      </c>
      <c r="B398" s="809" t="s">
        <v>1390</v>
      </c>
      <c r="C398" s="695">
        <v>40000</v>
      </c>
      <c r="D398" s="695">
        <v>40000</v>
      </c>
      <c r="E398" s="695">
        <v>0</v>
      </c>
      <c r="F398" s="695"/>
      <c r="G398" s="1051">
        <f t="shared" si="50"/>
        <v>0</v>
      </c>
      <c r="H398" s="1055">
        <f t="shared" si="51"/>
        <v>0</v>
      </c>
      <c r="I398" s="1056">
        <v>0</v>
      </c>
      <c r="J398" s="29">
        <v>0</v>
      </c>
    </row>
    <row r="399" spans="1:10" x14ac:dyDescent="0.2">
      <c r="A399" s="796" t="s">
        <v>1391</v>
      </c>
      <c r="B399" s="809" t="s">
        <v>1392</v>
      </c>
      <c r="C399" s="695">
        <v>190000</v>
      </c>
      <c r="D399" s="695">
        <v>190000</v>
      </c>
      <c r="E399" s="695">
        <v>0</v>
      </c>
      <c r="F399" s="695"/>
      <c r="G399" s="1051">
        <f t="shared" si="50"/>
        <v>0</v>
      </c>
      <c r="H399" s="1055">
        <f t="shared" si="51"/>
        <v>0</v>
      </c>
      <c r="I399" s="1056">
        <v>0</v>
      </c>
      <c r="J399" s="29">
        <v>120000</v>
      </c>
    </row>
    <row r="400" spans="1:10" x14ac:dyDescent="0.2">
      <c r="A400" s="796" t="s">
        <v>500</v>
      </c>
      <c r="B400" s="809" t="s">
        <v>501</v>
      </c>
      <c r="C400" s="695">
        <v>10000</v>
      </c>
      <c r="D400" s="695">
        <v>10000</v>
      </c>
      <c r="E400" s="695">
        <v>0</v>
      </c>
      <c r="F400" s="695"/>
      <c r="G400" s="1051">
        <f t="shared" si="50"/>
        <v>0</v>
      </c>
      <c r="H400" s="1055">
        <f t="shared" si="51"/>
        <v>0</v>
      </c>
      <c r="I400" s="1056">
        <f t="shared" si="52"/>
        <v>0</v>
      </c>
      <c r="J400" s="29">
        <v>209140</v>
      </c>
    </row>
    <row r="401" spans="1:10" x14ac:dyDescent="0.2">
      <c r="A401" s="796" t="s">
        <v>1402</v>
      </c>
      <c r="B401" s="809" t="s">
        <v>1947</v>
      </c>
      <c r="C401" s="695">
        <f>3400000+2200000</f>
        <v>5600000</v>
      </c>
      <c r="D401" s="695">
        <f>3400000+2200000+22018</f>
        <v>5622018</v>
      </c>
      <c r="E401" s="695">
        <v>4947845.5999999996</v>
      </c>
      <c r="F401" s="695"/>
      <c r="G401" s="1051">
        <f t="shared" si="50"/>
        <v>88.354385714285712</v>
      </c>
      <c r="H401" s="1055">
        <f t="shared" si="51"/>
        <v>88.008355718533807</v>
      </c>
      <c r="I401" s="1056">
        <v>0</v>
      </c>
      <c r="J401" s="29">
        <v>160646</v>
      </c>
    </row>
    <row r="402" spans="1:10" x14ac:dyDescent="0.2">
      <c r="A402" s="796" t="s">
        <v>1406</v>
      </c>
      <c r="B402" s="809" t="s">
        <v>1407</v>
      </c>
      <c r="C402" s="695">
        <v>1700000</v>
      </c>
      <c r="D402" s="695">
        <f>1700000-500000</f>
        <v>1200000</v>
      </c>
      <c r="E402" s="695">
        <v>1034417.02</v>
      </c>
      <c r="F402" s="695"/>
      <c r="G402" s="1051">
        <f t="shared" si="50"/>
        <v>60.848060000000004</v>
      </c>
      <c r="H402" s="1055">
        <f t="shared" si="51"/>
        <v>86.201418333333336</v>
      </c>
      <c r="I402" s="1056">
        <v>0</v>
      </c>
      <c r="J402" s="29">
        <v>244850</v>
      </c>
    </row>
    <row r="403" spans="1:10" x14ac:dyDescent="0.2">
      <c r="A403" s="796" t="s">
        <v>1408</v>
      </c>
      <c r="B403" s="809" t="s">
        <v>1409</v>
      </c>
      <c r="C403" s="695">
        <v>1300000</v>
      </c>
      <c r="D403" s="695">
        <f>1300000-750000</f>
        <v>550000</v>
      </c>
      <c r="E403" s="695">
        <v>39690</v>
      </c>
      <c r="F403" s="695"/>
      <c r="G403" s="1051">
        <f t="shared" si="50"/>
        <v>3.0530769230769228</v>
      </c>
      <c r="H403" s="1055">
        <f t="shared" si="51"/>
        <v>7.2163636363636359</v>
      </c>
      <c r="I403" s="1056">
        <v>0</v>
      </c>
      <c r="J403" s="29">
        <v>0</v>
      </c>
    </row>
    <row r="404" spans="1:10" x14ac:dyDescent="0.2">
      <c r="A404" s="796" t="s">
        <v>1410</v>
      </c>
      <c r="B404" s="809" t="s">
        <v>1411</v>
      </c>
      <c r="C404" s="695">
        <v>630000</v>
      </c>
      <c r="D404" s="695">
        <v>630000</v>
      </c>
      <c r="E404" s="695">
        <v>0</v>
      </c>
      <c r="F404" s="695"/>
      <c r="G404" s="1051">
        <f t="shared" si="50"/>
        <v>0</v>
      </c>
      <c r="H404" s="1055">
        <f t="shared" si="51"/>
        <v>0</v>
      </c>
      <c r="I404" s="1056">
        <v>0</v>
      </c>
      <c r="J404" s="29">
        <v>42350</v>
      </c>
    </row>
    <row r="405" spans="1:10" x14ac:dyDescent="0.2">
      <c r="A405" s="796" t="s">
        <v>1412</v>
      </c>
      <c r="B405" s="809" t="s">
        <v>1413</v>
      </c>
      <c r="C405" s="695">
        <v>800000</v>
      </c>
      <c r="D405" s="695">
        <f>800000-780000</f>
        <v>20000</v>
      </c>
      <c r="E405" s="695">
        <v>12100</v>
      </c>
      <c r="F405" s="695"/>
      <c r="G405" s="1051">
        <f t="shared" si="50"/>
        <v>1.5125</v>
      </c>
      <c r="H405" s="1055">
        <f t="shared" si="51"/>
        <v>60.5</v>
      </c>
      <c r="I405" s="1056">
        <v>0</v>
      </c>
      <c r="J405" s="29">
        <v>0</v>
      </c>
    </row>
    <row r="406" spans="1:10" x14ac:dyDescent="0.2">
      <c r="A406" s="796" t="s">
        <v>1414</v>
      </c>
      <c r="B406" s="809" t="s">
        <v>1415</v>
      </c>
      <c r="C406" s="695">
        <v>350000</v>
      </c>
      <c r="D406" s="695">
        <f>350000+13000</f>
        <v>363000</v>
      </c>
      <c r="E406" s="695">
        <v>63031.1</v>
      </c>
      <c r="F406" s="695"/>
      <c r="G406" s="1051">
        <f t="shared" si="50"/>
        <v>18.008885714285714</v>
      </c>
      <c r="H406" s="1055">
        <f t="shared" si="51"/>
        <v>17.363939393939393</v>
      </c>
      <c r="I406" s="1056">
        <v>0</v>
      </c>
      <c r="J406" s="29">
        <v>0</v>
      </c>
    </row>
    <row r="407" spans="1:10" x14ac:dyDescent="0.2">
      <c r="A407" s="796" t="s">
        <v>1418</v>
      </c>
      <c r="B407" s="809" t="s">
        <v>1948</v>
      </c>
      <c r="C407" s="695">
        <f>302100+287900</f>
        <v>590000</v>
      </c>
      <c r="D407" s="695">
        <f>302100+287900</f>
        <v>590000</v>
      </c>
      <c r="E407" s="695">
        <v>396819.5</v>
      </c>
      <c r="F407" s="695"/>
      <c r="G407" s="1051">
        <f t="shared" si="50"/>
        <v>67.257542372881346</v>
      </c>
      <c r="H407" s="1055">
        <f t="shared" si="51"/>
        <v>67.257542372881346</v>
      </c>
      <c r="I407" s="1056">
        <v>0</v>
      </c>
      <c r="J407" s="29">
        <v>0</v>
      </c>
    </row>
    <row r="408" spans="1:10" x14ac:dyDescent="0.2">
      <c r="A408" s="796" t="s">
        <v>1422</v>
      </c>
      <c r="B408" s="809" t="s">
        <v>1423</v>
      </c>
      <c r="C408" s="695">
        <v>9650000</v>
      </c>
      <c r="D408" s="695">
        <f>9650000-1000000-7500000-100000-660000</f>
        <v>390000</v>
      </c>
      <c r="E408" s="695">
        <v>127050</v>
      </c>
      <c r="F408" s="695"/>
      <c r="G408" s="1051">
        <f t="shared" si="50"/>
        <v>1.3165803108808292</v>
      </c>
      <c r="H408" s="1055">
        <f t="shared" si="51"/>
        <v>32.576923076923073</v>
      </c>
      <c r="I408" s="1056">
        <v>0</v>
      </c>
      <c r="J408" s="29">
        <v>280720</v>
      </c>
    </row>
    <row r="409" spans="1:10" x14ac:dyDescent="0.2">
      <c r="A409" s="796" t="s">
        <v>1426</v>
      </c>
      <c r="B409" s="809" t="s">
        <v>1427</v>
      </c>
      <c r="C409" s="695">
        <v>30000</v>
      </c>
      <c r="D409" s="695">
        <f>30000</f>
        <v>30000</v>
      </c>
      <c r="E409" s="695">
        <v>15000</v>
      </c>
      <c r="F409" s="695"/>
      <c r="G409" s="1051">
        <f t="shared" si="50"/>
        <v>50</v>
      </c>
      <c r="H409" s="1055">
        <f t="shared" si="51"/>
        <v>50</v>
      </c>
      <c r="I409" s="1056">
        <v>0</v>
      </c>
      <c r="J409" s="29">
        <v>510205.82</v>
      </c>
    </row>
    <row r="410" spans="1:10" x14ac:dyDescent="0.2">
      <c r="A410" s="796" t="s">
        <v>1428</v>
      </c>
      <c r="B410" s="809" t="s">
        <v>1429</v>
      </c>
      <c r="C410" s="695">
        <v>50000</v>
      </c>
      <c r="D410" s="695">
        <v>50000</v>
      </c>
      <c r="E410" s="695">
        <v>0</v>
      </c>
      <c r="F410" s="695"/>
      <c r="G410" s="1051">
        <f t="shared" si="50"/>
        <v>0</v>
      </c>
      <c r="H410" s="1055">
        <f t="shared" si="51"/>
        <v>0</v>
      </c>
      <c r="I410" s="1056">
        <f t="shared" si="52"/>
        <v>0</v>
      </c>
      <c r="J410" s="29">
        <v>54450</v>
      </c>
    </row>
    <row r="411" spans="1:10" x14ac:dyDescent="0.2">
      <c r="A411" s="730">
        <v>2221</v>
      </c>
      <c r="B411" s="797" t="s">
        <v>1258</v>
      </c>
      <c r="C411" s="798">
        <f>SUM(C412:C413)</f>
        <v>1755000</v>
      </c>
      <c r="D411" s="798">
        <f>SUM(D412:D413)</f>
        <v>1855000</v>
      </c>
      <c r="E411" s="798">
        <v>1181786.03</v>
      </c>
      <c r="F411" s="1094">
        <f>SUM(E412:E413)</f>
        <v>1181786.23</v>
      </c>
      <c r="G411" s="630">
        <f t="shared" si="50"/>
        <v>67.338235327635331</v>
      </c>
      <c r="H411" s="1052">
        <f t="shared" si="51"/>
        <v>63.708141778975744</v>
      </c>
      <c r="I411" s="631">
        <f t="shared" si="52"/>
        <v>51.335323433931698</v>
      </c>
      <c r="J411" s="29">
        <v>2302091.33</v>
      </c>
    </row>
    <row r="412" spans="1:10" x14ac:dyDescent="0.2">
      <c r="A412" s="796" t="s">
        <v>517</v>
      </c>
      <c r="B412" s="809" t="s">
        <v>518</v>
      </c>
      <c r="C412" s="695">
        <v>1400000</v>
      </c>
      <c r="D412" s="695">
        <v>1400000</v>
      </c>
      <c r="E412" s="695">
        <v>1020012.87</v>
      </c>
      <c r="F412" s="695"/>
      <c r="G412" s="1051">
        <f t="shared" si="50"/>
        <v>72.858062142857136</v>
      </c>
      <c r="H412" s="1055">
        <f t="shared" si="51"/>
        <v>72.858062142857136</v>
      </c>
      <c r="I412" s="1056">
        <v>0</v>
      </c>
      <c r="J412" s="29">
        <v>0</v>
      </c>
    </row>
    <row r="413" spans="1:10" x14ac:dyDescent="0.2">
      <c r="A413" s="796" t="s">
        <v>1432</v>
      </c>
      <c r="B413" s="809" t="s">
        <v>1433</v>
      </c>
      <c r="C413" s="695">
        <v>355000</v>
      </c>
      <c r="D413" s="695">
        <f>355000+100000</f>
        <v>455000</v>
      </c>
      <c r="E413" s="695">
        <v>161773.35999999999</v>
      </c>
      <c r="F413" s="695"/>
      <c r="G413" s="1051">
        <f t="shared" si="50"/>
        <v>45.569960563380278</v>
      </c>
      <c r="H413" s="1055">
        <f t="shared" si="51"/>
        <v>35.554584615384613</v>
      </c>
      <c r="I413" s="1056">
        <v>0</v>
      </c>
      <c r="J413" s="29">
        <v>0</v>
      </c>
    </row>
    <row r="414" spans="1:10" ht="15.75" x14ac:dyDescent="0.25">
      <c r="A414" s="621"/>
      <c r="B414" s="813" t="s">
        <v>1436</v>
      </c>
      <c r="C414" s="777">
        <f>SUM(C415,C420,C426)</f>
        <v>30785000</v>
      </c>
      <c r="D414" s="777">
        <f>SUM(D415,D420,D426)</f>
        <v>15085000</v>
      </c>
      <c r="E414" s="777">
        <v>13261037.68</v>
      </c>
      <c r="F414" s="1082">
        <f>SUM(E415,E420,E426)</f>
        <v>13261037.68</v>
      </c>
      <c r="G414" s="623">
        <f t="shared" si="50"/>
        <v>43.076295858372582</v>
      </c>
      <c r="H414" s="623">
        <f t="shared" si="51"/>
        <v>87.908768180311569</v>
      </c>
      <c r="I414" s="741">
        <v>0</v>
      </c>
      <c r="J414" s="29">
        <v>4908976.2300000004</v>
      </c>
    </row>
    <row r="415" spans="1:10" x14ac:dyDescent="0.2">
      <c r="A415" s="1097">
        <v>3111</v>
      </c>
      <c r="B415" s="815" t="s">
        <v>2117</v>
      </c>
      <c r="C415" s="768">
        <f>SUM(C416:C419)</f>
        <v>10435000</v>
      </c>
      <c r="D415" s="768">
        <f>SUM(D416:D419)</f>
        <v>10435000</v>
      </c>
      <c r="E415" s="768">
        <v>9707910.9700000007</v>
      </c>
      <c r="F415" s="1098">
        <f>SUM(E416:E419)</f>
        <v>9707910.9699999988</v>
      </c>
      <c r="G415" s="630">
        <f t="shared" si="50"/>
        <v>93.032208624820328</v>
      </c>
      <c r="H415" s="1052">
        <f t="shared" si="51"/>
        <v>93.032208624820328</v>
      </c>
      <c r="I415" s="631">
        <v>0</v>
      </c>
      <c r="J415" s="29">
        <v>4908976.2300000004</v>
      </c>
    </row>
    <row r="416" spans="1:10" x14ac:dyDescent="0.2">
      <c r="A416" s="796" t="s">
        <v>1442</v>
      </c>
      <c r="B416" s="731" t="s">
        <v>1443</v>
      </c>
      <c r="C416" s="695">
        <v>5000000</v>
      </c>
      <c r="D416" s="695">
        <f>5000000-520000</f>
        <v>4480000</v>
      </c>
      <c r="E416" s="695">
        <v>4069878.28</v>
      </c>
      <c r="F416" s="695"/>
      <c r="G416" s="1051">
        <f t="shared" si="50"/>
        <v>81.397565599999993</v>
      </c>
      <c r="H416" s="1055">
        <f t="shared" si="51"/>
        <v>90.845497321428567</v>
      </c>
      <c r="I416" s="1056">
        <v>0</v>
      </c>
      <c r="J416" s="29">
        <v>0</v>
      </c>
    </row>
    <row r="417" spans="1:10" x14ac:dyDescent="0.2">
      <c r="A417" s="796" t="s">
        <v>1444</v>
      </c>
      <c r="B417" s="809" t="s">
        <v>1445</v>
      </c>
      <c r="C417" s="695">
        <v>800000</v>
      </c>
      <c r="D417" s="695">
        <v>800000</v>
      </c>
      <c r="E417" s="695">
        <v>496100</v>
      </c>
      <c r="F417" s="695"/>
      <c r="G417" s="1051">
        <f t="shared" si="50"/>
        <v>62.012500000000003</v>
      </c>
      <c r="H417" s="1055">
        <f t="shared" si="51"/>
        <v>62.012500000000003</v>
      </c>
      <c r="I417" s="1056">
        <v>0</v>
      </c>
      <c r="J417" s="29">
        <v>0</v>
      </c>
    </row>
    <row r="418" spans="1:10" x14ac:dyDescent="0.2">
      <c r="A418" s="796" t="s">
        <v>1951</v>
      </c>
      <c r="B418" s="731" t="s">
        <v>1952</v>
      </c>
      <c r="C418" s="695">
        <v>0</v>
      </c>
      <c r="D418" s="695">
        <f>4635000+520000</f>
        <v>5155000</v>
      </c>
      <c r="E418" s="695">
        <v>5141932.6900000004</v>
      </c>
      <c r="F418" s="695"/>
      <c r="G418" s="1051">
        <v>0</v>
      </c>
      <c r="H418" s="1055">
        <f t="shared" si="51"/>
        <v>99.7465119301649</v>
      </c>
      <c r="I418" s="1056">
        <v>0</v>
      </c>
      <c r="J418" s="29">
        <v>0</v>
      </c>
    </row>
    <row r="419" spans="1:10" x14ac:dyDescent="0.2">
      <c r="A419" s="796" t="s">
        <v>1440</v>
      </c>
      <c r="B419" s="731" t="s">
        <v>1441</v>
      </c>
      <c r="C419" s="695">
        <v>4635000</v>
      </c>
      <c r="D419" s="695">
        <f>4635000-4635000</f>
        <v>0</v>
      </c>
      <c r="E419" s="695">
        <v>0</v>
      </c>
      <c r="F419" s="728"/>
      <c r="G419" s="1051">
        <f t="shared" si="50"/>
        <v>0</v>
      </c>
      <c r="H419" s="1055">
        <v>0</v>
      </c>
      <c r="I419" s="1056">
        <v>0</v>
      </c>
      <c r="J419" s="29">
        <v>0</v>
      </c>
    </row>
    <row r="420" spans="1:10" x14ac:dyDescent="0.2">
      <c r="A420" s="838">
        <v>3113</v>
      </c>
      <c r="B420" s="797" t="s">
        <v>2118</v>
      </c>
      <c r="C420" s="798">
        <f>SUM(C421:C425)</f>
        <v>20350000</v>
      </c>
      <c r="D420" s="798">
        <f>SUM(D421:D425)</f>
        <v>4550000</v>
      </c>
      <c r="E420" s="798">
        <v>3553126.71</v>
      </c>
      <c r="F420" s="1094">
        <f>SUM(E421:E425)</f>
        <v>3553126.71</v>
      </c>
      <c r="G420" s="630">
        <f t="shared" si="50"/>
        <v>17.460082113022114</v>
      </c>
      <c r="H420" s="1052">
        <f t="shared" si="51"/>
        <v>78.090696923076919</v>
      </c>
      <c r="I420" s="631">
        <v>0</v>
      </c>
      <c r="J420" s="29">
        <v>0</v>
      </c>
    </row>
    <row r="421" spans="1:10" x14ac:dyDescent="0.2">
      <c r="A421" s="796" t="s">
        <v>1953</v>
      </c>
      <c r="B421" s="731" t="s">
        <v>1447</v>
      </c>
      <c r="C421" s="695">
        <v>500000</v>
      </c>
      <c r="D421" s="695">
        <v>500000</v>
      </c>
      <c r="E421" s="695">
        <v>0</v>
      </c>
      <c r="F421" s="695"/>
      <c r="G421" s="1051">
        <f t="shared" si="50"/>
        <v>0</v>
      </c>
      <c r="H421" s="1055">
        <f t="shared" si="51"/>
        <v>0</v>
      </c>
      <c r="I421" s="1056">
        <v>0</v>
      </c>
      <c r="J421" s="29">
        <v>0</v>
      </c>
    </row>
    <row r="422" spans="1:10" x14ac:dyDescent="0.2">
      <c r="A422" s="796" t="s">
        <v>1954</v>
      </c>
      <c r="B422" s="731" t="s">
        <v>1449</v>
      </c>
      <c r="C422" s="695">
        <v>2150000</v>
      </c>
      <c r="D422" s="695">
        <f>2150000+(150000+80000)+200000</f>
        <v>2580000</v>
      </c>
      <c r="E422" s="695">
        <v>2551609.71</v>
      </c>
      <c r="F422" s="695"/>
      <c r="G422" s="1051">
        <f t="shared" si="50"/>
        <v>118.67952139534883</v>
      </c>
      <c r="H422" s="1055">
        <f t="shared" si="51"/>
        <v>98.899601162790702</v>
      </c>
      <c r="I422" s="1056">
        <v>0</v>
      </c>
      <c r="J422" s="29">
        <v>0</v>
      </c>
    </row>
    <row r="423" spans="1:10" x14ac:dyDescent="0.2">
      <c r="A423" s="796" t="s">
        <v>1955</v>
      </c>
      <c r="B423" s="731" t="s">
        <v>1451</v>
      </c>
      <c r="C423" s="695">
        <v>1500000</v>
      </c>
      <c r="D423" s="695">
        <f>1500000-200000-100000</f>
        <v>1200000</v>
      </c>
      <c r="E423" s="695">
        <v>1001517</v>
      </c>
      <c r="F423" s="695"/>
      <c r="G423" s="1051">
        <f t="shared" si="50"/>
        <v>66.767799999999994</v>
      </c>
      <c r="H423" s="1055">
        <f t="shared" si="51"/>
        <v>83.45975</v>
      </c>
      <c r="I423" s="1056">
        <v>0</v>
      </c>
      <c r="J423" s="29">
        <v>0</v>
      </c>
    </row>
    <row r="424" spans="1:10" x14ac:dyDescent="0.2">
      <c r="A424" s="796" t="s">
        <v>1956</v>
      </c>
      <c r="B424" s="731" t="s">
        <v>1453</v>
      </c>
      <c r="C424" s="695">
        <v>1700000</v>
      </c>
      <c r="D424" s="695">
        <f>1700000-1700000</f>
        <v>0</v>
      </c>
      <c r="E424" s="695">
        <v>0</v>
      </c>
      <c r="F424" s="695"/>
      <c r="G424" s="1051">
        <f t="shared" si="50"/>
        <v>0</v>
      </c>
      <c r="H424" s="1055">
        <v>0</v>
      </c>
      <c r="I424" s="1056">
        <v>0</v>
      </c>
      <c r="J424" s="29">
        <v>0</v>
      </c>
    </row>
    <row r="425" spans="1:10" x14ac:dyDescent="0.2">
      <c r="A425" s="796" t="s">
        <v>1957</v>
      </c>
      <c r="B425" s="731" t="s">
        <v>1455</v>
      </c>
      <c r="C425" s="695">
        <v>14500000</v>
      </c>
      <c r="D425" s="695">
        <f>14500000-14000000-230000</f>
        <v>270000</v>
      </c>
      <c r="E425" s="695">
        <v>0</v>
      </c>
      <c r="F425" s="695"/>
      <c r="G425" s="1051">
        <f t="shared" si="50"/>
        <v>0</v>
      </c>
      <c r="H425" s="1055">
        <f t="shared" si="51"/>
        <v>0</v>
      </c>
      <c r="I425" s="1056">
        <v>0</v>
      </c>
      <c r="J425" s="29">
        <v>0</v>
      </c>
    </row>
    <row r="426" spans="1:10" x14ac:dyDescent="0.2">
      <c r="A426" s="838">
        <v>3412</v>
      </c>
      <c r="B426" s="797" t="s">
        <v>1931</v>
      </c>
      <c r="C426" s="798">
        <f>SUM(C427:C428)</f>
        <v>0</v>
      </c>
      <c r="D426" s="798">
        <f>SUM(D427:D428)</f>
        <v>100000</v>
      </c>
      <c r="E426" s="798">
        <v>0</v>
      </c>
      <c r="F426" s="1093">
        <f>SUM(E427:E428)</f>
        <v>0</v>
      </c>
      <c r="G426" s="630">
        <v>0</v>
      </c>
      <c r="H426" s="1052">
        <f t="shared" si="51"/>
        <v>0</v>
      </c>
      <c r="I426" s="631">
        <v>0</v>
      </c>
      <c r="J426" s="29">
        <v>0</v>
      </c>
    </row>
    <row r="427" spans="1:10" x14ac:dyDescent="0.2">
      <c r="A427" s="796" t="s">
        <v>2119</v>
      </c>
      <c r="B427" s="731" t="s">
        <v>2120</v>
      </c>
      <c r="C427" s="695">
        <v>0</v>
      </c>
      <c r="D427" s="695">
        <v>50000</v>
      </c>
      <c r="E427" s="695">
        <v>0</v>
      </c>
      <c r="F427" s="695"/>
      <c r="G427" s="1051">
        <v>0</v>
      </c>
      <c r="H427" s="1055">
        <f t="shared" si="51"/>
        <v>0</v>
      </c>
      <c r="I427" s="1056">
        <v>0</v>
      </c>
      <c r="J427" s="29">
        <v>0</v>
      </c>
    </row>
    <row r="428" spans="1:10" x14ac:dyDescent="0.2">
      <c r="A428" s="796" t="s">
        <v>2121</v>
      </c>
      <c r="B428" s="731" t="s">
        <v>2122</v>
      </c>
      <c r="C428" s="695">
        <v>0</v>
      </c>
      <c r="D428" s="695">
        <v>50000</v>
      </c>
      <c r="E428" s="695">
        <v>0</v>
      </c>
      <c r="F428" s="695"/>
      <c r="G428" s="1051">
        <v>0</v>
      </c>
      <c r="H428" s="1055">
        <f t="shared" si="51"/>
        <v>0</v>
      </c>
      <c r="I428" s="1056">
        <v>0</v>
      </c>
      <c r="J428" s="29">
        <v>0</v>
      </c>
    </row>
    <row r="429" spans="1:10" ht="15.75" x14ac:dyDescent="0.25">
      <c r="A429" s="819"/>
      <c r="B429" s="813" t="s">
        <v>523</v>
      </c>
      <c r="C429" s="792">
        <f>SUM(C430+C432)</f>
        <v>8007000</v>
      </c>
      <c r="D429" s="792">
        <f>SUM(D430+D432)</f>
        <v>5353693</v>
      </c>
      <c r="E429" s="792">
        <v>4354094.9800000004</v>
      </c>
      <c r="F429" s="1092">
        <f>SUM(E430,E432)</f>
        <v>4354094.96</v>
      </c>
      <c r="G429" s="623">
        <f t="shared" si="50"/>
        <v>54.378605969776451</v>
      </c>
      <c r="H429" s="623">
        <f t="shared" si="51"/>
        <v>81.328813213607887</v>
      </c>
      <c r="I429" s="741">
        <f t="shared" si="52"/>
        <v>330.93033142747771</v>
      </c>
      <c r="J429" s="29">
        <v>1315713.48</v>
      </c>
    </row>
    <row r="430" spans="1:10" x14ac:dyDescent="0.2">
      <c r="A430" s="814">
        <v>3613</v>
      </c>
      <c r="B430" s="815" t="s">
        <v>1456</v>
      </c>
      <c r="C430" s="795">
        <f t="shared" ref="C430:D430" si="53">C431</f>
        <v>1850000</v>
      </c>
      <c r="D430" s="795">
        <f t="shared" si="53"/>
        <v>850000</v>
      </c>
      <c r="E430" s="795">
        <v>573410</v>
      </c>
      <c r="F430" s="1093">
        <f>SUM(E431)</f>
        <v>573410</v>
      </c>
      <c r="G430" s="630">
        <f t="shared" si="50"/>
        <v>30.995135135135136</v>
      </c>
      <c r="H430" s="1052">
        <f t="shared" si="51"/>
        <v>67.459999999999994</v>
      </c>
      <c r="I430" s="631">
        <v>0</v>
      </c>
      <c r="J430" s="29">
        <v>99290</v>
      </c>
    </row>
    <row r="431" spans="1:10" ht="25.5" x14ac:dyDescent="0.2">
      <c r="A431" s="796" t="s">
        <v>2123</v>
      </c>
      <c r="B431" s="820" t="s">
        <v>1457</v>
      </c>
      <c r="C431" s="695">
        <v>1850000</v>
      </c>
      <c r="D431" s="695">
        <f>1850000-1000000</f>
        <v>850000</v>
      </c>
      <c r="E431" s="695">
        <v>573410</v>
      </c>
      <c r="F431" s="695"/>
      <c r="G431" s="1051">
        <f t="shared" si="50"/>
        <v>30.995135135135136</v>
      </c>
      <c r="H431" s="1055">
        <f t="shared" si="51"/>
        <v>67.459999999999994</v>
      </c>
      <c r="I431" s="670">
        <v>0</v>
      </c>
      <c r="J431" s="1037">
        <v>99290</v>
      </c>
    </row>
    <row r="432" spans="1:10" x14ac:dyDescent="0.2">
      <c r="A432" s="730">
        <v>3639</v>
      </c>
      <c r="B432" s="797" t="s">
        <v>1458</v>
      </c>
      <c r="C432" s="798">
        <f t="shared" ref="C432:D432" si="54">SUM(C433:C437)</f>
        <v>6157000</v>
      </c>
      <c r="D432" s="798">
        <f t="shared" si="54"/>
        <v>4503693</v>
      </c>
      <c r="E432" s="798">
        <v>3780684.96</v>
      </c>
      <c r="F432" s="1094">
        <f>SUM(E433:E437)</f>
        <v>3780684.98</v>
      </c>
      <c r="G432" s="630">
        <f t="shared" si="50"/>
        <v>61.404660711385418</v>
      </c>
      <c r="H432" s="1052">
        <f t="shared" si="51"/>
        <v>83.946329379022941</v>
      </c>
      <c r="I432" s="631">
        <f t="shared" si="52"/>
        <v>310.80335279289415</v>
      </c>
      <c r="J432" s="29">
        <v>1216423.48</v>
      </c>
    </row>
    <row r="433" spans="1:10" x14ac:dyDescent="0.2">
      <c r="A433" s="796" t="s">
        <v>1958</v>
      </c>
      <c r="B433" s="809" t="s">
        <v>1959</v>
      </c>
      <c r="C433" s="695">
        <f>280000+1650000</f>
        <v>1930000</v>
      </c>
      <c r="D433" s="695">
        <f>280000+1650000</f>
        <v>1930000</v>
      </c>
      <c r="E433" s="695">
        <v>1850000</v>
      </c>
      <c r="F433" s="695"/>
      <c r="G433" s="1051">
        <f t="shared" si="50"/>
        <v>95.854922279792746</v>
      </c>
      <c r="H433" s="1055">
        <f t="shared" si="51"/>
        <v>95.854922279792746</v>
      </c>
      <c r="I433" s="1056">
        <v>0</v>
      </c>
      <c r="J433" s="29">
        <v>0</v>
      </c>
    </row>
    <row r="434" spans="1:10" x14ac:dyDescent="0.2">
      <c r="A434" s="796" t="s">
        <v>530</v>
      </c>
      <c r="B434" s="809" t="s">
        <v>1460</v>
      </c>
      <c r="C434" s="695">
        <v>270000</v>
      </c>
      <c r="D434" s="695">
        <v>270000</v>
      </c>
      <c r="E434" s="695">
        <v>26650.75</v>
      </c>
      <c r="F434" s="695"/>
      <c r="G434" s="1051">
        <f t="shared" ref="G434:G497" si="55">E434/C434*100</f>
        <v>9.8706481481481472</v>
      </c>
      <c r="H434" s="1055">
        <f t="shared" si="51"/>
        <v>9.8706481481481472</v>
      </c>
      <c r="I434" s="1056">
        <v>0</v>
      </c>
      <c r="J434" s="29">
        <v>3389.5</v>
      </c>
    </row>
    <row r="435" spans="1:10" x14ac:dyDescent="0.2">
      <c r="A435" s="796" t="s">
        <v>534</v>
      </c>
      <c r="B435" s="809" t="s">
        <v>1461</v>
      </c>
      <c r="C435" s="695">
        <v>470000</v>
      </c>
      <c r="D435" s="695">
        <f>470000+16000</f>
        <v>486000</v>
      </c>
      <c r="E435" s="695">
        <v>485512.7</v>
      </c>
      <c r="F435" s="695"/>
      <c r="G435" s="1051">
        <f t="shared" si="55"/>
        <v>103.30057446808512</v>
      </c>
      <c r="H435" s="1055">
        <f t="shared" si="51"/>
        <v>99.899732510288061</v>
      </c>
      <c r="I435" s="1056">
        <v>0</v>
      </c>
      <c r="J435" s="29">
        <v>412005</v>
      </c>
    </row>
    <row r="436" spans="1:10" ht="25.5" x14ac:dyDescent="0.2">
      <c r="A436" s="796" t="s">
        <v>1960</v>
      </c>
      <c r="B436" s="820" t="s">
        <v>1961</v>
      </c>
      <c r="C436" s="695">
        <f>3462000</f>
        <v>3462000</v>
      </c>
      <c r="D436" s="695">
        <f>3462000-153307-100000-400000-1000000-16000</f>
        <v>1792693</v>
      </c>
      <c r="E436" s="695">
        <v>1405427.48</v>
      </c>
      <c r="F436" s="695"/>
      <c r="G436" s="1051">
        <f t="shared" si="55"/>
        <v>40.595825534373191</v>
      </c>
      <c r="H436" s="1055">
        <f t="shared" si="51"/>
        <v>78.397554963398647</v>
      </c>
      <c r="I436" s="670">
        <v>0</v>
      </c>
      <c r="J436" s="1037">
        <v>783585.48</v>
      </c>
    </row>
    <row r="437" spans="1:10" ht="12.75" customHeight="1" x14ac:dyDescent="0.2">
      <c r="A437" s="810" t="s">
        <v>538</v>
      </c>
      <c r="B437" s="821" t="s">
        <v>539</v>
      </c>
      <c r="C437" s="728">
        <v>25000</v>
      </c>
      <c r="D437" s="728">
        <v>25000</v>
      </c>
      <c r="E437" s="728">
        <v>13094.05</v>
      </c>
      <c r="F437" s="728"/>
      <c r="G437" s="1051">
        <f t="shared" si="55"/>
        <v>52.376199999999997</v>
      </c>
      <c r="H437" s="1055">
        <f t="shared" si="51"/>
        <v>52.376199999999997</v>
      </c>
      <c r="I437" s="1056">
        <v>0</v>
      </c>
      <c r="J437" s="29">
        <v>17443.5</v>
      </c>
    </row>
    <row r="438" spans="1:10" ht="15.75" x14ac:dyDescent="0.25">
      <c r="A438" s="822"/>
      <c r="B438" s="823" t="s">
        <v>1463</v>
      </c>
      <c r="C438" s="792">
        <f>SUM(C439,C441)</f>
        <v>10003000</v>
      </c>
      <c r="D438" s="792">
        <f>SUM(D439,D441)</f>
        <v>1103000</v>
      </c>
      <c r="E438" s="792">
        <v>279060.88</v>
      </c>
      <c r="F438" s="825">
        <f>SUM(E439,E441)</f>
        <v>279060.88</v>
      </c>
      <c r="G438" s="623">
        <f t="shared" si="55"/>
        <v>2.7897718684394683</v>
      </c>
      <c r="H438" s="623">
        <f t="shared" si="51"/>
        <v>25.300170444242976</v>
      </c>
      <c r="I438" s="741">
        <v>0</v>
      </c>
      <c r="J438" s="29">
        <v>2160525.15</v>
      </c>
    </row>
    <row r="439" spans="1:10" x14ac:dyDescent="0.2">
      <c r="A439" s="805">
        <v>3311</v>
      </c>
      <c r="B439" s="806" t="s">
        <v>1464</v>
      </c>
      <c r="C439" s="807">
        <f t="shared" ref="C439:D439" si="56">SUM(C440:C440)</f>
        <v>7023000</v>
      </c>
      <c r="D439" s="807">
        <f t="shared" si="56"/>
        <v>123000</v>
      </c>
      <c r="E439" s="807">
        <v>3025</v>
      </c>
      <c r="F439" s="1095">
        <f>SUM(E440)</f>
        <v>3025</v>
      </c>
      <c r="G439" s="630">
        <f t="shared" si="55"/>
        <v>4.3072760928378181E-2</v>
      </c>
      <c r="H439" s="1052">
        <f t="shared" si="51"/>
        <v>2.4593495934959351</v>
      </c>
      <c r="I439" s="631">
        <v>0</v>
      </c>
      <c r="J439" s="29">
        <v>0</v>
      </c>
    </row>
    <row r="440" spans="1:10" x14ac:dyDescent="0.2">
      <c r="A440" s="796" t="s">
        <v>1962</v>
      </c>
      <c r="B440" s="731" t="s">
        <v>1466</v>
      </c>
      <c r="C440" s="695">
        <v>7023000</v>
      </c>
      <c r="D440" s="695">
        <f>7023000-6900000</f>
        <v>123000</v>
      </c>
      <c r="E440" s="695">
        <v>3025</v>
      </c>
      <c r="F440" s="695"/>
      <c r="G440" s="1051">
        <f t="shared" si="55"/>
        <v>4.3072760928378181E-2</v>
      </c>
      <c r="H440" s="1055">
        <f t="shared" si="51"/>
        <v>2.4593495934959351</v>
      </c>
      <c r="I440" s="1056">
        <v>0</v>
      </c>
      <c r="J440" s="29">
        <v>0</v>
      </c>
    </row>
    <row r="441" spans="1:10" x14ac:dyDescent="0.2">
      <c r="A441" s="730">
        <v>3392</v>
      </c>
      <c r="B441" s="797" t="s">
        <v>1467</v>
      </c>
      <c r="C441" s="798">
        <f>SUM(C442:C444)</f>
        <v>2980000</v>
      </c>
      <c r="D441" s="798">
        <f>SUM(D442:D444)</f>
        <v>980000</v>
      </c>
      <c r="E441" s="798">
        <v>276035.88</v>
      </c>
      <c r="F441" s="1094">
        <f>SUM(E442:E444)</f>
        <v>276035.88</v>
      </c>
      <c r="G441" s="630">
        <f t="shared" si="55"/>
        <v>9.2629489932885907</v>
      </c>
      <c r="H441" s="1052">
        <f t="shared" si="51"/>
        <v>28.166926530612248</v>
      </c>
      <c r="I441" s="631">
        <v>0</v>
      </c>
      <c r="J441" s="29">
        <v>2160525.15</v>
      </c>
    </row>
    <row r="442" spans="1:10" x14ac:dyDescent="0.2">
      <c r="A442" s="796" t="s">
        <v>1468</v>
      </c>
      <c r="B442" s="731" t="s">
        <v>1469</v>
      </c>
      <c r="C442" s="695">
        <v>2500000</v>
      </c>
      <c r="D442" s="695">
        <f>2500000-2000000</f>
        <v>500000</v>
      </c>
      <c r="E442" s="695">
        <v>0</v>
      </c>
      <c r="F442" s="695"/>
      <c r="G442" s="1051">
        <f t="shared" si="55"/>
        <v>0</v>
      </c>
      <c r="H442" s="1055">
        <f t="shared" si="51"/>
        <v>0</v>
      </c>
      <c r="I442" s="1056">
        <v>0</v>
      </c>
      <c r="J442" s="29">
        <v>87604</v>
      </c>
    </row>
    <row r="443" spans="1:10" x14ac:dyDescent="0.2">
      <c r="A443" s="799" t="s">
        <v>1472</v>
      </c>
      <c r="B443" s="800" t="s">
        <v>1473</v>
      </c>
      <c r="C443" s="728">
        <v>300000</v>
      </c>
      <c r="D443" s="728">
        <v>300000</v>
      </c>
      <c r="E443" s="728">
        <v>276035.88</v>
      </c>
      <c r="F443" s="728"/>
      <c r="G443" s="1051">
        <f t="shared" si="55"/>
        <v>92.011960000000002</v>
      </c>
      <c r="H443" s="1055">
        <f t="shared" si="51"/>
        <v>92.011960000000002</v>
      </c>
      <c r="I443" s="1056">
        <v>0</v>
      </c>
      <c r="J443" s="29">
        <v>2072921.15</v>
      </c>
    </row>
    <row r="444" spans="1:10" x14ac:dyDescent="0.2">
      <c r="A444" s="796" t="s">
        <v>1470</v>
      </c>
      <c r="B444" s="731" t="s">
        <v>1963</v>
      </c>
      <c r="C444" s="695">
        <v>180000</v>
      </c>
      <c r="D444" s="695">
        <v>180000</v>
      </c>
      <c r="E444" s="695">
        <v>0</v>
      </c>
      <c r="F444" s="695"/>
      <c r="G444" s="1051">
        <f t="shared" si="55"/>
        <v>0</v>
      </c>
      <c r="H444" s="1055">
        <f t="shared" si="51"/>
        <v>0</v>
      </c>
      <c r="I444" s="1056">
        <v>0</v>
      </c>
      <c r="J444" s="29">
        <v>0</v>
      </c>
    </row>
    <row r="445" spans="1:10" ht="15.75" x14ac:dyDescent="0.25">
      <c r="A445" s="822"/>
      <c r="B445" s="823" t="s">
        <v>1474</v>
      </c>
      <c r="C445" s="792">
        <f>SUM(C446)</f>
        <v>8566000</v>
      </c>
      <c r="D445" s="792">
        <f>SUM(D446)</f>
        <v>8566000</v>
      </c>
      <c r="E445" s="792">
        <v>7005309.6100000003</v>
      </c>
      <c r="F445" s="1099"/>
      <c r="G445" s="623">
        <f t="shared" si="55"/>
        <v>81.7804063740369</v>
      </c>
      <c r="H445" s="623">
        <f t="shared" si="51"/>
        <v>81.7804063740369</v>
      </c>
      <c r="I445" s="741">
        <v>0</v>
      </c>
      <c r="J445" s="29">
        <v>0</v>
      </c>
    </row>
    <row r="446" spans="1:10" x14ac:dyDescent="0.2">
      <c r="A446" s="805">
        <v>6171</v>
      </c>
      <c r="B446" s="806" t="s">
        <v>1475</v>
      </c>
      <c r="C446" s="807">
        <f>SUM(C447:C451)</f>
        <v>8566000</v>
      </c>
      <c r="D446" s="807">
        <f>SUM(D447:D451)</f>
        <v>8566000</v>
      </c>
      <c r="E446" s="807">
        <v>7005309.6100000003</v>
      </c>
      <c r="F446" s="1095">
        <f>SUM(E447:E451)</f>
        <v>7005309.6100000003</v>
      </c>
      <c r="G446" s="630">
        <f t="shared" si="55"/>
        <v>81.7804063740369</v>
      </c>
      <c r="H446" s="1052">
        <f t="shared" si="51"/>
        <v>81.7804063740369</v>
      </c>
      <c r="I446" s="631">
        <v>0</v>
      </c>
      <c r="J446" s="29">
        <v>0</v>
      </c>
    </row>
    <row r="447" spans="1:10" x14ac:dyDescent="0.2">
      <c r="A447" s="796" t="s">
        <v>2124</v>
      </c>
      <c r="B447" s="731" t="s">
        <v>1477</v>
      </c>
      <c r="C447" s="695">
        <v>2000000</v>
      </c>
      <c r="D447" s="695">
        <f>2000000+500000</f>
        <v>2500000</v>
      </c>
      <c r="E447" s="695">
        <v>2308700</v>
      </c>
      <c r="F447" s="695"/>
      <c r="G447" s="1051">
        <f t="shared" si="55"/>
        <v>115.435</v>
      </c>
      <c r="H447" s="1055">
        <f t="shared" si="51"/>
        <v>92.347999999999999</v>
      </c>
      <c r="I447" s="1056">
        <v>0</v>
      </c>
      <c r="J447" s="29">
        <v>0</v>
      </c>
    </row>
    <row r="448" spans="1:10" x14ac:dyDescent="0.2">
      <c r="A448" s="796" t="s">
        <v>2125</v>
      </c>
      <c r="B448" s="731" t="s">
        <v>1479</v>
      </c>
      <c r="C448" s="695">
        <v>2420000</v>
      </c>
      <c r="D448" s="695">
        <f>2420000-150000</f>
        <v>2270000</v>
      </c>
      <c r="E448" s="695">
        <v>1806562.03</v>
      </c>
      <c r="F448" s="695"/>
      <c r="G448" s="1051">
        <f t="shared" si="55"/>
        <v>74.65132355371901</v>
      </c>
      <c r="H448" s="1055">
        <f t="shared" si="51"/>
        <v>79.584230396475775</v>
      </c>
      <c r="I448" s="1056">
        <v>0</v>
      </c>
      <c r="J448" s="29">
        <v>0</v>
      </c>
    </row>
    <row r="449" spans="1:36" x14ac:dyDescent="0.2">
      <c r="A449" s="796" t="s">
        <v>1480</v>
      </c>
      <c r="B449" s="731" t="s">
        <v>1481</v>
      </c>
      <c r="C449" s="695">
        <v>3146000</v>
      </c>
      <c r="D449" s="695">
        <f>3146000-500000+150000</f>
        <v>2796000</v>
      </c>
      <c r="E449" s="695">
        <v>2781147.58</v>
      </c>
      <c r="F449" s="695"/>
      <c r="G449" s="1051">
        <f t="shared" si="55"/>
        <v>88.402656706929434</v>
      </c>
      <c r="H449" s="1055">
        <f t="shared" ref="H449:H512" si="57">E449/D449*100</f>
        <v>99.468797567954226</v>
      </c>
      <c r="I449" s="1056">
        <v>0</v>
      </c>
      <c r="J449" s="29">
        <v>0</v>
      </c>
    </row>
    <row r="450" spans="1:36" x14ac:dyDescent="0.2">
      <c r="A450" s="796" t="s">
        <v>1482</v>
      </c>
      <c r="B450" s="731" t="s">
        <v>1483</v>
      </c>
      <c r="C450" s="695">
        <v>500000</v>
      </c>
      <c r="D450" s="695">
        <v>500000</v>
      </c>
      <c r="E450" s="695">
        <v>48400</v>
      </c>
      <c r="F450" s="695"/>
      <c r="G450" s="1051">
        <f t="shared" si="55"/>
        <v>9.68</v>
      </c>
      <c r="H450" s="1055">
        <f t="shared" si="57"/>
        <v>9.68</v>
      </c>
      <c r="I450" s="1056">
        <v>0</v>
      </c>
      <c r="J450" s="29">
        <v>0</v>
      </c>
    </row>
    <row r="451" spans="1:36" x14ac:dyDescent="0.2">
      <c r="A451" s="826" t="s">
        <v>1484</v>
      </c>
      <c r="B451" s="827" t="s">
        <v>1485</v>
      </c>
      <c r="C451" s="828">
        <v>500000</v>
      </c>
      <c r="D451" s="828">
        <v>500000</v>
      </c>
      <c r="E451" s="828">
        <v>60500</v>
      </c>
      <c r="F451" s="828"/>
      <c r="G451" s="1051">
        <f t="shared" si="55"/>
        <v>12.1</v>
      </c>
      <c r="H451" s="1055">
        <f t="shared" si="57"/>
        <v>12.1</v>
      </c>
      <c r="I451" s="1056">
        <v>0</v>
      </c>
      <c r="J451" s="29">
        <v>0</v>
      </c>
    </row>
    <row r="452" spans="1:36" s="829" customFormat="1" ht="15.75" x14ac:dyDescent="0.25">
      <c r="A452" s="822"/>
      <c r="B452" s="830" t="s">
        <v>1486</v>
      </c>
      <c r="C452" s="792">
        <f>SUM(C453,C455)</f>
        <v>2150000</v>
      </c>
      <c r="D452" s="792">
        <f>SUM(D453,D455)</f>
        <v>2550000</v>
      </c>
      <c r="E452" s="792">
        <v>1982941.11</v>
      </c>
      <c r="F452" s="825">
        <f>SUM(E453,E455)</f>
        <v>1982941.11</v>
      </c>
      <c r="G452" s="623">
        <f t="shared" si="55"/>
        <v>92.229819069767444</v>
      </c>
      <c r="H452" s="623">
        <f t="shared" si="57"/>
        <v>77.762396470588229</v>
      </c>
      <c r="I452" s="741">
        <v>0</v>
      </c>
      <c r="J452" s="29">
        <v>58080</v>
      </c>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row>
    <row r="453" spans="1:36" s="831" customFormat="1" x14ac:dyDescent="0.2">
      <c r="A453" s="805">
        <v>3722</v>
      </c>
      <c r="B453" s="805" t="s">
        <v>2126</v>
      </c>
      <c r="C453" s="807">
        <f>SUM(C454)</f>
        <v>0</v>
      </c>
      <c r="D453" s="807">
        <f>SUM(D454)</f>
        <v>400000</v>
      </c>
      <c r="E453" s="807">
        <v>9680</v>
      </c>
      <c r="F453" s="1095"/>
      <c r="G453" s="630">
        <v>0</v>
      </c>
      <c r="H453" s="1052">
        <f t="shared" si="57"/>
        <v>2.42</v>
      </c>
      <c r="I453" s="631">
        <v>0</v>
      </c>
      <c r="J453" s="29">
        <v>0</v>
      </c>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row>
    <row r="454" spans="1:36" s="829" customFormat="1" x14ac:dyDescent="0.2">
      <c r="A454" s="796" t="s">
        <v>2127</v>
      </c>
      <c r="B454" s="832" t="s">
        <v>2128</v>
      </c>
      <c r="C454" s="695">
        <v>0</v>
      </c>
      <c r="D454" s="695">
        <v>400000</v>
      </c>
      <c r="E454" s="695">
        <v>9680</v>
      </c>
      <c r="F454" s="695"/>
      <c r="G454" s="1051">
        <v>0</v>
      </c>
      <c r="H454" s="1055">
        <f t="shared" si="57"/>
        <v>2.42</v>
      </c>
      <c r="I454" s="1056">
        <v>0</v>
      </c>
      <c r="J454" s="29">
        <v>0</v>
      </c>
      <c r="K454" s="1"/>
      <c r="L454" s="1"/>
      <c r="M454" s="1"/>
      <c r="N454" s="1"/>
      <c r="O454" s="1"/>
      <c r="P454" s="1"/>
      <c r="Q454" s="1"/>
      <c r="R454" s="1"/>
      <c r="S454" s="1"/>
      <c r="T454" s="1"/>
      <c r="U454" s="1"/>
      <c r="V454" s="1"/>
      <c r="W454" s="1"/>
      <c r="X454" s="1"/>
      <c r="Y454" s="1"/>
      <c r="Z454" s="1"/>
      <c r="AA454" s="1"/>
    </row>
    <row r="455" spans="1:36" s="831" customFormat="1" x14ac:dyDescent="0.2">
      <c r="A455" s="730">
        <v>3745</v>
      </c>
      <c r="B455" s="730" t="s">
        <v>1487</v>
      </c>
      <c r="C455" s="798">
        <f>SUM(C456:C457)</f>
        <v>2150000</v>
      </c>
      <c r="D455" s="798">
        <f>SUM(D456:D457)</f>
        <v>2150000</v>
      </c>
      <c r="E455" s="798">
        <v>1973261.11</v>
      </c>
      <c r="F455" s="1095">
        <f>SUM(E456:E457)</f>
        <v>1973261.11</v>
      </c>
      <c r="G455" s="630">
        <f t="shared" si="55"/>
        <v>91.779586511627912</v>
      </c>
      <c r="H455" s="1052">
        <f t="shared" si="57"/>
        <v>91.779586511627912</v>
      </c>
      <c r="I455" s="631">
        <v>0</v>
      </c>
      <c r="J455" s="29">
        <v>0</v>
      </c>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row>
    <row r="456" spans="1:36" s="829" customFormat="1" x14ac:dyDescent="0.2">
      <c r="A456" s="796" t="s">
        <v>1488</v>
      </c>
      <c r="B456" s="832" t="s">
        <v>1489</v>
      </c>
      <c r="C456" s="695">
        <v>300000</v>
      </c>
      <c r="D456" s="695">
        <v>300000</v>
      </c>
      <c r="E456" s="695">
        <v>219615</v>
      </c>
      <c r="F456" s="695"/>
      <c r="G456" s="1051">
        <f t="shared" si="55"/>
        <v>73.204999999999998</v>
      </c>
      <c r="H456" s="1055">
        <f t="shared" si="57"/>
        <v>73.204999999999998</v>
      </c>
      <c r="I456" s="1056">
        <v>0</v>
      </c>
      <c r="J456" s="29">
        <v>58080</v>
      </c>
      <c r="K456" s="1"/>
      <c r="L456" s="1"/>
      <c r="M456" s="1"/>
      <c r="N456" s="1"/>
      <c r="O456" s="1"/>
      <c r="P456" s="1"/>
      <c r="Q456" s="1"/>
      <c r="R456" s="1"/>
      <c r="S456" s="1"/>
      <c r="T456" s="1"/>
      <c r="U456" s="1"/>
      <c r="V456" s="1"/>
      <c r="W456" s="1"/>
      <c r="X456" s="1"/>
      <c r="Y456" s="1"/>
      <c r="Z456" s="1"/>
      <c r="AA456" s="1"/>
    </row>
    <row r="457" spans="1:36" x14ac:dyDescent="0.2">
      <c r="A457" s="826" t="s">
        <v>1490</v>
      </c>
      <c r="B457" s="833" t="s">
        <v>1491</v>
      </c>
      <c r="C457" s="828">
        <v>1850000</v>
      </c>
      <c r="D457" s="828">
        <v>1850000</v>
      </c>
      <c r="E457" s="828">
        <v>1753646.11</v>
      </c>
      <c r="F457" s="828"/>
      <c r="G457" s="1051">
        <f t="shared" si="55"/>
        <v>94.79168162162162</v>
      </c>
      <c r="H457" s="1055">
        <f t="shared" si="57"/>
        <v>94.79168162162162</v>
      </c>
      <c r="I457" s="1056">
        <v>0</v>
      </c>
      <c r="J457" s="29">
        <v>0</v>
      </c>
    </row>
    <row r="458" spans="1:36" ht="15.75" x14ac:dyDescent="0.25">
      <c r="A458" s="802"/>
      <c r="B458" s="803" t="s">
        <v>1492</v>
      </c>
      <c r="C458" s="702">
        <f>SUM(C464,C459,C471,C478,C488,C490)</f>
        <v>55211250</v>
      </c>
      <c r="D458" s="702">
        <f>SUM(D464,D459,D471,D478,D488,D490)</f>
        <v>52031250</v>
      </c>
      <c r="E458" s="702">
        <v>40516308.119999997</v>
      </c>
      <c r="F458" s="1068">
        <f>SUM(E459,E464,E471,E478,E488,E490)</f>
        <v>40516308.120000005</v>
      </c>
      <c r="G458" s="623">
        <f t="shared" si="55"/>
        <v>73.384152903620176</v>
      </c>
      <c r="H458" s="623">
        <f t="shared" si="57"/>
        <v>77.869180771171159</v>
      </c>
      <c r="I458" s="741">
        <f t="shared" ref="I458:I518" si="58">E458/J458*100</f>
        <v>83.931397554489351</v>
      </c>
      <c r="J458" s="29">
        <v>48273124.600000001</v>
      </c>
    </row>
    <row r="459" spans="1:36" ht="12.75" customHeight="1" x14ac:dyDescent="0.2">
      <c r="A459" s="834">
        <v>3412</v>
      </c>
      <c r="B459" s="834" t="s">
        <v>1493</v>
      </c>
      <c r="C459" s="835">
        <f>SUM(C460:C463)</f>
        <v>3400000</v>
      </c>
      <c r="D459" s="835">
        <f>SUM(D460:D463)</f>
        <v>3900000</v>
      </c>
      <c r="E459" s="835">
        <v>1280329.47</v>
      </c>
      <c r="F459" s="1100">
        <f>SUM(E460:E463)</f>
        <v>1280329.47</v>
      </c>
      <c r="G459" s="630">
        <f t="shared" si="55"/>
        <v>37.65674911764706</v>
      </c>
      <c r="H459" s="1052">
        <f t="shared" si="57"/>
        <v>32.828960769230768</v>
      </c>
      <c r="I459" s="631">
        <v>0</v>
      </c>
      <c r="J459" s="29">
        <v>0</v>
      </c>
    </row>
    <row r="460" spans="1:36" ht="12.75" customHeight="1" x14ac:dyDescent="0.2">
      <c r="A460" s="796" t="s">
        <v>1494</v>
      </c>
      <c r="B460" s="717" t="s">
        <v>1495</v>
      </c>
      <c r="C460" s="836">
        <v>2600000</v>
      </c>
      <c r="D460" s="836">
        <f>2600000-1000000</f>
        <v>1600000</v>
      </c>
      <c r="E460" s="836">
        <v>121000</v>
      </c>
      <c r="F460" s="836"/>
      <c r="G460" s="1051">
        <f t="shared" si="55"/>
        <v>4.6538461538461533</v>
      </c>
      <c r="H460" s="1055">
        <f t="shared" si="57"/>
        <v>7.5625</v>
      </c>
      <c r="I460" s="1056">
        <v>0</v>
      </c>
      <c r="J460" s="29">
        <v>0</v>
      </c>
    </row>
    <row r="461" spans="1:36" ht="12.75" customHeight="1" x14ac:dyDescent="0.2">
      <c r="A461" s="796" t="s">
        <v>1496</v>
      </c>
      <c r="B461" s="717" t="s">
        <v>1497</v>
      </c>
      <c r="C461" s="836">
        <v>500000</v>
      </c>
      <c r="D461" s="836">
        <v>500000</v>
      </c>
      <c r="E461" s="836">
        <v>0</v>
      </c>
      <c r="F461" s="836"/>
      <c r="G461" s="1051">
        <f t="shared" si="55"/>
        <v>0</v>
      </c>
      <c r="H461" s="1055">
        <f t="shared" si="57"/>
        <v>0</v>
      </c>
      <c r="I461" s="1056">
        <v>0</v>
      </c>
      <c r="J461" s="29">
        <v>0</v>
      </c>
    </row>
    <row r="462" spans="1:36" x14ac:dyDescent="0.2">
      <c r="A462" s="796" t="s">
        <v>1498</v>
      </c>
      <c r="B462" s="717" t="s">
        <v>1499</v>
      </c>
      <c r="C462" s="836">
        <v>300000</v>
      </c>
      <c r="D462" s="836">
        <v>300000</v>
      </c>
      <c r="E462" s="836">
        <v>0</v>
      </c>
      <c r="F462" s="836"/>
      <c r="G462" s="1051">
        <f t="shared" si="55"/>
        <v>0</v>
      </c>
      <c r="H462" s="1055">
        <f t="shared" si="57"/>
        <v>0</v>
      </c>
      <c r="I462" s="1056">
        <v>0</v>
      </c>
      <c r="J462" s="29">
        <v>0</v>
      </c>
    </row>
    <row r="463" spans="1:36" s="98" customFormat="1" x14ac:dyDescent="0.2">
      <c r="A463" s="796" t="s">
        <v>1964</v>
      </c>
      <c r="B463" s="731" t="s">
        <v>1965</v>
      </c>
      <c r="C463" s="695">
        <v>0</v>
      </c>
      <c r="D463" s="695">
        <v>1500000</v>
      </c>
      <c r="E463" s="695">
        <v>1159329.47</v>
      </c>
      <c r="F463" s="695"/>
      <c r="G463" s="1051">
        <v>0</v>
      </c>
      <c r="H463" s="1055">
        <f t="shared" si="57"/>
        <v>77.288631333333342</v>
      </c>
      <c r="I463" s="1056">
        <v>0</v>
      </c>
      <c r="J463" s="29">
        <v>0</v>
      </c>
    </row>
    <row r="464" spans="1:36" x14ac:dyDescent="0.2">
      <c r="A464" s="730">
        <v>3612</v>
      </c>
      <c r="B464" s="730" t="s">
        <v>1500</v>
      </c>
      <c r="C464" s="798">
        <f>SUM(C465:C470)</f>
        <v>5250000</v>
      </c>
      <c r="D464" s="798">
        <f>SUM(D465:D470)</f>
        <v>7950000</v>
      </c>
      <c r="E464" s="798">
        <v>3918467.06</v>
      </c>
      <c r="F464" s="1094">
        <f>SUM(E465:E470)</f>
        <v>3918467.06</v>
      </c>
      <c r="G464" s="630">
        <f t="shared" si="55"/>
        <v>74.637467809523798</v>
      </c>
      <c r="H464" s="1052">
        <f t="shared" si="57"/>
        <v>49.288893836477989</v>
      </c>
      <c r="I464" s="631">
        <f t="shared" si="58"/>
        <v>11.682542560552751</v>
      </c>
      <c r="J464" s="29">
        <v>33541217.93</v>
      </c>
    </row>
    <row r="465" spans="1:10" x14ac:dyDescent="0.2">
      <c r="A465" s="796" t="s">
        <v>1966</v>
      </c>
      <c r="B465" s="837" t="s">
        <v>1508</v>
      </c>
      <c r="C465" s="695">
        <v>400000</v>
      </c>
      <c r="D465" s="695">
        <v>400000</v>
      </c>
      <c r="E465" s="695">
        <v>323000</v>
      </c>
      <c r="F465" s="695"/>
      <c r="G465" s="1051">
        <f t="shared" si="55"/>
        <v>80.75</v>
      </c>
      <c r="H465" s="1055">
        <f t="shared" si="57"/>
        <v>80.75</v>
      </c>
      <c r="I465" s="1056">
        <v>0</v>
      </c>
      <c r="J465" s="29">
        <v>0</v>
      </c>
    </row>
    <row r="466" spans="1:10" x14ac:dyDescent="0.2">
      <c r="A466" s="796" t="s">
        <v>1509</v>
      </c>
      <c r="B466" s="837" t="s">
        <v>1510</v>
      </c>
      <c r="C466" s="695">
        <v>350000</v>
      </c>
      <c r="D466" s="695">
        <v>350000</v>
      </c>
      <c r="E466" s="695">
        <v>321000</v>
      </c>
      <c r="F466" s="695"/>
      <c r="G466" s="1051">
        <f t="shared" si="55"/>
        <v>91.714285714285708</v>
      </c>
      <c r="H466" s="1055">
        <f t="shared" si="57"/>
        <v>91.714285714285708</v>
      </c>
      <c r="I466" s="1056">
        <v>0</v>
      </c>
      <c r="J466" s="29">
        <v>0</v>
      </c>
    </row>
    <row r="467" spans="1:10" x14ac:dyDescent="0.2">
      <c r="A467" s="796" t="s">
        <v>1511</v>
      </c>
      <c r="B467" s="832" t="s">
        <v>1512</v>
      </c>
      <c r="C467" s="695">
        <v>1500000</v>
      </c>
      <c r="D467" s="695">
        <v>1500000</v>
      </c>
      <c r="E467" s="695">
        <v>756250</v>
      </c>
      <c r="F467" s="695"/>
      <c r="G467" s="1051">
        <f t="shared" si="55"/>
        <v>50.416666666666664</v>
      </c>
      <c r="H467" s="1055">
        <f t="shared" si="57"/>
        <v>50.416666666666664</v>
      </c>
      <c r="I467" s="1056">
        <v>0</v>
      </c>
      <c r="J467" s="29">
        <v>0</v>
      </c>
    </row>
    <row r="468" spans="1:10" x14ac:dyDescent="0.2">
      <c r="A468" s="796" t="s">
        <v>1529</v>
      </c>
      <c r="B468" s="832" t="s">
        <v>1530</v>
      </c>
      <c r="C468" s="695">
        <v>3000000</v>
      </c>
      <c r="D468" s="695">
        <v>3000000</v>
      </c>
      <c r="E468" s="695">
        <v>0</v>
      </c>
      <c r="F468" s="695"/>
      <c r="G468" s="1051">
        <f t="shared" si="55"/>
        <v>0</v>
      </c>
      <c r="H468" s="1055">
        <f t="shared" si="57"/>
        <v>0</v>
      </c>
      <c r="I468" s="1056">
        <v>0</v>
      </c>
      <c r="J468" s="29">
        <v>0</v>
      </c>
    </row>
    <row r="469" spans="1:10" x14ac:dyDescent="0.2">
      <c r="A469" s="796" t="s">
        <v>1967</v>
      </c>
      <c r="B469" s="832" t="s">
        <v>1968</v>
      </c>
      <c r="C469" s="695">
        <v>0</v>
      </c>
      <c r="D469" s="695">
        <v>1500000</v>
      </c>
      <c r="E469" s="695">
        <v>1399150.23</v>
      </c>
      <c r="F469" s="695"/>
      <c r="G469" s="1051">
        <v>0</v>
      </c>
      <c r="H469" s="1055">
        <f t="shared" si="57"/>
        <v>93.276681999999994</v>
      </c>
      <c r="I469" s="1056">
        <v>0</v>
      </c>
      <c r="J469" s="29">
        <v>0</v>
      </c>
    </row>
    <row r="470" spans="1:10" x14ac:dyDescent="0.2">
      <c r="A470" s="796" t="s">
        <v>1969</v>
      </c>
      <c r="B470" s="832" t="s">
        <v>1970</v>
      </c>
      <c r="C470" s="695">
        <v>0</v>
      </c>
      <c r="D470" s="695">
        <v>1200000</v>
      </c>
      <c r="E470" s="695">
        <v>1119066.83</v>
      </c>
      <c r="F470" s="695"/>
      <c r="G470" s="1051">
        <v>0</v>
      </c>
      <c r="H470" s="1055">
        <f t="shared" si="57"/>
        <v>93.255569166666675</v>
      </c>
      <c r="I470" s="1056">
        <v>0</v>
      </c>
      <c r="J470" s="29">
        <v>0</v>
      </c>
    </row>
    <row r="471" spans="1:10" x14ac:dyDescent="0.2">
      <c r="A471" s="838">
        <v>3613</v>
      </c>
      <c r="B471" s="730" t="s">
        <v>1283</v>
      </c>
      <c r="C471" s="798">
        <f>SUM(C472:C477)</f>
        <v>5200000</v>
      </c>
      <c r="D471" s="798">
        <f>SUM(D472:D477)</f>
        <v>7250000</v>
      </c>
      <c r="E471" s="798">
        <v>6853682.2300000004</v>
      </c>
      <c r="F471" s="1094">
        <f>SUM(E472:E477)</f>
        <v>6853682.2300000004</v>
      </c>
      <c r="G471" s="630">
        <f t="shared" si="55"/>
        <v>131.80158134615385</v>
      </c>
      <c r="H471" s="1052">
        <f t="shared" si="57"/>
        <v>94.53354800000001</v>
      </c>
      <c r="I471" s="631">
        <f t="shared" si="58"/>
        <v>181.45731002709798</v>
      </c>
      <c r="J471" s="29">
        <v>3777021.84</v>
      </c>
    </row>
    <row r="472" spans="1:10" x14ac:dyDescent="0.2">
      <c r="A472" s="796" t="s">
        <v>1517</v>
      </c>
      <c r="B472" s="832" t="s">
        <v>1518</v>
      </c>
      <c r="C472" s="695">
        <v>2550000</v>
      </c>
      <c r="D472" s="695">
        <f>2550000-2000000-500000</f>
        <v>50000</v>
      </c>
      <c r="E472" s="695">
        <v>0</v>
      </c>
      <c r="F472" s="695"/>
      <c r="G472" s="1051">
        <f t="shared" si="55"/>
        <v>0</v>
      </c>
      <c r="H472" s="1055">
        <f t="shared" si="57"/>
        <v>0</v>
      </c>
      <c r="I472" s="1056">
        <v>0</v>
      </c>
      <c r="J472" s="29">
        <v>0</v>
      </c>
    </row>
    <row r="473" spans="1:10" x14ac:dyDescent="0.2">
      <c r="A473" s="796" t="s">
        <v>1521</v>
      </c>
      <c r="B473" s="832" t="s">
        <v>1522</v>
      </c>
      <c r="C473" s="695">
        <v>1000000</v>
      </c>
      <c r="D473" s="695">
        <f>1000000-230000</f>
        <v>770000</v>
      </c>
      <c r="E473" s="695">
        <v>441650</v>
      </c>
      <c r="F473" s="695"/>
      <c r="G473" s="1051">
        <f t="shared" si="55"/>
        <v>44.164999999999999</v>
      </c>
      <c r="H473" s="1055">
        <f t="shared" si="57"/>
        <v>57.357142857142861</v>
      </c>
      <c r="I473" s="1056">
        <v>0</v>
      </c>
      <c r="J473" s="29">
        <v>0</v>
      </c>
    </row>
    <row r="474" spans="1:10" x14ac:dyDescent="0.2">
      <c r="A474" s="796" t="s">
        <v>1523</v>
      </c>
      <c r="B474" s="832" t="s">
        <v>1971</v>
      </c>
      <c r="C474" s="695">
        <v>1100000</v>
      </c>
      <c r="D474" s="695">
        <f>1100000-1100000</f>
        <v>0</v>
      </c>
      <c r="E474" s="695">
        <v>0</v>
      </c>
      <c r="F474" s="695"/>
      <c r="G474" s="1051">
        <f t="shared" si="55"/>
        <v>0</v>
      </c>
      <c r="H474" s="1055">
        <v>0</v>
      </c>
      <c r="I474" s="1056">
        <v>0</v>
      </c>
      <c r="J474" s="29">
        <v>0</v>
      </c>
    </row>
    <row r="475" spans="1:10" x14ac:dyDescent="0.2">
      <c r="A475" s="796" t="s">
        <v>1525</v>
      </c>
      <c r="B475" s="832" t="s">
        <v>1526</v>
      </c>
      <c r="C475" s="695">
        <v>550000</v>
      </c>
      <c r="D475" s="695">
        <f>550000-550000</f>
        <v>0</v>
      </c>
      <c r="E475" s="695">
        <v>0</v>
      </c>
      <c r="F475" s="695"/>
      <c r="G475" s="1051">
        <f t="shared" si="55"/>
        <v>0</v>
      </c>
      <c r="H475" s="1055">
        <v>0</v>
      </c>
      <c r="I475" s="1056">
        <v>0</v>
      </c>
      <c r="J475" s="29">
        <v>0</v>
      </c>
    </row>
    <row r="476" spans="1:10" x14ac:dyDescent="0.2">
      <c r="A476" s="796" t="s">
        <v>1972</v>
      </c>
      <c r="B476" s="832" t="s">
        <v>1973</v>
      </c>
      <c r="C476" s="695">
        <v>0</v>
      </c>
      <c r="D476" s="695">
        <f>1700000-258000</f>
        <v>1442000</v>
      </c>
      <c r="E476" s="695">
        <v>1438193.54</v>
      </c>
      <c r="F476" s="695"/>
      <c r="G476" s="1051">
        <v>0</v>
      </c>
      <c r="H476" s="1055">
        <f t="shared" si="57"/>
        <v>99.736029126213595</v>
      </c>
      <c r="I476" s="1056">
        <v>0</v>
      </c>
      <c r="J476" s="29">
        <v>453750</v>
      </c>
    </row>
    <row r="477" spans="1:10" x14ac:dyDescent="0.2">
      <c r="A477" s="796" t="s">
        <v>1974</v>
      </c>
      <c r="B477" s="832" t="s">
        <v>1975</v>
      </c>
      <c r="C477" s="695">
        <v>0</v>
      </c>
      <c r="D477" s="695">
        <f>4000000+988000</f>
        <v>4988000</v>
      </c>
      <c r="E477" s="695">
        <v>4973838.6900000004</v>
      </c>
      <c r="F477" s="695"/>
      <c r="G477" s="1051">
        <v>0</v>
      </c>
      <c r="H477" s="1055">
        <f t="shared" si="57"/>
        <v>99.716092421812348</v>
      </c>
      <c r="I477" s="1056">
        <v>0</v>
      </c>
      <c r="J477" s="29">
        <v>0</v>
      </c>
    </row>
    <row r="478" spans="1:10" x14ac:dyDescent="0.2">
      <c r="A478" s="730">
        <v>3634</v>
      </c>
      <c r="B478" s="730" t="s">
        <v>1531</v>
      </c>
      <c r="C478" s="798">
        <f>SUM(C479:C487)</f>
        <v>38361250</v>
      </c>
      <c r="D478" s="798">
        <f>SUM(D479:D487)</f>
        <v>29931250</v>
      </c>
      <c r="E478" s="798">
        <v>28434429.359999999</v>
      </c>
      <c r="F478" s="1094">
        <f>SUM(E479:E487)</f>
        <v>28434429.359999999</v>
      </c>
      <c r="G478" s="630">
        <f t="shared" si="55"/>
        <v>74.122791514875033</v>
      </c>
      <c r="H478" s="1052">
        <f t="shared" si="57"/>
        <v>94.999137556901232</v>
      </c>
      <c r="I478" s="631">
        <v>0</v>
      </c>
      <c r="J478" s="29">
        <v>10954884.83</v>
      </c>
    </row>
    <row r="479" spans="1:10" x14ac:dyDescent="0.2">
      <c r="A479" s="796" t="s">
        <v>1556</v>
      </c>
      <c r="B479" s="832" t="s">
        <v>1557</v>
      </c>
      <c r="C479" s="695">
        <v>6000000</v>
      </c>
      <c r="D479" s="695">
        <f>6000000-1300000-1500000-800000</f>
        <v>2400000</v>
      </c>
      <c r="E479" s="695">
        <v>2386205.91</v>
      </c>
      <c r="F479" s="695"/>
      <c r="G479" s="1051">
        <f t="shared" si="55"/>
        <v>39.770098500000003</v>
      </c>
      <c r="H479" s="1055">
        <f t="shared" si="57"/>
        <v>99.425246250000015</v>
      </c>
      <c r="I479" s="1056">
        <v>0</v>
      </c>
      <c r="J479" s="29">
        <v>0</v>
      </c>
    </row>
    <row r="480" spans="1:10" ht="12.75" customHeight="1" x14ac:dyDescent="0.2">
      <c r="A480" s="796" t="s">
        <v>1542</v>
      </c>
      <c r="B480" s="832" t="s">
        <v>1976</v>
      </c>
      <c r="C480" s="695">
        <v>2151250</v>
      </c>
      <c r="D480" s="695">
        <v>2151250</v>
      </c>
      <c r="E480" s="695">
        <v>1788994.68</v>
      </c>
      <c r="F480" s="695"/>
      <c r="G480" s="1051">
        <f t="shared" si="55"/>
        <v>83.160705636257987</v>
      </c>
      <c r="H480" s="1055">
        <f t="shared" si="57"/>
        <v>83.160705636257987</v>
      </c>
      <c r="I480" s="1056">
        <v>0</v>
      </c>
      <c r="J480" s="29">
        <v>0</v>
      </c>
    </row>
    <row r="481" spans="1:10" x14ac:dyDescent="0.2">
      <c r="A481" s="796" t="s">
        <v>1544</v>
      </c>
      <c r="B481" s="832" t="s">
        <v>1977</v>
      </c>
      <c r="C481" s="695">
        <v>2500000</v>
      </c>
      <c r="D481" s="695">
        <f>2500000-1300000+1300000</f>
        <v>2500000</v>
      </c>
      <c r="E481" s="695">
        <v>1500462.92</v>
      </c>
      <c r="F481" s="695"/>
      <c r="G481" s="1051">
        <f t="shared" si="55"/>
        <v>60.0185168</v>
      </c>
      <c r="H481" s="1055">
        <f t="shared" si="57"/>
        <v>60.0185168</v>
      </c>
      <c r="I481" s="1056">
        <v>0</v>
      </c>
      <c r="J481" s="29">
        <v>0</v>
      </c>
    </row>
    <row r="482" spans="1:10" x14ac:dyDescent="0.2">
      <c r="A482" s="796" t="s">
        <v>1546</v>
      </c>
      <c r="B482" s="832" t="s">
        <v>1547</v>
      </c>
      <c r="C482" s="695">
        <v>210000</v>
      </c>
      <c r="D482" s="695">
        <f>210000</f>
        <v>210000</v>
      </c>
      <c r="E482" s="695">
        <v>176660</v>
      </c>
      <c r="F482" s="695"/>
      <c r="G482" s="1051">
        <f t="shared" si="55"/>
        <v>84.123809523809527</v>
      </c>
      <c r="H482" s="1055">
        <f t="shared" si="57"/>
        <v>84.123809523809527</v>
      </c>
      <c r="I482" s="1056">
        <v>0</v>
      </c>
      <c r="J482" s="29">
        <v>0</v>
      </c>
    </row>
    <row r="483" spans="1:10" x14ac:dyDescent="0.2">
      <c r="A483" s="796" t="s">
        <v>1548</v>
      </c>
      <c r="B483" s="832" t="s">
        <v>1549</v>
      </c>
      <c r="C483" s="695">
        <v>4500000</v>
      </c>
      <c r="D483" s="695">
        <f>4500000-1500000-450000</f>
        <v>2550000</v>
      </c>
      <c r="E483" s="695">
        <v>2541171.98</v>
      </c>
      <c r="F483" s="695"/>
      <c r="G483" s="1051">
        <f t="shared" si="55"/>
        <v>56.470488444444442</v>
      </c>
      <c r="H483" s="1055">
        <f t="shared" si="57"/>
        <v>99.653803137254897</v>
      </c>
      <c r="I483" s="1056">
        <v>0</v>
      </c>
      <c r="J483" s="29">
        <v>0</v>
      </c>
    </row>
    <row r="484" spans="1:10" x14ac:dyDescent="0.2">
      <c r="A484" s="796" t="s">
        <v>1550</v>
      </c>
      <c r="B484" s="832" t="s">
        <v>1551</v>
      </c>
      <c r="C484" s="695">
        <v>4800000</v>
      </c>
      <c r="D484" s="695">
        <f>4800000-1500000-480000</f>
        <v>2820000</v>
      </c>
      <c r="E484" s="695">
        <v>2811169.71</v>
      </c>
      <c r="F484" s="695"/>
      <c r="G484" s="1051">
        <f t="shared" si="55"/>
        <v>58.566035624999998</v>
      </c>
      <c r="H484" s="1055">
        <f t="shared" si="57"/>
        <v>99.686869148936168</v>
      </c>
      <c r="I484" s="1056">
        <v>0</v>
      </c>
      <c r="J484" s="29">
        <v>0</v>
      </c>
    </row>
    <row r="485" spans="1:10" x14ac:dyDescent="0.2">
      <c r="A485" s="796" t="s">
        <v>1552</v>
      </c>
      <c r="B485" s="832" t="s">
        <v>1553</v>
      </c>
      <c r="C485" s="695">
        <v>5000000</v>
      </c>
      <c r="D485" s="695">
        <f>5000000-40000-2000000</f>
        <v>2960000</v>
      </c>
      <c r="E485" s="695">
        <v>2947731.71</v>
      </c>
      <c r="F485" s="695"/>
      <c r="G485" s="1051">
        <f t="shared" si="55"/>
        <v>58.954634200000001</v>
      </c>
      <c r="H485" s="1055">
        <f t="shared" si="57"/>
        <v>99.58553074324324</v>
      </c>
      <c r="I485" s="1056">
        <v>0</v>
      </c>
      <c r="J485" s="29">
        <v>0</v>
      </c>
    </row>
    <row r="486" spans="1:10" ht="12.75" customHeight="1" x14ac:dyDescent="0.2">
      <c r="A486" s="796" t="s">
        <v>1554</v>
      </c>
      <c r="B486" s="832" t="s">
        <v>1555</v>
      </c>
      <c r="C486" s="695">
        <v>13000000</v>
      </c>
      <c r="D486" s="695">
        <f>13000000+1300000-200000</f>
        <v>14100000</v>
      </c>
      <c r="E486" s="695">
        <v>14042452.449999999</v>
      </c>
      <c r="F486" s="695"/>
      <c r="G486" s="1051">
        <f t="shared" si="55"/>
        <v>108.01886499999999</v>
      </c>
      <c r="H486" s="1055">
        <f t="shared" si="57"/>
        <v>99.591861347517735</v>
      </c>
      <c r="I486" s="1056">
        <v>0</v>
      </c>
      <c r="J486" s="29">
        <v>0</v>
      </c>
    </row>
    <row r="487" spans="1:10" x14ac:dyDescent="0.2">
      <c r="A487" s="799" t="s">
        <v>1558</v>
      </c>
      <c r="B487" s="1101" t="s">
        <v>1559</v>
      </c>
      <c r="C487" s="728">
        <v>200000</v>
      </c>
      <c r="D487" s="728">
        <f>200000+40000</f>
        <v>240000</v>
      </c>
      <c r="E487" s="728">
        <v>239580</v>
      </c>
      <c r="F487" s="728"/>
      <c r="G487" s="1051">
        <f t="shared" si="55"/>
        <v>119.78999999999999</v>
      </c>
      <c r="H487" s="1055">
        <f t="shared" si="57"/>
        <v>99.825000000000003</v>
      </c>
      <c r="I487" s="1056">
        <v>0</v>
      </c>
      <c r="J487" s="29">
        <v>0</v>
      </c>
    </row>
    <row r="488" spans="1:10" x14ac:dyDescent="0.2">
      <c r="A488" s="730">
        <v>4351</v>
      </c>
      <c r="B488" s="730" t="s">
        <v>1978</v>
      </c>
      <c r="C488" s="798">
        <f>SUM(C489)</f>
        <v>2500000</v>
      </c>
      <c r="D488" s="798">
        <f>SUM(D489)</f>
        <v>2500000</v>
      </c>
      <c r="E488" s="798">
        <v>9000</v>
      </c>
      <c r="F488" s="1094"/>
      <c r="G488" s="630">
        <f t="shared" si="55"/>
        <v>0.36</v>
      </c>
      <c r="H488" s="1052">
        <f t="shared" si="57"/>
        <v>0.36</v>
      </c>
      <c r="I488" s="631">
        <v>0</v>
      </c>
      <c r="J488" s="29">
        <v>0</v>
      </c>
    </row>
    <row r="489" spans="1:10" x14ac:dyDescent="0.2">
      <c r="A489" s="796" t="s">
        <v>1519</v>
      </c>
      <c r="B489" s="1101" t="s">
        <v>1520</v>
      </c>
      <c r="C489" s="728">
        <v>2500000</v>
      </c>
      <c r="D489" s="728">
        <v>2500000</v>
      </c>
      <c r="E489" s="728">
        <v>9000</v>
      </c>
      <c r="F489" s="728"/>
      <c r="G489" s="1051">
        <f t="shared" si="55"/>
        <v>0.36</v>
      </c>
      <c r="H489" s="1055">
        <f t="shared" si="57"/>
        <v>0.36</v>
      </c>
      <c r="I489" s="1056">
        <v>0</v>
      </c>
      <c r="J489" s="29">
        <v>0</v>
      </c>
    </row>
    <row r="490" spans="1:10" x14ac:dyDescent="0.2">
      <c r="A490" s="730">
        <v>4374</v>
      </c>
      <c r="B490" s="730" t="s">
        <v>753</v>
      </c>
      <c r="C490" s="798">
        <f>SUM(C491)</f>
        <v>500000</v>
      </c>
      <c r="D490" s="798">
        <f>SUM(D491)</f>
        <v>500000</v>
      </c>
      <c r="E490" s="798">
        <v>20400</v>
      </c>
      <c r="F490" s="1094"/>
      <c r="G490" s="630">
        <f t="shared" si="55"/>
        <v>4.08</v>
      </c>
      <c r="H490" s="1052">
        <f t="shared" si="57"/>
        <v>4.08</v>
      </c>
      <c r="I490" s="631">
        <v>0</v>
      </c>
      <c r="J490" s="29">
        <v>0</v>
      </c>
    </row>
    <row r="491" spans="1:10" x14ac:dyDescent="0.2">
      <c r="A491" s="796" t="s">
        <v>1527</v>
      </c>
      <c r="B491" s="833" t="s">
        <v>1528</v>
      </c>
      <c r="C491" s="828">
        <v>500000</v>
      </c>
      <c r="D491" s="828">
        <v>500000</v>
      </c>
      <c r="E491" s="828">
        <v>20400</v>
      </c>
      <c r="F491" s="828"/>
      <c r="G491" s="1051">
        <f t="shared" si="55"/>
        <v>4.08</v>
      </c>
      <c r="H491" s="1055">
        <f t="shared" si="57"/>
        <v>4.08</v>
      </c>
      <c r="I491" s="1056">
        <v>0</v>
      </c>
      <c r="J491" s="29">
        <v>0</v>
      </c>
    </row>
    <row r="492" spans="1:10" ht="15.75" x14ac:dyDescent="0.25">
      <c r="A492" s="819"/>
      <c r="B492" s="802" t="s">
        <v>546</v>
      </c>
      <c r="C492" s="702">
        <f>SUM(C493,C500,C502,C507,C510)</f>
        <v>18780000</v>
      </c>
      <c r="D492" s="702">
        <f>SUM(D493,D500,D502,D507,D510)</f>
        <v>17920307</v>
      </c>
      <c r="E492" s="702">
        <v>15190701.75</v>
      </c>
      <c r="F492" s="1068">
        <f>SUM(E493,E500,E502,E507,E510)</f>
        <v>15190701.75</v>
      </c>
      <c r="G492" s="623">
        <f t="shared" si="55"/>
        <v>80.887655750798729</v>
      </c>
      <c r="H492" s="623">
        <f t="shared" si="57"/>
        <v>84.768088794460937</v>
      </c>
      <c r="I492" s="741">
        <f t="shared" si="58"/>
        <v>70.352797827613742</v>
      </c>
      <c r="J492" s="29">
        <v>21592178.59</v>
      </c>
    </row>
    <row r="493" spans="1:10" x14ac:dyDescent="0.2">
      <c r="A493" s="814">
        <v>3412</v>
      </c>
      <c r="B493" s="806" t="s">
        <v>1560</v>
      </c>
      <c r="C493" s="795">
        <f>SUM(C494:C499)</f>
        <v>13470000</v>
      </c>
      <c r="D493" s="795">
        <f>SUM(D494:D499)</f>
        <v>13610307</v>
      </c>
      <c r="E493" s="795">
        <v>11407803.800000001</v>
      </c>
      <c r="F493" s="1093">
        <f>SUM(E494:E499)</f>
        <v>11407803.800000001</v>
      </c>
      <c r="G493" s="630">
        <f t="shared" si="55"/>
        <v>84.69045137342242</v>
      </c>
      <c r="H493" s="1052">
        <f t="shared" si="57"/>
        <v>83.81738780763726</v>
      </c>
      <c r="I493" s="631">
        <v>0</v>
      </c>
      <c r="J493" s="29">
        <v>193600</v>
      </c>
    </row>
    <row r="494" spans="1:10" x14ac:dyDescent="0.2">
      <c r="A494" s="796" t="s">
        <v>1979</v>
      </c>
      <c r="B494" s="809" t="s">
        <v>1980</v>
      </c>
      <c r="C494" s="695">
        <v>0</v>
      </c>
      <c r="D494" s="695">
        <f>153307+3000</f>
        <v>156307</v>
      </c>
      <c r="E494" s="695">
        <v>155937</v>
      </c>
      <c r="F494" s="695"/>
      <c r="G494" s="1051">
        <v>0</v>
      </c>
      <c r="H494" s="1055">
        <f t="shared" si="57"/>
        <v>99.763286353138383</v>
      </c>
      <c r="I494" s="1056">
        <v>0</v>
      </c>
      <c r="J494" s="29">
        <v>0</v>
      </c>
    </row>
    <row r="495" spans="1:10" x14ac:dyDescent="0.2">
      <c r="A495" s="796" t="s">
        <v>1561</v>
      </c>
      <c r="B495" s="731" t="s">
        <v>1562</v>
      </c>
      <c r="C495" s="695">
        <v>11500000</v>
      </c>
      <c r="D495" s="695">
        <f>11500000-20000-3000-10000</f>
        <v>11467000</v>
      </c>
      <c r="E495" s="695">
        <v>10736252.300000001</v>
      </c>
      <c r="F495" s="695"/>
      <c r="G495" s="1051">
        <f t="shared" si="55"/>
        <v>93.358715652173913</v>
      </c>
      <c r="H495" s="1055">
        <f t="shared" si="57"/>
        <v>93.627385541118002</v>
      </c>
      <c r="I495" s="1056">
        <v>0</v>
      </c>
      <c r="J495" s="29">
        <v>193600</v>
      </c>
    </row>
    <row r="496" spans="1:10" x14ac:dyDescent="0.2">
      <c r="A496" s="796" t="s">
        <v>1569</v>
      </c>
      <c r="B496" s="731" t="s">
        <v>1570</v>
      </c>
      <c r="C496" s="695">
        <v>440000</v>
      </c>
      <c r="D496" s="695">
        <f>440000+20000+10000+50000</f>
        <v>520000</v>
      </c>
      <c r="E496" s="695">
        <v>515614.5</v>
      </c>
      <c r="F496" s="695"/>
      <c r="G496" s="1051">
        <f t="shared" si="55"/>
        <v>117.18511363636364</v>
      </c>
      <c r="H496" s="1055">
        <f t="shared" si="57"/>
        <v>99.156634615384618</v>
      </c>
      <c r="I496" s="1056">
        <v>0</v>
      </c>
      <c r="J496" s="29">
        <v>0</v>
      </c>
    </row>
    <row r="497" spans="1:10" x14ac:dyDescent="0.2">
      <c r="A497" s="796" t="s">
        <v>1563</v>
      </c>
      <c r="B497" s="731" t="s">
        <v>1564</v>
      </c>
      <c r="C497" s="695">
        <v>1000000</v>
      </c>
      <c r="D497" s="695">
        <v>1000000</v>
      </c>
      <c r="E497" s="695">
        <v>0</v>
      </c>
      <c r="F497" s="695"/>
      <c r="G497" s="1051">
        <f t="shared" si="55"/>
        <v>0</v>
      </c>
      <c r="H497" s="1055">
        <f t="shared" si="57"/>
        <v>0</v>
      </c>
      <c r="I497" s="1056">
        <v>0</v>
      </c>
      <c r="J497" s="29">
        <v>0</v>
      </c>
    </row>
    <row r="498" spans="1:10" x14ac:dyDescent="0.2">
      <c r="A498" s="796" t="s">
        <v>1565</v>
      </c>
      <c r="B498" s="731" t="s">
        <v>1566</v>
      </c>
      <c r="C498" s="695">
        <v>330000</v>
      </c>
      <c r="D498" s="695">
        <v>330000</v>
      </c>
      <c r="E498" s="695">
        <v>0</v>
      </c>
      <c r="F498" s="695"/>
      <c r="G498" s="1051">
        <f t="shared" ref="G498:G560" si="59">E498/C498*100</f>
        <v>0</v>
      </c>
      <c r="H498" s="1055">
        <f t="shared" si="57"/>
        <v>0</v>
      </c>
      <c r="I498" s="1056">
        <v>0</v>
      </c>
      <c r="J498" s="29">
        <v>0</v>
      </c>
    </row>
    <row r="499" spans="1:10" x14ac:dyDescent="0.2">
      <c r="A499" s="796" t="s">
        <v>1567</v>
      </c>
      <c r="B499" s="809" t="s">
        <v>1568</v>
      </c>
      <c r="C499" s="695">
        <v>200000</v>
      </c>
      <c r="D499" s="695">
        <f>200000-13000-50000</f>
        <v>137000</v>
      </c>
      <c r="E499" s="695">
        <v>0</v>
      </c>
      <c r="F499" s="695"/>
      <c r="G499" s="1051">
        <f t="shared" si="59"/>
        <v>0</v>
      </c>
      <c r="H499" s="1055">
        <f t="shared" si="57"/>
        <v>0</v>
      </c>
      <c r="I499" s="1056">
        <v>0</v>
      </c>
      <c r="J499" s="29">
        <v>0</v>
      </c>
    </row>
    <row r="500" spans="1:10" x14ac:dyDescent="0.2">
      <c r="A500" s="730">
        <v>3613</v>
      </c>
      <c r="B500" s="797" t="s">
        <v>1283</v>
      </c>
      <c r="C500" s="798">
        <f>SUM(C501:C501)</f>
        <v>300000</v>
      </c>
      <c r="D500" s="798">
        <f>SUM(D501:D501)</f>
        <v>300000</v>
      </c>
      <c r="E500" s="798">
        <v>0</v>
      </c>
      <c r="F500" s="1094">
        <f>SUM(E501)</f>
        <v>0</v>
      </c>
      <c r="G500" s="630">
        <f t="shared" si="59"/>
        <v>0</v>
      </c>
      <c r="H500" s="1052">
        <f t="shared" si="57"/>
        <v>0</v>
      </c>
      <c r="I500" s="631">
        <v>0</v>
      </c>
      <c r="J500" s="29">
        <v>208120</v>
      </c>
    </row>
    <row r="501" spans="1:10" x14ac:dyDescent="0.2">
      <c r="A501" s="796" t="s">
        <v>553</v>
      </c>
      <c r="B501" s="731" t="s">
        <v>1571</v>
      </c>
      <c r="C501" s="695">
        <v>300000</v>
      </c>
      <c r="D501" s="695">
        <v>300000</v>
      </c>
      <c r="E501" s="695">
        <v>0</v>
      </c>
      <c r="F501" s="695"/>
      <c r="G501" s="1051">
        <f t="shared" si="59"/>
        <v>0</v>
      </c>
      <c r="H501" s="1055">
        <f t="shared" si="57"/>
        <v>0</v>
      </c>
      <c r="I501" s="1056">
        <v>0</v>
      </c>
      <c r="J501" s="29">
        <v>208120</v>
      </c>
    </row>
    <row r="502" spans="1:10" x14ac:dyDescent="0.2">
      <c r="A502" s="730">
        <v>3631</v>
      </c>
      <c r="B502" s="797" t="s">
        <v>1294</v>
      </c>
      <c r="C502" s="798">
        <f>SUM(C503:C506)</f>
        <v>4150000</v>
      </c>
      <c r="D502" s="798">
        <f>SUM(D503:D506)</f>
        <v>3150000</v>
      </c>
      <c r="E502" s="798">
        <v>3028817.95</v>
      </c>
      <c r="F502" s="1094">
        <f>SUM(E503:E506)</f>
        <v>3028817.95</v>
      </c>
      <c r="G502" s="630">
        <f t="shared" si="59"/>
        <v>72.983565060240977</v>
      </c>
      <c r="H502" s="1052">
        <f t="shared" si="57"/>
        <v>96.152950793650803</v>
      </c>
      <c r="I502" s="631">
        <f t="shared" si="58"/>
        <v>54.491436317095051</v>
      </c>
      <c r="J502" s="29">
        <v>5558337.5199999996</v>
      </c>
    </row>
    <row r="503" spans="1:10" x14ac:dyDescent="0.2">
      <c r="A503" s="796" t="s">
        <v>567</v>
      </c>
      <c r="B503" s="731" t="s">
        <v>1574</v>
      </c>
      <c r="C503" s="695">
        <v>100000</v>
      </c>
      <c r="D503" s="695">
        <f>100000+7500000-7500000</f>
        <v>100000</v>
      </c>
      <c r="E503" s="695">
        <v>86856.5</v>
      </c>
      <c r="F503" s="695"/>
      <c r="G503" s="1051">
        <f t="shared" si="59"/>
        <v>86.856499999999997</v>
      </c>
      <c r="H503" s="1055">
        <f t="shared" si="57"/>
        <v>86.856499999999997</v>
      </c>
      <c r="I503" s="1056">
        <v>0</v>
      </c>
      <c r="J503" s="29">
        <v>0</v>
      </c>
    </row>
    <row r="504" spans="1:10" x14ac:dyDescent="0.2">
      <c r="A504" s="796" t="s">
        <v>577</v>
      </c>
      <c r="B504" s="731" t="s">
        <v>578</v>
      </c>
      <c r="C504" s="695">
        <v>1750000</v>
      </c>
      <c r="D504" s="695">
        <f>1750000-20160-500000</f>
        <v>1229840</v>
      </c>
      <c r="E504" s="695">
        <v>1190395.27</v>
      </c>
      <c r="F504" s="695"/>
      <c r="G504" s="1051">
        <f t="shared" si="59"/>
        <v>68.022586857142855</v>
      </c>
      <c r="H504" s="1055">
        <f t="shared" si="57"/>
        <v>96.792694171599564</v>
      </c>
      <c r="I504" s="1056">
        <v>0</v>
      </c>
      <c r="J504" s="29">
        <v>0</v>
      </c>
    </row>
    <row r="505" spans="1:10" x14ac:dyDescent="0.2">
      <c r="A505" s="796" t="s">
        <v>581</v>
      </c>
      <c r="B505" s="731" t="s">
        <v>1579</v>
      </c>
      <c r="C505" s="695">
        <v>2300000</v>
      </c>
      <c r="D505" s="695">
        <f>2300000-500000</f>
        <v>1800000</v>
      </c>
      <c r="E505" s="695">
        <v>1751566.18</v>
      </c>
      <c r="F505" s="695"/>
      <c r="G505" s="1051">
        <f t="shared" si="59"/>
        <v>76.155051304347822</v>
      </c>
      <c r="H505" s="1055">
        <f t="shared" si="57"/>
        <v>97.309232222222221</v>
      </c>
      <c r="I505" s="1056">
        <v>0</v>
      </c>
      <c r="J505" s="29">
        <v>0</v>
      </c>
    </row>
    <row r="506" spans="1:10" x14ac:dyDescent="0.2">
      <c r="A506" s="796" t="s">
        <v>585</v>
      </c>
      <c r="B506" s="731" t="s">
        <v>1580</v>
      </c>
      <c r="C506" s="695">
        <v>0</v>
      </c>
      <c r="D506" s="695">
        <v>20160</v>
      </c>
      <c r="E506" s="695">
        <v>0</v>
      </c>
      <c r="F506" s="695"/>
      <c r="G506" s="1051">
        <v>0</v>
      </c>
      <c r="H506" s="1055">
        <f t="shared" si="57"/>
        <v>0</v>
      </c>
      <c r="I506" s="1056">
        <v>0</v>
      </c>
      <c r="J506" s="29">
        <v>0</v>
      </c>
    </row>
    <row r="507" spans="1:10" x14ac:dyDescent="0.2">
      <c r="A507" s="730">
        <v>3632</v>
      </c>
      <c r="B507" s="797" t="s">
        <v>1309</v>
      </c>
      <c r="C507" s="798">
        <f>SUM(C508:C509)</f>
        <v>850000</v>
      </c>
      <c r="D507" s="798">
        <f>SUM(D508:D509)</f>
        <v>850000</v>
      </c>
      <c r="E507" s="798">
        <v>754080</v>
      </c>
      <c r="F507" s="1094">
        <f>SUM(E508:E509)</f>
        <v>754080</v>
      </c>
      <c r="G507" s="630">
        <f t="shared" si="59"/>
        <v>88.715294117647062</v>
      </c>
      <c r="H507" s="1052">
        <f t="shared" si="57"/>
        <v>88.715294117647062</v>
      </c>
      <c r="I507" s="631">
        <v>0</v>
      </c>
      <c r="J507" s="29">
        <v>8000</v>
      </c>
    </row>
    <row r="508" spans="1:10" x14ac:dyDescent="0.2">
      <c r="A508" s="796" t="s">
        <v>1581</v>
      </c>
      <c r="B508" s="731" t="s">
        <v>1981</v>
      </c>
      <c r="C508" s="695">
        <f>620000+230000</f>
        <v>850000</v>
      </c>
      <c r="D508" s="695">
        <f>(620000+230000)-12000</f>
        <v>838000</v>
      </c>
      <c r="E508" s="695">
        <v>742080</v>
      </c>
      <c r="F508" s="695"/>
      <c r="G508" s="1051">
        <f t="shared" si="59"/>
        <v>87.3035294117647</v>
      </c>
      <c r="H508" s="1055">
        <f t="shared" si="57"/>
        <v>88.553699284009539</v>
      </c>
      <c r="I508" s="1056">
        <v>0</v>
      </c>
      <c r="J508" s="29">
        <v>8000</v>
      </c>
    </row>
    <row r="509" spans="1:10" x14ac:dyDescent="0.2">
      <c r="A509" s="796" t="s">
        <v>1584</v>
      </c>
      <c r="B509" s="809" t="s">
        <v>1585</v>
      </c>
      <c r="C509" s="695">
        <v>0</v>
      </c>
      <c r="D509" s="695">
        <v>12000</v>
      </c>
      <c r="E509" s="695">
        <v>12000</v>
      </c>
      <c r="F509" s="695"/>
      <c r="G509" s="1051">
        <v>0</v>
      </c>
      <c r="H509" s="1055">
        <f t="shared" si="57"/>
        <v>100</v>
      </c>
      <c r="I509" s="1056">
        <v>0</v>
      </c>
      <c r="J509" s="29">
        <v>0</v>
      </c>
    </row>
    <row r="510" spans="1:10" x14ac:dyDescent="0.2">
      <c r="A510" s="730">
        <v>3633</v>
      </c>
      <c r="B510" s="797" t="s">
        <v>1317</v>
      </c>
      <c r="C510" s="798">
        <f>SUM(C511:C511)</f>
        <v>10000</v>
      </c>
      <c r="D510" s="798">
        <f>SUM(D511:D511)</f>
        <v>10000</v>
      </c>
      <c r="E510" s="798">
        <v>0</v>
      </c>
      <c r="F510" s="1094"/>
      <c r="G510" s="630">
        <f t="shared" si="59"/>
        <v>0</v>
      </c>
      <c r="H510" s="1052">
        <f t="shared" si="57"/>
        <v>0</v>
      </c>
      <c r="I510" s="631">
        <v>0</v>
      </c>
      <c r="J510" s="29">
        <v>15624121.07</v>
      </c>
    </row>
    <row r="511" spans="1:10" x14ac:dyDescent="0.2">
      <c r="A511" s="796" t="s">
        <v>592</v>
      </c>
      <c r="B511" s="800" t="s">
        <v>593</v>
      </c>
      <c r="C511" s="695">
        <v>10000</v>
      </c>
      <c r="D511" s="695">
        <v>10000</v>
      </c>
      <c r="E511" s="695">
        <v>0</v>
      </c>
      <c r="F511" s="695"/>
      <c r="G511" s="1051">
        <f t="shared" si="59"/>
        <v>0</v>
      </c>
      <c r="H511" s="1055">
        <f t="shared" si="57"/>
        <v>0</v>
      </c>
      <c r="I511" s="1056">
        <v>0</v>
      </c>
      <c r="J511" s="29">
        <v>3200000</v>
      </c>
    </row>
    <row r="512" spans="1:10" ht="15.75" x14ac:dyDescent="0.25">
      <c r="A512" s="621"/>
      <c r="B512" s="819" t="s">
        <v>1587</v>
      </c>
      <c r="C512" s="764">
        <f t="shared" ref="C512:D515" si="60">SUM(C513:C513)</f>
        <v>460000</v>
      </c>
      <c r="D512" s="764">
        <f t="shared" si="60"/>
        <v>47555</v>
      </c>
      <c r="E512" s="764">
        <v>47555</v>
      </c>
      <c r="F512" s="1102"/>
      <c r="G512" s="623">
        <f t="shared" si="59"/>
        <v>10.33804347826087</v>
      </c>
      <c r="H512" s="623">
        <f t="shared" si="57"/>
        <v>100</v>
      </c>
      <c r="I512" s="741">
        <f t="shared" si="58"/>
        <v>105.67777777777778</v>
      </c>
      <c r="J512" s="29">
        <v>45000</v>
      </c>
    </row>
    <row r="513" spans="1:10" x14ac:dyDescent="0.2">
      <c r="A513" s="847" t="s">
        <v>603</v>
      </c>
      <c r="B513" s="848" t="s">
        <v>1588</v>
      </c>
      <c r="C513" s="849">
        <v>460000</v>
      </c>
      <c r="D513" s="849">
        <f>460000-412445</f>
        <v>47555</v>
      </c>
      <c r="E513" s="849">
        <v>47555</v>
      </c>
      <c r="F513" s="849"/>
      <c r="G513" s="1051">
        <f t="shared" si="59"/>
        <v>10.33804347826087</v>
      </c>
      <c r="H513" s="1055">
        <f t="shared" ref="H513:H575" si="61">E513/D513*100</f>
        <v>100</v>
      </c>
      <c r="I513" s="1056">
        <f t="shared" si="58"/>
        <v>105.67777777777778</v>
      </c>
      <c r="J513" s="29">
        <v>45000</v>
      </c>
    </row>
    <row r="514" spans="1:10" ht="12.75" customHeight="1" x14ac:dyDescent="0.2">
      <c r="A514" s="850"/>
      <c r="B514" s="851"/>
      <c r="C514" s="828"/>
      <c r="D514" s="828"/>
      <c r="E514" s="828"/>
      <c r="F514" s="828"/>
      <c r="G514" s="828"/>
      <c r="H514" s="828"/>
      <c r="I514" s="852"/>
    </row>
    <row r="515" spans="1:10" s="85" customFormat="1" ht="20.25" x14ac:dyDescent="0.3">
      <c r="A515" s="853"/>
      <c r="B515" s="854" t="s">
        <v>31</v>
      </c>
      <c r="C515" s="855">
        <f t="shared" si="60"/>
        <v>15000</v>
      </c>
      <c r="D515" s="855">
        <f t="shared" si="60"/>
        <v>15000</v>
      </c>
      <c r="E515" s="855">
        <v>14000</v>
      </c>
      <c r="F515" s="1103"/>
      <c r="G515" s="735">
        <f t="shared" si="59"/>
        <v>93.333333333333329</v>
      </c>
      <c r="H515" s="735">
        <f t="shared" si="61"/>
        <v>93.333333333333329</v>
      </c>
      <c r="I515" s="1083">
        <f t="shared" si="58"/>
        <v>140</v>
      </c>
      <c r="J515" s="1037">
        <v>10000</v>
      </c>
    </row>
    <row r="516" spans="1:10" x14ac:dyDescent="0.2">
      <c r="A516" s="856" t="s">
        <v>1589</v>
      </c>
      <c r="B516" s="688" t="s">
        <v>1590</v>
      </c>
      <c r="C516" s="637">
        <v>15000</v>
      </c>
      <c r="D516" s="637">
        <v>15000</v>
      </c>
      <c r="E516" s="637">
        <v>14000</v>
      </c>
      <c r="F516" s="644"/>
      <c r="G516" s="630">
        <f t="shared" si="59"/>
        <v>93.333333333333329</v>
      </c>
      <c r="H516" s="1052">
        <f t="shared" si="61"/>
        <v>93.333333333333329</v>
      </c>
      <c r="I516" s="631">
        <f t="shared" si="58"/>
        <v>140</v>
      </c>
      <c r="J516" s="29">
        <v>10000</v>
      </c>
    </row>
    <row r="517" spans="1:10" s="244" customFormat="1" ht="12.75" customHeight="1" x14ac:dyDescent="0.25">
      <c r="A517" s="857"/>
      <c r="B517" s="738"/>
      <c r="C517" s="785"/>
      <c r="D517" s="785"/>
      <c r="E517" s="785"/>
      <c r="F517" s="785"/>
      <c r="G517" s="785"/>
      <c r="H517" s="785"/>
      <c r="I517" s="858"/>
      <c r="J517" s="1104"/>
    </row>
    <row r="518" spans="1:10" s="558" customFormat="1" ht="20.25" x14ac:dyDescent="0.3">
      <c r="A518" s="734"/>
      <c r="B518" s="757" t="s">
        <v>608</v>
      </c>
      <c r="C518" s="859">
        <f t="shared" ref="C518:D518" si="62">SUM(C519:C522)</f>
        <v>13200772</v>
      </c>
      <c r="D518" s="859">
        <f t="shared" si="62"/>
        <v>13584681.83</v>
      </c>
      <c r="E518" s="859">
        <v>12914263.4</v>
      </c>
      <c r="F518" s="1084">
        <f>SUM(E519:E522)</f>
        <v>12914263.4</v>
      </c>
      <c r="G518" s="735">
        <f t="shared" si="59"/>
        <v>97.829607238122136</v>
      </c>
      <c r="H518" s="735">
        <f t="shared" si="61"/>
        <v>95.064894133041321</v>
      </c>
      <c r="I518" s="1083">
        <f t="shared" si="58"/>
        <v>108.71688554070535</v>
      </c>
      <c r="J518" s="1037">
        <v>11878801.84</v>
      </c>
    </row>
    <row r="519" spans="1:10" s="98" customFormat="1" ht="24.75" x14ac:dyDescent="0.2">
      <c r="A519" s="660">
        <v>2141</v>
      </c>
      <c r="B519" s="688" t="s">
        <v>1591</v>
      </c>
      <c r="C519" s="637">
        <v>825800</v>
      </c>
      <c r="D519" s="637">
        <f>825800-594.97+145413.26</f>
        <v>970618.29</v>
      </c>
      <c r="E519" s="637">
        <v>966928.38</v>
      </c>
      <c r="F519" s="644"/>
      <c r="G519" s="630">
        <f t="shared" si="59"/>
        <v>117.0898982804553</v>
      </c>
      <c r="H519" s="1052">
        <f t="shared" si="61"/>
        <v>99.619839226396607</v>
      </c>
      <c r="I519" s="639">
        <f t="shared" ref="I519:I581" si="63">E519/J519*100</f>
        <v>129.03262560034642</v>
      </c>
      <c r="J519" s="1037">
        <v>749367.36</v>
      </c>
    </row>
    <row r="520" spans="1:10" s="98" customFormat="1" ht="60.75" x14ac:dyDescent="0.2">
      <c r="A520" s="663">
        <v>2143</v>
      </c>
      <c r="B520" s="634" t="s">
        <v>1592</v>
      </c>
      <c r="C520" s="637">
        <v>11485972</v>
      </c>
      <c r="D520" s="637">
        <f>11485972+(70804.8+217373.47)+33700+(50000+150000)+80000-217373.47</f>
        <v>11870476.799999999</v>
      </c>
      <c r="E520" s="637">
        <v>11229018.25</v>
      </c>
      <c r="F520" s="644"/>
      <c r="G520" s="630">
        <f t="shared" si="59"/>
        <v>97.762890680910601</v>
      </c>
      <c r="H520" s="1052">
        <f t="shared" si="61"/>
        <v>94.596185470831301</v>
      </c>
      <c r="I520" s="639">
        <f t="shared" si="63"/>
        <v>106.96000530148895</v>
      </c>
      <c r="J520" s="1037">
        <v>10498333.67</v>
      </c>
    </row>
    <row r="521" spans="1:10" s="98" customFormat="1" ht="24.75" x14ac:dyDescent="0.2">
      <c r="A521" s="663">
        <v>3399</v>
      </c>
      <c r="B521" s="634" t="s">
        <v>1593</v>
      </c>
      <c r="C521" s="637">
        <v>174000</v>
      </c>
      <c r="D521" s="637">
        <f>174000-145413.26</f>
        <v>28586.739999999991</v>
      </c>
      <c r="E521" s="637">
        <v>28586.74</v>
      </c>
      <c r="F521" s="644"/>
      <c r="G521" s="630">
        <f t="shared" si="59"/>
        <v>16.42916091954023</v>
      </c>
      <c r="H521" s="1052">
        <f t="shared" si="61"/>
        <v>100.00000000000004</v>
      </c>
      <c r="I521" s="639">
        <f t="shared" si="63"/>
        <v>100.45877540176673</v>
      </c>
      <c r="J521" s="1037">
        <v>28456.19</v>
      </c>
    </row>
    <row r="522" spans="1:10" s="98" customFormat="1" ht="24.75" x14ac:dyDescent="0.2">
      <c r="A522" s="663">
        <v>6223</v>
      </c>
      <c r="B522" s="634" t="s">
        <v>1594</v>
      </c>
      <c r="C522" s="637">
        <v>715000</v>
      </c>
      <c r="D522" s="637">
        <v>715000</v>
      </c>
      <c r="E522" s="637">
        <v>689730.03</v>
      </c>
      <c r="F522" s="644"/>
      <c r="G522" s="630">
        <f t="shared" si="59"/>
        <v>96.465738461538464</v>
      </c>
      <c r="H522" s="1052">
        <f t="shared" si="61"/>
        <v>96.465738461538464</v>
      </c>
      <c r="I522" s="639">
        <f t="shared" si="63"/>
        <v>114.45054134889648</v>
      </c>
      <c r="J522" s="1037">
        <v>602644.62</v>
      </c>
    </row>
    <row r="523" spans="1:10" s="98" customFormat="1" x14ac:dyDescent="0.2">
      <c r="A523" s="861"/>
      <c r="B523" s="862"/>
      <c r="C523" s="785"/>
      <c r="D523" s="785"/>
      <c r="E523" s="785"/>
      <c r="F523" s="785"/>
      <c r="G523" s="785"/>
      <c r="H523" s="785"/>
      <c r="I523" s="863"/>
      <c r="J523" s="29"/>
    </row>
    <row r="524" spans="1:10" s="558" customFormat="1" ht="20.25" x14ac:dyDescent="0.3">
      <c r="A524" s="864"/>
      <c r="B524" s="865" t="s">
        <v>33</v>
      </c>
      <c r="C524" s="866">
        <f>SUM(C525,C526)</f>
        <v>10220291</v>
      </c>
      <c r="D524" s="866">
        <f>SUM(D525,D526)</f>
        <v>10451291</v>
      </c>
      <c r="E524" s="866">
        <v>10297235.539999999</v>
      </c>
      <c r="F524" s="1105">
        <f>SUM(E525:E526)</f>
        <v>10297235.539999999</v>
      </c>
      <c r="G524" s="735">
        <f t="shared" si="59"/>
        <v>100.75286055944981</v>
      </c>
      <c r="H524" s="735">
        <f t="shared" si="61"/>
        <v>98.525967174772944</v>
      </c>
      <c r="I524" s="1083">
        <f t="shared" si="63"/>
        <v>113.89964634476549</v>
      </c>
      <c r="J524" s="29">
        <v>9040621.1699999999</v>
      </c>
    </row>
    <row r="525" spans="1:10" s="98" customFormat="1" ht="24.75" x14ac:dyDescent="0.2">
      <c r="A525" s="663">
        <v>2223</v>
      </c>
      <c r="B525" s="634" t="s">
        <v>1595</v>
      </c>
      <c r="C525" s="687">
        <v>80000</v>
      </c>
      <c r="D525" s="687">
        <f>80000+200</f>
        <v>80200</v>
      </c>
      <c r="E525" s="687">
        <v>80191.509999999995</v>
      </c>
      <c r="F525" s="1089"/>
      <c r="G525" s="630">
        <f t="shared" si="59"/>
        <v>100.23938749999999</v>
      </c>
      <c r="H525" s="1052">
        <f t="shared" si="61"/>
        <v>99.989413965087266</v>
      </c>
      <c r="I525" s="639">
        <f t="shared" si="63"/>
        <v>115.56109916869339</v>
      </c>
      <c r="J525" s="1037">
        <v>69393.17</v>
      </c>
    </row>
    <row r="526" spans="1:10" s="98" customFormat="1" x14ac:dyDescent="0.2">
      <c r="A526" s="663">
        <v>2292</v>
      </c>
      <c r="B526" s="629" t="s">
        <v>1596</v>
      </c>
      <c r="C526" s="637">
        <f>SUM(C527:C531)</f>
        <v>10140291</v>
      </c>
      <c r="D526" s="637">
        <f>SUM(D527:D531)</f>
        <v>10371091</v>
      </c>
      <c r="E526" s="637">
        <v>10217044.029999999</v>
      </c>
      <c r="F526" s="644">
        <f>SUM(E527:E531)</f>
        <v>10217044.029999999</v>
      </c>
      <c r="G526" s="630">
        <f t="shared" si="59"/>
        <v>100.75691151269722</v>
      </c>
      <c r="H526" s="1052">
        <f t="shared" si="61"/>
        <v>98.514650290890316</v>
      </c>
      <c r="I526" s="631">
        <f t="shared" si="63"/>
        <v>113.88679487356693</v>
      </c>
      <c r="J526" s="29">
        <v>8971228</v>
      </c>
    </row>
    <row r="527" spans="1:10" s="98" customFormat="1" x14ac:dyDescent="0.2">
      <c r="A527" s="663"/>
      <c r="B527" s="643" t="s">
        <v>617</v>
      </c>
      <c r="C527" s="644">
        <v>2078191</v>
      </c>
      <c r="D527" s="644">
        <v>2078191</v>
      </c>
      <c r="E527" s="644">
        <v>2078191</v>
      </c>
      <c r="F527" s="644"/>
      <c r="G527" s="1051">
        <f t="shared" si="59"/>
        <v>100</v>
      </c>
      <c r="H527" s="1055">
        <f t="shared" si="61"/>
        <v>100</v>
      </c>
      <c r="I527" s="1056">
        <f t="shared" si="63"/>
        <v>96.612099948537164</v>
      </c>
      <c r="J527" s="29">
        <v>2151067</v>
      </c>
    </row>
    <row r="528" spans="1:10" s="98" customFormat="1" x14ac:dyDescent="0.2">
      <c r="A528" s="663"/>
      <c r="B528" s="643" t="s">
        <v>1597</v>
      </c>
      <c r="C528" s="644">
        <v>7500000</v>
      </c>
      <c r="D528" s="644">
        <f>7500000+231000-30000</f>
        <v>7701000</v>
      </c>
      <c r="E528" s="644">
        <v>7638000</v>
      </c>
      <c r="F528" s="644"/>
      <c r="G528" s="1051">
        <f t="shared" si="59"/>
        <v>101.84</v>
      </c>
      <c r="H528" s="1055">
        <f t="shared" si="61"/>
        <v>99.181924425399302</v>
      </c>
      <c r="I528" s="1056">
        <f t="shared" si="63"/>
        <v>123.63224344448041</v>
      </c>
      <c r="J528" s="29">
        <v>6178000</v>
      </c>
    </row>
    <row r="529" spans="1:10" s="98" customFormat="1" x14ac:dyDescent="0.2">
      <c r="A529" s="663"/>
      <c r="B529" s="650" t="s">
        <v>1598</v>
      </c>
      <c r="C529" s="644">
        <v>150000</v>
      </c>
      <c r="D529" s="644">
        <f>150000+30000</f>
        <v>180000</v>
      </c>
      <c r="E529" s="644">
        <v>177792</v>
      </c>
      <c r="F529" s="644"/>
      <c r="G529" s="1051">
        <f t="shared" si="59"/>
        <v>118.52799999999999</v>
      </c>
      <c r="H529" s="1055">
        <f t="shared" si="61"/>
        <v>98.773333333333341</v>
      </c>
      <c r="I529" s="1056">
        <f t="shared" si="63"/>
        <v>223.67149758454107</v>
      </c>
      <c r="J529" s="88">
        <v>79488</v>
      </c>
    </row>
    <row r="530" spans="1:10" s="98" customFormat="1" x14ac:dyDescent="0.2">
      <c r="A530" s="710"/>
      <c r="B530" s="867" t="s">
        <v>1599</v>
      </c>
      <c r="C530" s="652">
        <v>400000</v>
      </c>
      <c r="D530" s="652">
        <v>400000</v>
      </c>
      <c r="E530" s="652">
        <v>315402</v>
      </c>
      <c r="F530" s="652"/>
      <c r="G530" s="1051">
        <f t="shared" si="59"/>
        <v>78.850499999999997</v>
      </c>
      <c r="H530" s="1055">
        <f t="shared" si="61"/>
        <v>78.850499999999997</v>
      </c>
      <c r="I530" s="1056">
        <f t="shared" si="63"/>
        <v>96.452916046128294</v>
      </c>
      <c r="J530" s="29">
        <v>327001</v>
      </c>
    </row>
    <row r="531" spans="1:10" s="98" customFormat="1" x14ac:dyDescent="0.2">
      <c r="A531" s="729"/>
      <c r="B531" s="868" t="s">
        <v>1600</v>
      </c>
      <c r="C531" s="678">
        <v>12100</v>
      </c>
      <c r="D531" s="678">
        <f>12100-200</f>
        <v>11900</v>
      </c>
      <c r="E531" s="678">
        <v>7659.03</v>
      </c>
      <c r="F531" s="678"/>
      <c r="G531" s="1051">
        <f t="shared" si="59"/>
        <v>63.297768595041312</v>
      </c>
      <c r="H531" s="1055">
        <f t="shared" si="61"/>
        <v>64.361596638655456</v>
      </c>
      <c r="I531" s="1056">
        <v>0</v>
      </c>
      <c r="J531" s="29">
        <v>0</v>
      </c>
    </row>
    <row r="532" spans="1:10" s="98" customFormat="1" x14ac:dyDescent="0.2">
      <c r="A532" s="863"/>
      <c r="B532" s="868"/>
      <c r="C532" s="682"/>
      <c r="D532" s="682"/>
      <c r="E532" s="682"/>
      <c r="F532" s="682"/>
      <c r="G532" s="682"/>
      <c r="H532" s="682"/>
      <c r="I532" s="870"/>
      <c r="J532" s="29"/>
    </row>
    <row r="533" spans="1:10" s="558" customFormat="1" ht="20.25" x14ac:dyDescent="0.3">
      <c r="A533" s="734"/>
      <c r="B533" s="757" t="s">
        <v>34</v>
      </c>
      <c r="C533" s="871">
        <f>SUM(C534:C535)</f>
        <v>162000</v>
      </c>
      <c r="D533" s="871">
        <f>SUM(D534:D535)</f>
        <v>162000</v>
      </c>
      <c r="E533" s="871">
        <v>72093</v>
      </c>
      <c r="F533" s="1068">
        <f>SUM(E534:E535)</f>
        <v>72093</v>
      </c>
      <c r="G533" s="735">
        <f t="shared" si="59"/>
        <v>44.501851851851853</v>
      </c>
      <c r="H533" s="735">
        <f t="shared" si="61"/>
        <v>44.501851851851853</v>
      </c>
      <c r="I533" s="1083">
        <f t="shared" si="63"/>
        <v>67.489488029890737</v>
      </c>
      <c r="J533" s="29">
        <v>106821.08</v>
      </c>
    </row>
    <row r="534" spans="1:10" s="98" customFormat="1" ht="12.75" customHeight="1" x14ac:dyDescent="0.2">
      <c r="A534" s="663">
        <v>2223</v>
      </c>
      <c r="B534" s="629" t="s">
        <v>1601</v>
      </c>
      <c r="C534" s="637">
        <v>150000</v>
      </c>
      <c r="D534" s="637">
        <v>150000</v>
      </c>
      <c r="E534" s="637">
        <v>68339</v>
      </c>
      <c r="F534" s="644"/>
      <c r="G534" s="630">
        <f t="shared" si="59"/>
        <v>45.559333333333335</v>
      </c>
      <c r="H534" s="1052">
        <f t="shared" si="61"/>
        <v>45.559333333333335</v>
      </c>
      <c r="I534" s="631">
        <f t="shared" si="63"/>
        <v>65.641728848242636</v>
      </c>
      <c r="J534" s="29">
        <v>104109.08</v>
      </c>
    </row>
    <row r="535" spans="1:10" s="98" customFormat="1" x14ac:dyDescent="0.2">
      <c r="A535" s="663">
        <v>6171</v>
      </c>
      <c r="B535" s="629" t="s">
        <v>1602</v>
      </c>
      <c r="C535" s="637">
        <v>12000</v>
      </c>
      <c r="D535" s="637">
        <v>12000</v>
      </c>
      <c r="E535" s="637">
        <v>3754</v>
      </c>
      <c r="F535" s="644"/>
      <c r="G535" s="630">
        <f t="shared" si="59"/>
        <v>31.283333333333335</v>
      </c>
      <c r="H535" s="1052">
        <f t="shared" si="61"/>
        <v>31.283333333333335</v>
      </c>
      <c r="I535" s="631">
        <f t="shared" si="63"/>
        <v>138.42182890855457</v>
      </c>
      <c r="J535" s="29">
        <v>2712</v>
      </c>
    </row>
    <row r="536" spans="1:10" s="98" customFormat="1" x14ac:dyDescent="0.2">
      <c r="A536" s="1106"/>
      <c r="B536" s="1107"/>
      <c r="C536" s="1108"/>
      <c r="D536" s="1108"/>
      <c r="E536" s="1108"/>
      <c r="F536" s="1108"/>
      <c r="G536" s="1108"/>
      <c r="H536" s="1108"/>
      <c r="I536" s="583"/>
      <c r="J536" s="29"/>
    </row>
    <row r="537" spans="1:10" s="558" customFormat="1" ht="20.25" x14ac:dyDescent="0.3">
      <c r="A537" s="853"/>
      <c r="B537" s="1109" t="s">
        <v>624</v>
      </c>
      <c r="C537" s="871">
        <f>SUM(C538:C538)</f>
        <v>250000</v>
      </c>
      <c r="D537" s="871">
        <f>SUM(D538:D538)</f>
        <v>1114200</v>
      </c>
      <c r="E537" s="871">
        <v>988812.64</v>
      </c>
      <c r="F537" s="1110"/>
      <c r="G537" s="735">
        <f t="shared" si="59"/>
        <v>395.52505600000001</v>
      </c>
      <c r="H537" s="735">
        <f t="shared" si="61"/>
        <v>88.746422545323995</v>
      </c>
      <c r="I537" s="1111">
        <v>0</v>
      </c>
      <c r="J537" s="29">
        <v>1079705.4099999999</v>
      </c>
    </row>
    <row r="538" spans="1:10" s="98" customFormat="1" x14ac:dyDescent="0.2">
      <c r="A538" s="660">
        <v>6118</v>
      </c>
      <c r="B538" s="626" t="s">
        <v>1604</v>
      </c>
      <c r="C538" s="637">
        <v>250000</v>
      </c>
      <c r="D538" s="637">
        <f>250000+864200</f>
        <v>1114200</v>
      </c>
      <c r="E538" s="637">
        <v>988812.64</v>
      </c>
      <c r="F538" s="644"/>
      <c r="G538" s="632">
        <f t="shared" si="59"/>
        <v>395.52505600000001</v>
      </c>
      <c r="H538" s="1112">
        <f t="shared" si="61"/>
        <v>88.746422545323995</v>
      </c>
      <c r="I538" s="631">
        <v>0</v>
      </c>
      <c r="J538" s="29">
        <v>0</v>
      </c>
    </row>
    <row r="539" spans="1:10" s="98" customFormat="1" x14ac:dyDescent="0.2">
      <c r="A539" s="732"/>
      <c r="B539" s="629"/>
      <c r="C539" s="873"/>
      <c r="D539" s="873"/>
      <c r="E539" s="873"/>
      <c r="F539" s="739"/>
      <c r="G539" s="873"/>
      <c r="H539" s="873"/>
      <c r="I539" s="874"/>
      <c r="J539" s="29"/>
    </row>
    <row r="540" spans="1:10" s="875" customFormat="1" ht="20.25" x14ac:dyDescent="0.3">
      <c r="A540" s="853"/>
      <c r="B540" s="876" t="s">
        <v>36</v>
      </c>
      <c r="C540" s="871">
        <f>C541+C594+C618</f>
        <v>117668120</v>
      </c>
      <c r="D540" s="871">
        <f>D541+D594+D618</f>
        <v>133072098.18000001</v>
      </c>
      <c r="E540" s="871">
        <v>131209994.77</v>
      </c>
      <c r="F540" s="1068">
        <f>SUM(E541,E594,E618)</f>
        <v>131209994.77000001</v>
      </c>
      <c r="G540" s="735">
        <f t="shared" si="59"/>
        <v>111.50853329686919</v>
      </c>
      <c r="H540" s="735">
        <f t="shared" si="61"/>
        <v>98.600680807270933</v>
      </c>
      <c r="I540" s="1083">
        <f t="shared" si="63"/>
        <v>75.550182050386411</v>
      </c>
      <c r="J540" s="1113">
        <v>173672638.78</v>
      </c>
    </row>
    <row r="541" spans="1:10" s="877" customFormat="1" ht="16.5" customHeight="1" x14ac:dyDescent="0.25">
      <c r="A541" s="802"/>
      <c r="B541" s="878" t="s">
        <v>627</v>
      </c>
      <c r="C541" s="702">
        <f>SUM(C542,C562,C593,C588)</f>
        <v>48246000</v>
      </c>
      <c r="D541" s="702">
        <f>SUM(D542,D562,D593,D588)</f>
        <v>62304341.450000003</v>
      </c>
      <c r="E541" s="702">
        <v>62304341.450000003</v>
      </c>
      <c r="F541" s="1114">
        <f>SUM(E542,E562,E588,E593)</f>
        <v>62304341.449999996</v>
      </c>
      <c r="G541" s="623">
        <f t="shared" si="59"/>
        <v>129.13887462173031</v>
      </c>
      <c r="H541" s="623">
        <f t="shared" si="61"/>
        <v>100</v>
      </c>
      <c r="I541" s="741">
        <f t="shared" si="63"/>
        <v>67.73814235856436</v>
      </c>
      <c r="J541" s="1113">
        <v>91978225.680000007</v>
      </c>
    </row>
    <row r="542" spans="1:10" s="877" customFormat="1" x14ac:dyDescent="0.2">
      <c r="A542" s="793">
        <v>3111</v>
      </c>
      <c r="B542" s="880" t="s">
        <v>628</v>
      </c>
      <c r="C542" s="807">
        <f>SUM(C543:C545)</f>
        <v>11238000</v>
      </c>
      <c r="D542" s="807">
        <f>SUM(D543:D545)</f>
        <v>11381615.329999998</v>
      </c>
      <c r="E542" s="807">
        <v>11381615.33</v>
      </c>
      <c r="F542" s="808">
        <f>SUM(E543:E545)</f>
        <v>11381615.329999998</v>
      </c>
      <c r="G542" s="630">
        <f t="shared" si="59"/>
        <v>101.27794385121909</v>
      </c>
      <c r="H542" s="1052">
        <f t="shared" si="61"/>
        <v>100.00000000000003</v>
      </c>
      <c r="I542" s="631">
        <f t="shared" si="63"/>
        <v>84.315170426312761</v>
      </c>
      <c r="J542" s="1113">
        <v>13498893.82</v>
      </c>
    </row>
    <row r="543" spans="1:10" s="877" customFormat="1" ht="12.75" customHeight="1" x14ac:dyDescent="0.2">
      <c r="A543" s="832"/>
      <c r="B543" s="881" t="s">
        <v>629</v>
      </c>
      <c r="C543" s="695">
        <f t="shared" ref="C543:D545" si="64">+C548+C553+C558</f>
        <v>8640000</v>
      </c>
      <c r="D543" s="695">
        <f t="shared" si="64"/>
        <v>8795725.7899999991</v>
      </c>
      <c r="E543" s="695">
        <f t="shared" ref="E543:E545" si="65">SUM(E548,E553,E558)</f>
        <v>8795725.7899999991</v>
      </c>
      <c r="F543" s="695"/>
      <c r="G543" s="1051">
        <f t="shared" si="59"/>
        <v>101.80238182870369</v>
      </c>
      <c r="H543" s="1055">
        <f t="shared" si="61"/>
        <v>100</v>
      </c>
      <c r="I543" s="1056">
        <f t="shared" si="63"/>
        <v>89.38879077992749</v>
      </c>
      <c r="J543" s="1113">
        <v>9839853.1999999993</v>
      </c>
    </row>
    <row r="544" spans="1:10" s="877" customFormat="1" ht="12.75" customHeight="1" x14ac:dyDescent="0.2">
      <c r="A544" s="832"/>
      <c r="B544" s="881" t="s">
        <v>1605</v>
      </c>
      <c r="C544" s="695">
        <f t="shared" si="64"/>
        <v>2001000</v>
      </c>
      <c r="D544" s="695">
        <f t="shared" si="64"/>
        <v>2059074</v>
      </c>
      <c r="E544" s="695">
        <f t="shared" si="65"/>
        <v>2059074</v>
      </c>
      <c r="F544" s="695"/>
      <c r="G544" s="1051">
        <f t="shared" si="59"/>
        <v>102.90224887556224</v>
      </c>
      <c r="H544" s="1055">
        <f t="shared" si="61"/>
        <v>100</v>
      </c>
      <c r="I544" s="1056">
        <f t="shared" si="63"/>
        <v>69.697790814463247</v>
      </c>
      <c r="J544" s="1113">
        <v>2954288.76</v>
      </c>
    </row>
    <row r="545" spans="1:10" s="882" customFormat="1" ht="12.75" customHeight="1" x14ac:dyDescent="0.25">
      <c r="A545" s="832"/>
      <c r="B545" s="881" t="s">
        <v>1606</v>
      </c>
      <c r="C545" s="695">
        <f t="shared" si="64"/>
        <v>597000</v>
      </c>
      <c r="D545" s="695">
        <f t="shared" si="64"/>
        <v>526815.54</v>
      </c>
      <c r="E545" s="695">
        <f t="shared" si="65"/>
        <v>526815.54</v>
      </c>
      <c r="F545" s="695"/>
      <c r="G545" s="1051">
        <f t="shared" si="59"/>
        <v>88.243809045226143</v>
      </c>
      <c r="H545" s="1055">
        <f t="shared" si="61"/>
        <v>100</v>
      </c>
      <c r="I545" s="1056">
        <v>0</v>
      </c>
      <c r="J545" s="1113">
        <v>704751.86</v>
      </c>
    </row>
    <row r="546" spans="1:10" s="877" customFormat="1" ht="12.75" customHeight="1" x14ac:dyDescent="0.2">
      <c r="A546" s="832"/>
      <c r="B546" s="881"/>
      <c r="C546" s="695"/>
      <c r="D546" s="695"/>
      <c r="E546" s="695"/>
      <c r="F546" s="695"/>
      <c r="G546" s="695"/>
      <c r="H546" s="695"/>
      <c r="I546" s="1056"/>
      <c r="J546" s="1113"/>
    </row>
    <row r="547" spans="1:10" s="882" customFormat="1" ht="12.75" customHeight="1" x14ac:dyDescent="0.25">
      <c r="A547" s="832"/>
      <c r="B547" s="884" t="s">
        <v>1607</v>
      </c>
      <c r="C547" s="798">
        <f>C548+C549+C550</f>
        <v>4061000</v>
      </c>
      <c r="D547" s="798">
        <f>D548+D549+D550</f>
        <v>4179074</v>
      </c>
      <c r="E547" s="798">
        <v>4179074</v>
      </c>
      <c r="F547" s="695">
        <f>SUM(E548:E550)</f>
        <v>4179074</v>
      </c>
      <c r="G547" s="630">
        <f t="shared" si="59"/>
        <v>102.90751046540261</v>
      </c>
      <c r="H547" s="1052">
        <f t="shared" si="61"/>
        <v>100</v>
      </c>
      <c r="I547" s="631">
        <f t="shared" si="63"/>
        <v>113.18155880123379</v>
      </c>
      <c r="J547" s="1113">
        <v>3692363</v>
      </c>
    </row>
    <row r="548" spans="1:10" s="877" customFormat="1" ht="12.75" customHeight="1" x14ac:dyDescent="0.2">
      <c r="A548" s="832"/>
      <c r="B548" s="884" t="s">
        <v>1608</v>
      </c>
      <c r="C548" s="816">
        <v>2815000</v>
      </c>
      <c r="D548" s="816">
        <f>2815000+60000</f>
        <v>2875000</v>
      </c>
      <c r="E548" s="816">
        <v>2875000</v>
      </c>
      <c r="F548" s="816"/>
      <c r="G548" s="1051">
        <f t="shared" si="59"/>
        <v>102.13143872113677</v>
      </c>
      <c r="H548" s="1055">
        <f t="shared" si="61"/>
        <v>100</v>
      </c>
      <c r="I548" s="1056">
        <f t="shared" si="63"/>
        <v>94.494006779246547</v>
      </c>
      <c r="J548" s="1113">
        <v>3042521</v>
      </c>
    </row>
    <row r="549" spans="1:10" s="885" customFormat="1" ht="36.75" x14ac:dyDescent="0.2">
      <c r="A549" s="832" t="s">
        <v>634</v>
      </c>
      <c r="B549" s="884" t="s">
        <v>1609</v>
      </c>
      <c r="C549" s="816">
        <v>1246000</v>
      </c>
      <c r="D549" s="816">
        <f>1246000+58074</f>
        <v>1304074</v>
      </c>
      <c r="E549" s="816">
        <v>1304074</v>
      </c>
      <c r="F549" s="816"/>
      <c r="G549" s="1051">
        <f t="shared" si="59"/>
        <v>104.66083467094703</v>
      </c>
      <c r="H549" s="1055">
        <f t="shared" si="61"/>
        <v>100</v>
      </c>
      <c r="I549" s="670">
        <v>0</v>
      </c>
      <c r="J549" s="1115">
        <v>126842</v>
      </c>
    </row>
    <row r="550" spans="1:10" s="885" customFormat="1" ht="15.75" customHeight="1" x14ac:dyDescent="0.2">
      <c r="A550" s="832"/>
      <c r="B550" s="884" t="s">
        <v>1610</v>
      </c>
      <c r="C550" s="816">
        <v>0</v>
      </c>
      <c r="D550" s="816">
        <v>0</v>
      </c>
      <c r="E550" s="816">
        <v>0</v>
      </c>
      <c r="F550" s="816"/>
      <c r="G550" s="1051">
        <v>0</v>
      </c>
      <c r="H550" s="1055">
        <v>0</v>
      </c>
      <c r="I550" s="1056">
        <v>0</v>
      </c>
      <c r="J550" s="1113">
        <v>483000</v>
      </c>
    </row>
    <row r="551" spans="1:10" s="885" customFormat="1" x14ac:dyDescent="0.2">
      <c r="A551" s="832"/>
      <c r="B551" s="884"/>
      <c r="C551" s="695"/>
      <c r="D551" s="695"/>
      <c r="E551" s="695"/>
      <c r="F551" s="695"/>
      <c r="G551" s="695"/>
      <c r="H551" s="695"/>
      <c r="I551" s="1056"/>
      <c r="J551" s="1113"/>
    </row>
    <row r="552" spans="1:10" s="885" customFormat="1" x14ac:dyDescent="0.2">
      <c r="A552" s="832"/>
      <c r="B552" s="886" t="s">
        <v>1611</v>
      </c>
      <c r="C552" s="798">
        <f>SUM(C553:C555)</f>
        <v>3456000</v>
      </c>
      <c r="D552" s="798">
        <f>SUM(D553:D555)</f>
        <v>3512863.33</v>
      </c>
      <c r="E552" s="798">
        <v>3512863.33</v>
      </c>
      <c r="F552" s="695">
        <f>SUM(E553:E555)</f>
        <v>3512863.33</v>
      </c>
      <c r="G552" s="630">
        <f t="shared" si="59"/>
        <v>101.64535098379631</v>
      </c>
      <c r="H552" s="1052">
        <f t="shared" si="61"/>
        <v>100</v>
      </c>
      <c r="I552" s="631">
        <f t="shared" si="63"/>
        <v>63.465333535678738</v>
      </c>
      <c r="J552" s="1113">
        <v>5535090</v>
      </c>
    </row>
    <row r="553" spans="1:10" s="885" customFormat="1" ht="12.75" customHeight="1" x14ac:dyDescent="0.2">
      <c r="A553" s="832"/>
      <c r="B553" s="884" t="s">
        <v>1612</v>
      </c>
      <c r="C553" s="816">
        <v>3179000</v>
      </c>
      <c r="D553" s="816">
        <f>3179000-3074.21+60000</f>
        <v>3235925.79</v>
      </c>
      <c r="E553" s="816">
        <v>3235925.79</v>
      </c>
      <c r="F553" s="816"/>
      <c r="G553" s="1051">
        <f t="shared" si="59"/>
        <v>101.79068229002833</v>
      </c>
      <c r="H553" s="1055">
        <f t="shared" si="61"/>
        <v>100</v>
      </c>
      <c r="I553" s="1056">
        <f t="shared" si="63"/>
        <v>82.536136276509538</v>
      </c>
      <c r="J553" s="1113">
        <v>3920617</v>
      </c>
    </row>
    <row r="554" spans="1:10" s="885" customFormat="1" ht="24.75" x14ac:dyDescent="0.2">
      <c r="A554" s="832"/>
      <c r="B554" s="884" t="s">
        <v>1613</v>
      </c>
      <c r="C554" s="816">
        <v>0</v>
      </c>
      <c r="D554" s="816">
        <v>0</v>
      </c>
      <c r="E554" s="816">
        <v>0</v>
      </c>
      <c r="F554" s="816"/>
      <c r="G554" s="1051">
        <v>0</v>
      </c>
      <c r="H554" s="1055">
        <v>0</v>
      </c>
      <c r="I554" s="670">
        <f t="shared" si="63"/>
        <v>0</v>
      </c>
      <c r="J554" s="1113">
        <v>1614473</v>
      </c>
    </row>
    <row r="555" spans="1:10" s="885" customFormat="1" ht="13.5" customHeight="1" x14ac:dyDescent="0.2">
      <c r="A555" s="832"/>
      <c r="B555" s="884" t="s">
        <v>1614</v>
      </c>
      <c r="C555" s="816">
        <v>277000</v>
      </c>
      <c r="D555" s="816">
        <f>277000-62.46</f>
        <v>276937.53999999998</v>
      </c>
      <c r="E555" s="816">
        <v>276937.53999999998</v>
      </c>
      <c r="F555" s="816"/>
      <c r="G555" s="1051">
        <f t="shared" si="59"/>
        <v>99.977451263537901</v>
      </c>
      <c r="H555" s="1055">
        <f t="shared" si="61"/>
        <v>100</v>
      </c>
      <c r="I555" s="1056">
        <v>0</v>
      </c>
      <c r="J555" s="1113">
        <v>0</v>
      </c>
    </row>
    <row r="556" spans="1:10" s="885" customFormat="1" ht="12.75" customHeight="1" x14ac:dyDescent="0.2">
      <c r="A556" s="832"/>
      <c r="B556" s="884"/>
      <c r="C556" s="816"/>
      <c r="D556" s="816"/>
      <c r="E556" s="816"/>
      <c r="F556" s="816"/>
      <c r="G556" s="816"/>
      <c r="H556" s="816"/>
      <c r="I556" s="1056"/>
      <c r="J556" s="1113"/>
    </row>
    <row r="557" spans="1:10" s="885" customFormat="1" ht="12.75" customHeight="1" x14ac:dyDescent="0.2">
      <c r="A557" s="832"/>
      <c r="B557" s="884" t="s">
        <v>1615</v>
      </c>
      <c r="C557" s="798">
        <f>SUM(C558:C560)</f>
        <v>3721000</v>
      </c>
      <c r="D557" s="798">
        <f>SUM(D558:D560)</f>
        <v>3689678</v>
      </c>
      <c r="E557" s="798">
        <v>3689678</v>
      </c>
      <c r="F557" s="695">
        <f>SUM(E558:E560)</f>
        <v>3689678</v>
      </c>
      <c r="G557" s="630">
        <f t="shared" si="59"/>
        <v>99.158237033055627</v>
      </c>
      <c r="H557" s="1052">
        <f t="shared" si="61"/>
        <v>100</v>
      </c>
      <c r="I557" s="631">
        <f t="shared" si="63"/>
        <v>85.578769465749033</v>
      </c>
      <c r="J557" s="1113">
        <v>4311440.82</v>
      </c>
    </row>
    <row r="558" spans="1:10" s="885" customFormat="1" ht="12.75" customHeight="1" x14ac:dyDescent="0.2">
      <c r="A558" s="832"/>
      <c r="B558" s="884" t="s">
        <v>1616</v>
      </c>
      <c r="C558" s="816">
        <v>2646000</v>
      </c>
      <c r="D558" s="816">
        <f>2646000+38800</f>
        <v>2684800</v>
      </c>
      <c r="E558" s="816">
        <v>2684800</v>
      </c>
      <c r="F558" s="816"/>
      <c r="G558" s="1051">
        <f t="shared" si="59"/>
        <v>101.46636432350718</v>
      </c>
      <c r="H558" s="1055">
        <f t="shared" si="61"/>
        <v>100</v>
      </c>
      <c r="I558" s="1056">
        <f t="shared" si="63"/>
        <v>93.328668753862047</v>
      </c>
      <c r="J558" s="1113">
        <v>2876715.2</v>
      </c>
    </row>
    <row r="559" spans="1:10" s="885" customFormat="1" ht="44.25" customHeight="1" x14ac:dyDescent="0.2">
      <c r="A559" s="832"/>
      <c r="B559" s="884" t="s">
        <v>1617</v>
      </c>
      <c r="C559" s="816">
        <v>755000</v>
      </c>
      <c r="D559" s="816">
        <v>755000</v>
      </c>
      <c r="E559" s="816">
        <v>755000</v>
      </c>
      <c r="F559" s="816"/>
      <c r="G559" s="1051">
        <f t="shared" si="59"/>
        <v>100</v>
      </c>
      <c r="H559" s="1055">
        <f t="shared" si="61"/>
        <v>100</v>
      </c>
      <c r="I559" s="670">
        <v>0</v>
      </c>
      <c r="J559" s="1115">
        <v>1212973.76</v>
      </c>
    </row>
    <row r="560" spans="1:10" s="885" customFormat="1" ht="38.25" customHeight="1" x14ac:dyDescent="0.2">
      <c r="A560" s="832"/>
      <c r="B560" s="884" t="s">
        <v>1618</v>
      </c>
      <c r="C560" s="816">
        <v>320000</v>
      </c>
      <c r="D560" s="816">
        <f>320000-70122</f>
        <v>249878</v>
      </c>
      <c r="E560" s="816">
        <v>249878</v>
      </c>
      <c r="F560" s="816"/>
      <c r="G560" s="1051">
        <f t="shared" si="59"/>
        <v>78.086875000000006</v>
      </c>
      <c r="H560" s="1055">
        <f t="shared" si="61"/>
        <v>100</v>
      </c>
      <c r="I560" s="670">
        <v>0</v>
      </c>
      <c r="J560" s="1115">
        <v>221751.86</v>
      </c>
    </row>
    <row r="561" spans="1:10" s="885" customFormat="1" ht="12.75" customHeight="1" x14ac:dyDescent="0.2">
      <c r="A561" s="832"/>
      <c r="B561" s="884"/>
      <c r="C561" s="816"/>
      <c r="D561" s="816"/>
      <c r="E561" s="816"/>
      <c r="F561" s="816"/>
      <c r="G561" s="816"/>
      <c r="H561" s="816"/>
      <c r="I561" s="1056"/>
      <c r="J561" s="1113"/>
    </row>
    <row r="562" spans="1:10" s="885" customFormat="1" x14ac:dyDescent="0.2">
      <c r="A562" s="730">
        <v>3113</v>
      </c>
      <c r="B562" s="888" t="s">
        <v>644</v>
      </c>
      <c r="C562" s="798">
        <f>SUM(C563:C566)</f>
        <v>34258000</v>
      </c>
      <c r="D562" s="798">
        <f>SUM(D563:D566)</f>
        <v>45416146.120000005</v>
      </c>
      <c r="E562" s="798">
        <v>45416146.119999997</v>
      </c>
      <c r="F562" s="695">
        <f>SUM(E563:E566)</f>
        <v>45416146.120000005</v>
      </c>
      <c r="G562" s="630">
        <f t="shared" ref="G562:G625" si="66">E562/C562*100</f>
        <v>132.57092101115066</v>
      </c>
      <c r="H562" s="1052">
        <f t="shared" si="61"/>
        <v>99.999999999999986</v>
      </c>
      <c r="I562" s="631">
        <f t="shared" si="63"/>
        <v>81.497560751365</v>
      </c>
      <c r="J562" s="1113">
        <v>55727000.539999999</v>
      </c>
    </row>
    <row r="563" spans="1:10" s="885" customFormat="1" ht="12.75" customHeight="1" x14ac:dyDescent="0.2">
      <c r="A563" s="730"/>
      <c r="B563" s="884" t="s">
        <v>645</v>
      </c>
      <c r="C563" s="816">
        <v>400000</v>
      </c>
      <c r="D563" s="816">
        <f>400000+6348-2107-96284-30000-58074-60000-60000-38800+(-29100-900)</f>
        <v>31083</v>
      </c>
      <c r="E563" s="816">
        <v>31083</v>
      </c>
      <c r="F563" s="816"/>
      <c r="G563" s="1051">
        <f t="shared" si="66"/>
        <v>7.7707499999999996</v>
      </c>
      <c r="H563" s="1055">
        <f t="shared" si="61"/>
        <v>100</v>
      </c>
      <c r="I563" s="1056">
        <f t="shared" si="63"/>
        <v>26.85402771538169</v>
      </c>
      <c r="J563" s="1113">
        <v>115748</v>
      </c>
    </row>
    <row r="564" spans="1:10" s="885" customFormat="1" ht="12.75" customHeight="1" x14ac:dyDescent="0.2">
      <c r="A564" s="832"/>
      <c r="B564" s="884" t="s">
        <v>646</v>
      </c>
      <c r="C564" s="695">
        <f t="shared" ref="C564:D566" si="67">+C569+C574+C579+C584</f>
        <v>26483000</v>
      </c>
      <c r="D564" s="695">
        <f t="shared" si="67"/>
        <v>37643327.870000005</v>
      </c>
      <c r="E564" s="695">
        <f t="shared" ref="E564:E566" si="68">SUM(E569,E574,E579,E584)</f>
        <v>37643327.870000005</v>
      </c>
      <c r="F564" s="695"/>
      <c r="G564" s="1051">
        <f t="shared" si="66"/>
        <v>142.14147894875958</v>
      </c>
      <c r="H564" s="1055">
        <f t="shared" si="61"/>
        <v>100</v>
      </c>
      <c r="I564" s="1056">
        <f t="shared" si="63"/>
        <v>140.51781420304323</v>
      </c>
      <c r="J564" s="1113">
        <v>26789007.559999999</v>
      </c>
    </row>
    <row r="565" spans="1:10" s="885" customFormat="1" ht="12.75" customHeight="1" x14ac:dyDescent="0.2">
      <c r="A565" s="832"/>
      <c r="B565" s="884" t="s">
        <v>647</v>
      </c>
      <c r="C565" s="695">
        <f t="shared" si="67"/>
        <v>2985000</v>
      </c>
      <c r="D565" s="695">
        <f t="shared" si="67"/>
        <v>3894359</v>
      </c>
      <c r="E565" s="695">
        <f t="shared" si="68"/>
        <v>3894359</v>
      </c>
      <c r="F565" s="695"/>
      <c r="G565" s="1051">
        <f t="shared" si="66"/>
        <v>130.46428810720266</v>
      </c>
      <c r="H565" s="1055">
        <f t="shared" si="61"/>
        <v>100</v>
      </c>
      <c r="I565" s="1056">
        <f t="shared" si="63"/>
        <v>114.75234376335884</v>
      </c>
      <c r="J565" s="1113">
        <v>3393707.59</v>
      </c>
    </row>
    <row r="566" spans="1:10" s="885" customFormat="1" ht="12.75" customHeight="1" x14ac:dyDescent="0.2">
      <c r="A566" s="832"/>
      <c r="B566" s="884" t="s">
        <v>648</v>
      </c>
      <c r="C566" s="889">
        <f t="shared" si="67"/>
        <v>4390000</v>
      </c>
      <c r="D566" s="889">
        <f t="shared" si="67"/>
        <v>3847376.25</v>
      </c>
      <c r="E566" s="889">
        <f t="shared" si="68"/>
        <v>3847376.25</v>
      </c>
      <c r="F566" s="889"/>
      <c r="G566" s="1051">
        <f t="shared" si="66"/>
        <v>87.639550113895211</v>
      </c>
      <c r="H566" s="1055">
        <f t="shared" si="61"/>
        <v>100</v>
      </c>
      <c r="I566" s="1056">
        <f t="shared" si="63"/>
        <v>15.130151513876941</v>
      </c>
      <c r="J566" s="1113">
        <v>25428537.489999998</v>
      </c>
    </row>
    <row r="567" spans="1:10" s="877" customFormat="1" ht="12.75" customHeight="1" x14ac:dyDescent="0.2">
      <c r="A567" s="832"/>
      <c r="B567" s="884"/>
      <c r="C567" s="889"/>
      <c r="D567" s="889"/>
      <c r="E567" s="889"/>
      <c r="F567" s="889"/>
      <c r="G567" s="889"/>
      <c r="H567" s="889"/>
      <c r="I567" s="1056"/>
      <c r="J567" s="1113"/>
    </row>
    <row r="568" spans="1:10" s="885" customFormat="1" x14ac:dyDescent="0.2">
      <c r="A568" s="832"/>
      <c r="B568" s="884" t="s">
        <v>1619</v>
      </c>
      <c r="C568" s="798">
        <f>SUM(C569:C571)</f>
        <v>10197000</v>
      </c>
      <c r="D568" s="798">
        <f>SUM(D569:D571)</f>
        <v>15808953.65</v>
      </c>
      <c r="E568" s="798">
        <v>15808953.65</v>
      </c>
      <c r="F568" s="1094">
        <f>SUM(E569:E571)</f>
        <v>15808953.65</v>
      </c>
      <c r="G568" s="630">
        <f t="shared" si="66"/>
        <v>155.03534029616554</v>
      </c>
      <c r="H568" s="1052">
        <f t="shared" si="61"/>
        <v>100</v>
      </c>
      <c r="I568" s="631">
        <f t="shared" si="63"/>
        <v>51.606331577284855</v>
      </c>
      <c r="J568" s="1113">
        <v>30633748.16</v>
      </c>
    </row>
    <row r="569" spans="1:10" s="885" customFormat="1" ht="12.75" customHeight="1" x14ac:dyDescent="0.2">
      <c r="A569" s="832"/>
      <c r="B569" s="884" t="s">
        <v>1620</v>
      </c>
      <c r="C569" s="816">
        <f>9447000</f>
        <v>9447000</v>
      </c>
      <c r="D569" s="816">
        <f>9447000+(4752.88+26932.97)+(-1607.13-9107.07)+(949089.62+3130384.38)-3504+262743+(4900+44100)</f>
        <v>13855684.65</v>
      </c>
      <c r="E569" s="816">
        <v>13855684.65</v>
      </c>
      <c r="F569" s="816"/>
      <c r="G569" s="1051">
        <f t="shared" si="66"/>
        <v>146.6675627183233</v>
      </c>
      <c r="H569" s="1055">
        <f t="shared" si="61"/>
        <v>100</v>
      </c>
      <c r="I569" s="1056">
        <f t="shared" si="63"/>
        <v>208.19747203718921</v>
      </c>
      <c r="J569" s="1113">
        <v>6655068.6299999999</v>
      </c>
    </row>
    <row r="570" spans="1:10" s="885" customFormat="1" ht="24.75" x14ac:dyDescent="0.2">
      <c r="A570" s="832"/>
      <c r="B570" s="884" t="s">
        <v>1621</v>
      </c>
      <c r="C570" s="816">
        <v>150000</v>
      </c>
      <c r="D570" s="816">
        <f>150000+(89825+296450)</f>
        <v>536275</v>
      </c>
      <c r="E570" s="816">
        <v>536275</v>
      </c>
      <c r="F570" s="816"/>
      <c r="G570" s="1051">
        <f t="shared" si="66"/>
        <v>357.51666666666665</v>
      </c>
      <c r="H570" s="1055">
        <f t="shared" si="61"/>
        <v>100</v>
      </c>
      <c r="I570" s="670">
        <v>0</v>
      </c>
      <c r="J570" s="1115">
        <v>770983.91</v>
      </c>
    </row>
    <row r="571" spans="1:10" s="885" customFormat="1" ht="27.75" customHeight="1" x14ac:dyDescent="0.2">
      <c r="A571" s="832"/>
      <c r="B571" s="884" t="s">
        <v>1982</v>
      </c>
      <c r="C571" s="816">
        <f>500000+600000-500000</f>
        <v>600000</v>
      </c>
      <c r="D571" s="816">
        <f>500000+600000-500000+603790+213204</f>
        <v>1416994</v>
      </c>
      <c r="E571" s="816">
        <v>1416994</v>
      </c>
      <c r="F571" s="816"/>
      <c r="G571" s="1051">
        <f t="shared" si="66"/>
        <v>236.16566666666668</v>
      </c>
      <c r="H571" s="1055">
        <f t="shared" si="61"/>
        <v>100</v>
      </c>
      <c r="I571" s="670">
        <f t="shared" si="63"/>
        <v>6.1057074480882907</v>
      </c>
      <c r="J571" s="1115">
        <v>23207695.620000001</v>
      </c>
    </row>
    <row r="572" spans="1:10" s="885" customFormat="1" ht="12.75" customHeight="1" x14ac:dyDescent="0.2">
      <c r="A572" s="832"/>
      <c r="B572" s="884"/>
      <c r="C572" s="695"/>
      <c r="D572" s="695"/>
      <c r="E572" s="695"/>
      <c r="F572" s="695"/>
      <c r="G572" s="695"/>
      <c r="H572" s="695"/>
      <c r="I572" s="1056"/>
      <c r="J572" s="1113"/>
    </row>
    <row r="573" spans="1:10" s="885" customFormat="1" x14ac:dyDescent="0.2">
      <c r="A573" s="832"/>
      <c r="B573" s="884" t="s">
        <v>1623</v>
      </c>
      <c r="C573" s="798">
        <f>SUM(C574:C576)</f>
        <v>6765000</v>
      </c>
      <c r="D573" s="798">
        <f>SUM(D574:D576)</f>
        <v>10195051.449999999</v>
      </c>
      <c r="E573" s="798">
        <v>10195051.449999999</v>
      </c>
      <c r="F573" s="1094">
        <f>SUM(E574:E576)</f>
        <v>10195051.449999999</v>
      </c>
      <c r="G573" s="630">
        <f t="shared" si="66"/>
        <v>150.70290391722099</v>
      </c>
      <c r="H573" s="1052">
        <f t="shared" si="61"/>
        <v>100</v>
      </c>
      <c r="I573" s="631">
        <f t="shared" si="63"/>
        <v>228.64887675993143</v>
      </c>
      <c r="J573" s="1113">
        <v>4458824.2</v>
      </c>
    </row>
    <row r="574" spans="1:10" s="885" customFormat="1" ht="12.75" customHeight="1" x14ac:dyDescent="0.2">
      <c r="A574" s="832"/>
      <c r="B574" s="884" t="s">
        <v>1624</v>
      </c>
      <c r="C574" s="816">
        <v>5565000</v>
      </c>
      <c r="D574" s="816">
        <f>5565000+(1005316.48+3315837.52)+(1806.05+10234.3)+5595+(-1051.79-5960.11)+(7519+67671)</f>
        <v>9971967.4499999993</v>
      </c>
      <c r="E574" s="816">
        <v>9971967.4499999993</v>
      </c>
      <c r="F574" s="816"/>
      <c r="G574" s="1051">
        <f t="shared" si="66"/>
        <v>179.19078975741238</v>
      </c>
      <c r="H574" s="1055">
        <f t="shared" si="61"/>
        <v>100</v>
      </c>
      <c r="I574" s="1056">
        <f t="shared" si="63"/>
        <v>240.87028006116554</v>
      </c>
      <c r="J574" s="1113">
        <v>4139974.2</v>
      </c>
    </row>
    <row r="575" spans="1:10" s="885" customFormat="1" ht="36.75" customHeight="1" x14ac:dyDescent="0.2">
      <c r="A575" s="832"/>
      <c r="B575" s="884" t="s">
        <v>1625</v>
      </c>
      <c r="C575" s="816">
        <v>0</v>
      </c>
      <c r="D575" s="816">
        <f>96800+96284+30000</f>
        <v>223084</v>
      </c>
      <c r="E575" s="816">
        <v>223084</v>
      </c>
      <c r="F575" s="816"/>
      <c r="G575" s="1051">
        <v>0</v>
      </c>
      <c r="H575" s="1055">
        <f t="shared" si="61"/>
        <v>100</v>
      </c>
      <c r="I575" s="670">
        <v>0</v>
      </c>
      <c r="J575" s="1115">
        <v>200000</v>
      </c>
    </row>
    <row r="576" spans="1:10" s="885" customFormat="1" x14ac:dyDescent="0.2">
      <c r="A576" s="832"/>
      <c r="B576" s="884" t="s">
        <v>1626</v>
      </c>
      <c r="C576" s="816">
        <f>1200000</f>
        <v>1200000</v>
      </c>
      <c r="D576" s="816">
        <f>1200000-1200000</f>
        <v>0</v>
      </c>
      <c r="E576" s="816">
        <v>0</v>
      </c>
      <c r="F576" s="816"/>
      <c r="G576" s="1051">
        <f t="shared" si="66"/>
        <v>0</v>
      </c>
      <c r="H576" s="1055">
        <v>0</v>
      </c>
      <c r="I576" s="1056">
        <v>0</v>
      </c>
      <c r="J576" s="1113">
        <v>118850</v>
      </c>
    </row>
    <row r="577" spans="1:10" s="885" customFormat="1" ht="12.75" customHeight="1" x14ac:dyDescent="0.2">
      <c r="A577" s="832"/>
      <c r="B577" s="884"/>
      <c r="C577" s="695"/>
      <c r="D577" s="695"/>
      <c r="E577" s="695"/>
      <c r="F577" s="695"/>
      <c r="G577" s="695"/>
      <c r="H577" s="695"/>
      <c r="I577" s="1056"/>
      <c r="J577" s="1113"/>
    </row>
    <row r="578" spans="1:10" s="885" customFormat="1" ht="12.75" customHeight="1" x14ac:dyDescent="0.2">
      <c r="A578" s="832"/>
      <c r="B578" s="884" t="s">
        <v>1627</v>
      </c>
      <c r="C578" s="798">
        <f>SUM(C579:C581)</f>
        <v>7346000</v>
      </c>
      <c r="D578" s="798">
        <f>SUM(D579:D581)</f>
        <v>7295786.9799999995</v>
      </c>
      <c r="E578" s="798">
        <v>7295786.9800000004</v>
      </c>
      <c r="F578" s="695">
        <f>SUM(E579:E581)</f>
        <v>7295786.9799999995</v>
      </c>
      <c r="G578" s="630">
        <f t="shared" si="66"/>
        <v>99.316457664034857</v>
      </c>
      <c r="H578" s="1052">
        <f t="shared" ref="H578:H640" si="69">E578/D578*100</f>
        <v>100.00000000000003</v>
      </c>
      <c r="I578" s="631">
        <f t="shared" si="63"/>
        <v>52.31102442000968</v>
      </c>
      <c r="J578" s="1113">
        <v>13946939.6</v>
      </c>
    </row>
    <row r="579" spans="1:10" s="885" customFormat="1" ht="12.75" customHeight="1" x14ac:dyDescent="0.2">
      <c r="A579" s="832"/>
      <c r="B579" s="884" t="s">
        <v>1628</v>
      </c>
      <c r="C579" s="816">
        <v>4661000</v>
      </c>
      <c r="D579" s="816">
        <f>4661000+(5713.08+32374.09)+(-177.66-1006.74)+(6798+61182)</f>
        <v>4765882.7699999996</v>
      </c>
      <c r="E579" s="816">
        <v>4765882.7699999996</v>
      </c>
      <c r="F579" s="816"/>
      <c r="G579" s="1051">
        <f t="shared" si="66"/>
        <v>102.25022033898303</v>
      </c>
      <c r="H579" s="1055">
        <f t="shared" si="69"/>
        <v>100</v>
      </c>
      <c r="I579" s="1056">
        <f t="shared" si="63"/>
        <v>43.505577609294782</v>
      </c>
      <c r="J579" s="1113">
        <v>10954647.73</v>
      </c>
    </row>
    <row r="580" spans="1:10" s="885" customFormat="1" ht="29.25" customHeight="1" x14ac:dyDescent="0.2">
      <c r="A580" s="832"/>
      <c r="B580" s="884" t="s">
        <v>1629</v>
      </c>
      <c r="C580" s="816">
        <v>1285000</v>
      </c>
      <c r="D580" s="816">
        <f>1285000</f>
        <v>1285000</v>
      </c>
      <c r="E580" s="816">
        <v>1285000</v>
      </c>
      <c r="F580" s="816"/>
      <c r="G580" s="1051">
        <f t="shared" si="66"/>
        <v>100</v>
      </c>
      <c r="H580" s="1055">
        <f t="shared" si="69"/>
        <v>100</v>
      </c>
      <c r="I580" s="670">
        <v>0</v>
      </c>
      <c r="J580" s="1115">
        <v>890000</v>
      </c>
    </row>
    <row r="581" spans="1:10" s="885" customFormat="1" ht="24.75" customHeight="1" x14ac:dyDescent="0.2">
      <c r="A581" s="832"/>
      <c r="B581" s="884" t="s">
        <v>1630</v>
      </c>
      <c r="C581" s="816">
        <f>1400000</f>
        <v>1400000</v>
      </c>
      <c r="D581" s="816">
        <f>1400000-155095.79</f>
        <v>1244904.21</v>
      </c>
      <c r="E581" s="816">
        <v>1244904.21</v>
      </c>
      <c r="F581" s="816"/>
      <c r="G581" s="1051">
        <f t="shared" si="66"/>
        <v>88.921729285714278</v>
      </c>
      <c r="H581" s="1055">
        <f t="shared" si="69"/>
        <v>100</v>
      </c>
      <c r="I581" s="1056">
        <f t="shared" si="63"/>
        <v>59.224977402029623</v>
      </c>
      <c r="J581" s="1115">
        <v>2101991.87</v>
      </c>
    </row>
    <row r="582" spans="1:10" s="885" customFormat="1" ht="12.75" customHeight="1" x14ac:dyDescent="0.2">
      <c r="A582" s="832"/>
      <c r="B582" s="884"/>
      <c r="C582" s="795"/>
      <c r="D582" s="795"/>
      <c r="E582" s="795"/>
      <c r="F582" s="816"/>
      <c r="G582" s="795"/>
      <c r="H582" s="795"/>
      <c r="I582" s="1056"/>
      <c r="J582" s="1113"/>
    </row>
    <row r="583" spans="1:10" s="885" customFormat="1" x14ac:dyDescent="0.2">
      <c r="A583" s="832"/>
      <c r="B583" s="884" t="s">
        <v>1631</v>
      </c>
      <c r="C583" s="798">
        <f>SUM(C584:C586)</f>
        <v>9550000</v>
      </c>
      <c r="D583" s="798">
        <f>SUM(D584:D586)</f>
        <v>12085271.039999999</v>
      </c>
      <c r="E583" s="798">
        <v>12085271.039999999</v>
      </c>
      <c r="F583" s="695">
        <f>SUM(E584:E586)</f>
        <v>12085271.039999999</v>
      </c>
      <c r="G583" s="630">
        <f t="shared" si="66"/>
        <v>126.54734073298428</v>
      </c>
      <c r="H583" s="1052">
        <f t="shared" si="69"/>
        <v>100</v>
      </c>
      <c r="I583" s="631">
        <f t="shared" ref="I583:I646" si="70">E583/J583*100</f>
        <v>183.8891725163389</v>
      </c>
      <c r="J583" s="1113">
        <v>6572040.5800000001</v>
      </c>
    </row>
    <row r="584" spans="1:10" s="885" customFormat="1" ht="12.75" customHeight="1" x14ac:dyDescent="0.2">
      <c r="A584" s="832"/>
      <c r="B584" s="884" t="s">
        <v>1632</v>
      </c>
      <c r="C584" s="816">
        <v>6810000</v>
      </c>
      <c r="D584" s="816">
        <f>6810000+5208+(519876.2+1714708.8)</f>
        <v>9049793</v>
      </c>
      <c r="E584" s="816">
        <v>9049793</v>
      </c>
      <c r="F584" s="816"/>
      <c r="G584" s="1051">
        <f t="shared" si="66"/>
        <v>132.88976505139502</v>
      </c>
      <c r="H584" s="1055">
        <f t="shared" si="69"/>
        <v>100</v>
      </c>
      <c r="I584" s="1056">
        <f t="shared" si="70"/>
        <v>179.58372136541519</v>
      </c>
      <c r="J584" s="1113">
        <v>5039317</v>
      </c>
    </row>
    <row r="585" spans="1:10" s="885" customFormat="1" ht="24.75" x14ac:dyDescent="0.2">
      <c r="A585" s="832"/>
      <c r="B585" s="884" t="s">
        <v>1633</v>
      </c>
      <c r="C585" s="816">
        <f>3250000-1700000</f>
        <v>1550000</v>
      </c>
      <c r="D585" s="816">
        <f>3250000-1700000+300000</f>
        <v>1850000</v>
      </c>
      <c r="E585" s="816">
        <v>1850000</v>
      </c>
      <c r="F585" s="816"/>
      <c r="G585" s="1051">
        <f t="shared" si="66"/>
        <v>119.35483870967742</v>
      </c>
      <c r="H585" s="1055">
        <f t="shared" si="69"/>
        <v>100</v>
      </c>
      <c r="I585" s="670">
        <f t="shared" si="70"/>
        <v>120.70016429836852</v>
      </c>
      <c r="J585" s="1115">
        <v>1532723.68</v>
      </c>
    </row>
    <row r="586" spans="1:10" s="885" customFormat="1" ht="25.5" x14ac:dyDescent="0.2">
      <c r="A586" s="832"/>
      <c r="B586" s="884" t="s">
        <v>1634</v>
      </c>
      <c r="C586" s="816">
        <f>1190000</f>
        <v>1190000</v>
      </c>
      <c r="D586" s="816">
        <f>1190000+1700000+(-1100000-30000+48400+160000)-700000-82921.96</f>
        <v>1185478.04</v>
      </c>
      <c r="E586" s="816">
        <v>1185478.04</v>
      </c>
      <c r="F586" s="816"/>
      <c r="G586" s="1051">
        <f t="shared" si="66"/>
        <v>99.620003361344544</v>
      </c>
      <c r="H586" s="1055">
        <f t="shared" si="69"/>
        <v>100</v>
      </c>
      <c r="I586" s="670">
        <v>0</v>
      </c>
      <c r="J586" s="1115">
        <v>0</v>
      </c>
    </row>
    <row r="587" spans="1:10" s="885" customFormat="1" ht="12.75" customHeight="1" x14ac:dyDescent="0.2">
      <c r="A587" s="832"/>
      <c r="B587" s="884"/>
      <c r="C587" s="816"/>
      <c r="D587" s="816"/>
      <c r="E587" s="816"/>
      <c r="F587" s="816"/>
      <c r="G587" s="816"/>
      <c r="H587" s="816"/>
      <c r="I587" s="1056"/>
      <c r="J587" s="1113"/>
    </row>
    <row r="588" spans="1:10" s="885" customFormat="1" x14ac:dyDescent="0.2">
      <c r="A588" s="730">
        <v>3233</v>
      </c>
      <c r="B588" s="888" t="s">
        <v>665</v>
      </c>
      <c r="C588" s="798">
        <f>C589</f>
        <v>2670000</v>
      </c>
      <c r="D588" s="798">
        <f>D589</f>
        <v>5424473</v>
      </c>
      <c r="E588" s="798">
        <v>5424473</v>
      </c>
      <c r="F588" s="695"/>
      <c r="G588" s="630">
        <f t="shared" si="66"/>
        <v>203.16378277153558</v>
      </c>
      <c r="H588" s="1052">
        <f t="shared" si="69"/>
        <v>100</v>
      </c>
      <c r="I588" s="631">
        <f t="shared" si="70"/>
        <v>23.890545405663794</v>
      </c>
      <c r="J588" s="1113">
        <v>22705521.82</v>
      </c>
    </row>
    <row r="589" spans="1:10" s="885" customFormat="1" ht="12.75" customHeight="1" x14ac:dyDescent="0.2">
      <c r="A589" s="730"/>
      <c r="B589" s="884" t="s">
        <v>1635</v>
      </c>
      <c r="C589" s="889">
        <f>SUM(C590:C592)</f>
        <v>2670000</v>
      </c>
      <c r="D589" s="889">
        <f>SUM(D590:D592)</f>
        <v>5424473</v>
      </c>
      <c r="E589" s="889">
        <v>5424473</v>
      </c>
      <c r="F589" s="889">
        <f>SUM(E590:E592)</f>
        <v>5424473</v>
      </c>
      <c r="G589" s="1051">
        <f t="shared" si="66"/>
        <v>203.16378277153558</v>
      </c>
      <c r="H589" s="1055">
        <f t="shared" si="69"/>
        <v>100</v>
      </c>
      <c r="I589" s="1056">
        <f t="shared" si="70"/>
        <v>23.890545405663794</v>
      </c>
      <c r="J589" s="1113">
        <v>22705521.82</v>
      </c>
    </row>
    <row r="590" spans="1:10" s="885" customFormat="1" ht="12.75" customHeight="1" x14ac:dyDescent="0.2">
      <c r="A590" s="730"/>
      <c r="B590" s="884" t="s">
        <v>1636</v>
      </c>
      <c r="C590" s="816">
        <v>2267000</v>
      </c>
      <c r="D590" s="816">
        <f>2267000+210200+(551883.72+1820279.28)+170400+30000-28290</f>
        <v>5021473</v>
      </c>
      <c r="E590" s="816">
        <v>5021473</v>
      </c>
      <c r="F590" s="816"/>
      <c r="G590" s="1051">
        <f t="shared" si="66"/>
        <v>221.5029995588884</v>
      </c>
      <c r="H590" s="1055">
        <f t="shared" si="69"/>
        <v>100</v>
      </c>
      <c r="I590" s="1056">
        <f t="shared" si="70"/>
        <v>118.14501035846622</v>
      </c>
      <c r="J590" s="1113">
        <v>4250262.4400000004</v>
      </c>
    </row>
    <row r="591" spans="1:10" s="885" customFormat="1" ht="32.25" customHeight="1" x14ac:dyDescent="0.2">
      <c r="A591" s="730"/>
      <c r="B591" s="884" t="s">
        <v>1637</v>
      </c>
      <c r="C591" s="816">
        <v>275000</v>
      </c>
      <c r="D591" s="816">
        <v>275000</v>
      </c>
      <c r="E591" s="816">
        <v>275000</v>
      </c>
      <c r="F591" s="816"/>
      <c r="G591" s="1051">
        <f t="shared" si="66"/>
        <v>100</v>
      </c>
      <c r="H591" s="1055">
        <f t="shared" si="69"/>
        <v>100</v>
      </c>
      <c r="I591" s="670">
        <f t="shared" si="70"/>
        <v>14.24467703613543</v>
      </c>
      <c r="J591" s="1115">
        <v>1930545.7</v>
      </c>
    </row>
    <row r="592" spans="1:10" s="885" customFormat="1" ht="24.75" x14ac:dyDescent="0.2">
      <c r="A592" s="730"/>
      <c r="B592" s="884" t="s">
        <v>1638</v>
      </c>
      <c r="C592" s="816">
        <f>+(4175+41+87-175-4000)*1000</f>
        <v>128000</v>
      </c>
      <c r="D592" s="816">
        <f>+(4175+41+87-175-4000)*1000</f>
        <v>128000</v>
      </c>
      <c r="E592" s="816">
        <v>128000</v>
      </c>
      <c r="F592" s="816"/>
      <c r="G592" s="1051">
        <f t="shared" si="66"/>
        <v>100</v>
      </c>
      <c r="H592" s="1055">
        <f t="shared" si="69"/>
        <v>100</v>
      </c>
      <c r="I592" s="670">
        <f t="shared" si="70"/>
        <v>0.7745973847336276</v>
      </c>
      <c r="J592" s="1115">
        <v>16524713.68</v>
      </c>
    </row>
    <row r="593" spans="1:10" s="877" customFormat="1" x14ac:dyDescent="0.2">
      <c r="A593" s="730">
        <v>3419</v>
      </c>
      <c r="B593" s="888" t="s">
        <v>1639</v>
      </c>
      <c r="C593" s="795">
        <v>80000</v>
      </c>
      <c r="D593" s="795">
        <f>80000+2107</f>
        <v>82107</v>
      </c>
      <c r="E593" s="795">
        <v>82107</v>
      </c>
      <c r="F593" s="816"/>
      <c r="G593" s="630">
        <f t="shared" si="66"/>
        <v>102.63374999999999</v>
      </c>
      <c r="H593" s="1052">
        <f t="shared" si="69"/>
        <v>100</v>
      </c>
      <c r="I593" s="631">
        <f t="shared" si="70"/>
        <v>175.4070763564583</v>
      </c>
      <c r="J593" s="1113">
        <v>46809.4</v>
      </c>
    </row>
    <row r="594" spans="1:10" s="877" customFormat="1" ht="15.75" x14ac:dyDescent="0.25">
      <c r="A594" s="802"/>
      <c r="B594" s="878" t="s">
        <v>671</v>
      </c>
      <c r="C594" s="702">
        <f>SUM(C595,C598,C601,C606,C609,C616)</f>
        <v>47038000</v>
      </c>
      <c r="D594" s="702">
        <f>SUM(D595,D598,D601,D606,D609,D616)</f>
        <v>47687500.730000004</v>
      </c>
      <c r="E594" s="702">
        <v>47069154.57</v>
      </c>
      <c r="F594" s="1114">
        <f>SUM(E595,E598,E601,E606,E609,E616)</f>
        <v>47069154.57</v>
      </c>
      <c r="G594" s="623">
        <f t="shared" si="66"/>
        <v>100.06623276925039</v>
      </c>
      <c r="H594" s="623">
        <f t="shared" si="69"/>
        <v>98.703337036887305</v>
      </c>
      <c r="I594" s="741">
        <f t="shared" si="70"/>
        <v>88.580161924659166</v>
      </c>
      <c r="J594" s="1113">
        <v>53137354.399999999</v>
      </c>
    </row>
    <row r="595" spans="1:10" s="877" customFormat="1" x14ac:dyDescent="0.2">
      <c r="A595" s="891">
        <v>3311</v>
      </c>
      <c r="B595" s="892" t="s">
        <v>1640</v>
      </c>
      <c r="C595" s="795">
        <f>SUM(C596:C597)</f>
        <v>14547000</v>
      </c>
      <c r="D595" s="795">
        <f>SUM(D596:D597)</f>
        <v>13903358</v>
      </c>
      <c r="E595" s="795">
        <v>13903358</v>
      </c>
      <c r="F595" s="816">
        <f>SUM(E596:E597)</f>
        <v>13903358</v>
      </c>
      <c r="G595" s="630">
        <f t="shared" si="66"/>
        <v>95.575431360417952</v>
      </c>
      <c r="H595" s="1052">
        <f t="shared" si="69"/>
        <v>100</v>
      </c>
      <c r="I595" s="631">
        <f t="shared" si="70"/>
        <v>64.879121223390996</v>
      </c>
      <c r="J595" s="1113">
        <v>21429633.66</v>
      </c>
    </row>
    <row r="596" spans="1:10" s="877" customFormat="1" ht="12.75" customHeight="1" x14ac:dyDescent="0.2">
      <c r="A596" s="893"/>
      <c r="B596" s="894" t="s">
        <v>1641</v>
      </c>
      <c r="C596" s="816">
        <v>14547000</v>
      </c>
      <c r="D596" s="816">
        <f>14547000-45455-98187-200000-300000</f>
        <v>13903358</v>
      </c>
      <c r="E596" s="816">
        <v>13903358</v>
      </c>
      <c r="F596" s="816"/>
      <c r="G596" s="1051">
        <f t="shared" si="66"/>
        <v>95.575431360417952</v>
      </c>
      <c r="H596" s="1055">
        <f t="shared" si="69"/>
        <v>100</v>
      </c>
      <c r="I596" s="1056">
        <f t="shared" si="70"/>
        <v>115.82357613350145</v>
      </c>
      <c r="J596" s="1113">
        <v>12003910.140000001</v>
      </c>
    </row>
    <row r="597" spans="1:10" s="877" customFormat="1" x14ac:dyDescent="0.2">
      <c r="A597" s="893"/>
      <c r="B597" s="894" t="s">
        <v>1642</v>
      </c>
      <c r="C597" s="816">
        <v>0</v>
      </c>
      <c r="D597" s="816">
        <v>0</v>
      </c>
      <c r="E597" s="816">
        <v>0</v>
      </c>
      <c r="F597" s="816"/>
      <c r="G597" s="1051">
        <v>0</v>
      </c>
      <c r="H597" s="1055">
        <v>0</v>
      </c>
      <c r="I597" s="1056">
        <f t="shared" si="70"/>
        <v>0</v>
      </c>
      <c r="J597" s="1113">
        <v>9425723.5199999996</v>
      </c>
    </row>
    <row r="598" spans="1:10" s="885" customFormat="1" x14ac:dyDescent="0.2">
      <c r="A598" s="895">
        <v>3319</v>
      </c>
      <c r="B598" s="896" t="s">
        <v>676</v>
      </c>
      <c r="C598" s="798">
        <f>SUM(C599:C600)</f>
        <v>1160000</v>
      </c>
      <c r="D598" s="798">
        <f>SUM(D599:D600)</f>
        <v>1165000</v>
      </c>
      <c r="E598" s="798">
        <v>909335.31</v>
      </c>
      <c r="F598" s="695">
        <f>SUM(E599:E600)</f>
        <v>909335.31</v>
      </c>
      <c r="G598" s="630">
        <f t="shared" si="66"/>
        <v>78.390975000000012</v>
      </c>
      <c r="H598" s="1052">
        <f t="shared" si="69"/>
        <v>78.054533047210299</v>
      </c>
      <c r="I598" s="631">
        <f t="shared" si="70"/>
        <v>142.8702814927025</v>
      </c>
      <c r="J598" s="1113">
        <v>636476.18000000005</v>
      </c>
    </row>
    <row r="599" spans="1:10" s="885" customFormat="1" ht="12.75" customHeight="1" x14ac:dyDescent="0.2">
      <c r="A599" s="895"/>
      <c r="B599" s="894" t="s">
        <v>1643</v>
      </c>
      <c r="C599" s="816">
        <v>530000</v>
      </c>
      <c r="D599" s="816">
        <v>530000</v>
      </c>
      <c r="E599" s="816">
        <v>455488.49</v>
      </c>
      <c r="F599" s="816"/>
      <c r="G599" s="1051">
        <f t="shared" si="66"/>
        <v>85.941224528301888</v>
      </c>
      <c r="H599" s="1055">
        <f t="shared" si="69"/>
        <v>85.941224528301888</v>
      </c>
      <c r="I599" s="1056">
        <f t="shared" si="70"/>
        <v>126.80062551730673</v>
      </c>
      <c r="J599" s="1113">
        <v>359216.28</v>
      </c>
    </row>
    <row r="600" spans="1:10" s="885" customFormat="1" x14ac:dyDescent="0.2">
      <c r="A600" s="895"/>
      <c r="B600" s="897" t="s">
        <v>678</v>
      </c>
      <c r="C600" s="816">
        <v>630000</v>
      </c>
      <c r="D600" s="816">
        <f>630000+5000</f>
        <v>635000</v>
      </c>
      <c r="E600" s="816">
        <v>453846.82</v>
      </c>
      <c r="F600" s="816"/>
      <c r="G600" s="1051">
        <f t="shared" si="66"/>
        <v>72.03917777777778</v>
      </c>
      <c r="H600" s="1055">
        <f t="shared" si="69"/>
        <v>71.471940157480319</v>
      </c>
      <c r="I600" s="1056">
        <f t="shared" si="70"/>
        <v>163.69003234870962</v>
      </c>
      <c r="J600" s="1113">
        <v>277259.90000000002</v>
      </c>
    </row>
    <row r="601" spans="1:10" s="885" customFormat="1" x14ac:dyDescent="0.2">
      <c r="A601" s="895" t="s">
        <v>1644</v>
      </c>
      <c r="B601" s="896" t="s">
        <v>679</v>
      </c>
      <c r="C601" s="798">
        <f>C602+C603+C604+C605</f>
        <v>811000</v>
      </c>
      <c r="D601" s="798">
        <f>D602+D603+D604+D605</f>
        <v>530570</v>
      </c>
      <c r="E601" s="798">
        <v>370650</v>
      </c>
      <c r="F601" s="695">
        <f>SUM(E602:E605)</f>
        <v>370650</v>
      </c>
      <c r="G601" s="630">
        <f t="shared" si="66"/>
        <v>45.702836004932188</v>
      </c>
      <c r="H601" s="1052">
        <f t="shared" si="69"/>
        <v>69.858831068473521</v>
      </c>
      <c r="I601" s="631">
        <v>0</v>
      </c>
      <c r="J601" s="1113">
        <v>456641</v>
      </c>
    </row>
    <row r="602" spans="1:10" s="885" customFormat="1" ht="12.75" customHeight="1" x14ac:dyDescent="0.2">
      <c r="A602" s="893"/>
      <c r="B602" s="894" t="s">
        <v>1645</v>
      </c>
      <c r="C602" s="816">
        <v>20000</v>
      </c>
      <c r="D602" s="816">
        <f>20000-20000</f>
        <v>0</v>
      </c>
      <c r="E602" s="816">
        <v>0</v>
      </c>
      <c r="F602" s="816"/>
      <c r="G602" s="1051">
        <f t="shared" si="66"/>
        <v>0</v>
      </c>
      <c r="H602" s="1055">
        <v>0</v>
      </c>
      <c r="I602" s="1056">
        <v>0</v>
      </c>
      <c r="J602" s="1113">
        <v>0</v>
      </c>
    </row>
    <row r="603" spans="1:10" s="885" customFormat="1" x14ac:dyDescent="0.2">
      <c r="A603" s="893"/>
      <c r="B603" s="894" t="s">
        <v>1646</v>
      </c>
      <c r="C603" s="816">
        <v>100000</v>
      </c>
      <c r="D603" s="816">
        <v>100000</v>
      </c>
      <c r="E603" s="816">
        <v>30371</v>
      </c>
      <c r="F603" s="816"/>
      <c r="G603" s="1051">
        <f t="shared" si="66"/>
        <v>30.370999999999999</v>
      </c>
      <c r="H603" s="1055">
        <f t="shared" si="69"/>
        <v>30.370999999999999</v>
      </c>
      <c r="I603" s="1056">
        <f t="shared" si="70"/>
        <v>17.954220314735338</v>
      </c>
      <c r="J603" s="1113">
        <v>169158</v>
      </c>
    </row>
    <row r="604" spans="1:10" s="885" customFormat="1" ht="27" customHeight="1" x14ac:dyDescent="0.2">
      <c r="A604" s="893"/>
      <c r="B604" s="894" t="s">
        <v>1647</v>
      </c>
      <c r="C604" s="816">
        <v>91000</v>
      </c>
      <c r="D604" s="816">
        <v>91000</v>
      </c>
      <c r="E604" s="816">
        <v>126944</v>
      </c>
      <c r="F604" s="816"/>
      <c r="G604" s="1051">
        <f t="shared" si="66"/>
        <v>139.49890109890111</v>
      </c>
      <c r="H604" s="1055">
        <f t="shared" si="69"/>
        <v>139.49890109890111</v>
      </c>
      <c r="I604" s="1056">
        <f t="shared" si="70"/>
        <v>276.76543048379011</v>
      </c>
      <c r="J604" s="1115">
        <v>45867</v>
      </c>
    </row>
    <row r="605" spans="1:10" s="877" customFormat="1" ht="25.5" x14ac:dyDescent="0.2">
      <c r="A605" s="893"/>
      <c r="B605" s="894" t="s">
        <v>1648</v>
      </c>
      <c r="C605" s="816">
        <v>600000</v>
      </c>
      <c r="D605" s="816">
        <f>600000+19570+100000-380000</f>
        <v>339570</v>
      </c>
      <c r="E605" s="816">
        <v>213335</v>
      </c>
      <c r="F605" s="816"/>
      <c r="G605" s="1051">
        <f t="shared" si="66"/>
        <v>35.555833333333332</v>
      </c>
      <c r="H605" s="1055">
        <f t="shared" si="69"/>
        <v>62.825043437288329</v>
      </c>
      <c r="I605" s="1056">
        <f t="shared" si="70"/>
        <v>88.295063240844968</v>
      </c>
      <c r="J605" s="1115">
        <v>241616</v>
      </c>
    </row>
    <row r="606" spans="1:10" s="877" customFormat="1" x14ac:dyDescent="0.2">
      <c r="A606" s="895" t="s">
        <v>1649</v>
      </c>
      <c r="B606" s="896" t="s">
        <v>684</v>
      </c>
      <c r="C606" s="798">
        <f>C607+C608</f>
        <v>1715000</v>
      </c>
      <c r="D606" s="798">
        <f>D607+D608</f>
        <v>565000</v>
      </c>
      <c r="E606" s="798">
        <v>421757.53</v>
      </c>
      <c r="F606" s="695">
        <f>SUM(E607:E608)</f>
        <v>421777.53</v>
      </c>
      <c r="G606" s="630">
        <f t="shared" si="66"/>
        <v>24.59227580174927</v>
      </c>
      <c r="H606" s="1052">
        <f t="shared" si="69"/>
        <v>74.647350442477872</v>
      </c>
      <c r="I606" s="631">
        <f t="shared" si="70"/>
        <v>12671.898482403878</v>
      </c>
      <c r="J606" s="1113">
        <v>3328.29</v>
      </c>
    </row>
    <row r="607" spans="1:10" s="877" customFormat="1" ht="27" customHeight="1" x14ac:dyDescent="0.2">
      <c r="A607" s="893"/>
      <c r="B607" s="894" t="s">
        <v>1650</v>
      </c>
      <c r="C607" s="816">
        <v>1700000</v>
      </c>
      <c r="D607" s="816">
        <f>1700000-1150000</f>
        <v>550000</v>
      </c>
      <c r="E607" s="816">
        <v>419363.01</v>
      </c>
      <c r="F607" s="816"/>
      <c r="G607" s="1051">
        <f t="shared" si="66"/>
        <v>24.668412352941179</v>
      </c>
      <c r="H607" s="1055">
        <f t="shared" si="69"/>
        <v>76.247820000000004</v>
      </c>
      <c r="I607" s="670">
        <v>0</v>
      </c>
      <c r="J607" s="1115">
        <v>1930</v>
      </c>
    </row>
    <row r="608" spans="1:10" s="877" customFormat="1" x14ac:dyDescent="0.2">
      <c r="A608" s="893"/>
      <c r="B608" s="894" t="s">
        <v>1651</v>
      </c>
      <c r="C608" s="816">
        <v>15000</v>
      </c>
      <c r="D608" s="816">
        <v>15000</v>
      </c>
      <c r="E608" s="816">
        <v>2414.52</v>
      </c>
      <c r="F608" s="816"/>
      <c r="G608" s="1051">
        <f t="shared" si="66"/>
        <v>16.096800000000002</v>
      </c>
      <c r="H608" s="1055">
        <f t="shared" si="69"/>
        <v>16.096800000000002</v>
      </c>
      <c r="I608" s="1056">
        <f t="shared" si="70"/>
        <v>172.6766264508793</v>
      </c>
      <c r="J608" s="1113">
        <v>1398.29</v>
      </c>
    </row>
    <row r="609" spans="1:10" s="885" customFormat="1" ht="12.75" customHeight="1" x14ac:dyDescent="0.2">
      <c r="A609" s="895">
        <v>3392</v>
      </c>
      <c r="B609" s="896" t="s">
        <v>687</v>
      </c>
      <c r="C609" s="798">
        <f>C611+C610</f>
        <v>28535000</v>
      </c>
      <c r="D609" s="798">
        <f>D611+D610</f>
        <v>31253572.73</v>
      </c>
      <c r="E609" s="798">
        <v>31244420.73</v>
      </c>
      <c r="F609" s="695">
        <f>SUM(E610:E611)</f>
        <v>31244420.73</v>
      </c>
      <c r="G609" s="630">
        <f t="shared" si="66"/>
        <v>109.49507878044507</v>
      </c>
      <c r="H609" s="1052">
        <f t="shared" si="69"/>
        <v>99.970716947854044</v>
      </c>
      <c r="I609" s="631">
        <f t="shared" si="70"/>
        <v>102.53745427825692</v>
      </c>
      <c r="J609" s="1113">
        <v>30471227.27</v>
      </c>
    </row>
    <row r="610" spans="1:10" s="885" customFormat="1" x14ac:dyDescent="0.2">
      <c r="A610" s="895"/>
      <c r="B610" s="894" t="s">
        <v>688</v>
      </c>
      <c r="C610" s="816">
        <v>26000</v>
      </c>
      <c r="D610" s="816">
        <v>26000</v>
      </c>
      <c r="E610" s="816">
        <v>16848</v>
      </c>
      <c r="F610" s="816"/>
      <c r="G610" s="1051">
        <f t="shared" si="66"/>
        <v>64.8</v>
      </c>
      <c r="H610" s="1055">
        <f t="shared" si="69"/>
        <v>64.8</v>
      </c>
      <c r="I610" s="1056">
        <f t="shared" si="70"/>
        <v>76.738783876110233</v>
      </c>
      <c r="J610" s="1113">
        <v>21955</v>
      </c>
    </row>
    <row r="611" spans="1:10" s="885" customFormat="1" ht="12.75" customHeight="1" x14ac:dyDescent="0.2">
      <c r="A611" s="893"/>
      <c r="B611" s="894" t="s">
        <v>1652</v>
      </c>
      <c r="C611" s="798">
        <f>SUM(C612+C614+C615)</f>
        <v>28509000</v>
      </c>
      <c r="D611" s="798">
        <f>SUM(D612+D614+D615)</f>
        <v>31227572.73</v>
      </c>
      <c r="E611" s="798">
        <v>31227572.73</v>
      </c>
      <c r="F611" s="695">
        <f>SUM(E612:E615)</f>
        <v>31227572.73</v>
      </c>
      <c r="G611" s="630">
        <f t="shared" si="66"/>
        <v>109.53584036620015</v>
      </c>
      <c r="H611" s="1052">
        <f t="shared" si="69"/>
        <v>100</v>
      </c>
      <c r="I611" s="631">
        <f t="shared" si="70"/>
        <v>102.55605603016929</v>
      </c>
      <c r="J611" s="1113">
        <v>30449272.27</v>
      </c>
    </row>
    <row r="612" spans="1:10" s="885" customFormat="1" ht="12.75" customHeight="1" x14ac:dyDescent="0.2">
      <c r="A612" s="893"/>
      <c r="B612" s="894" t="s">
        <v>1653</v>
      </c>
      <c r="C612" s="816">
        <v>27025000</v>
      </c>
      <c r="D612" s="816">
        <f>27025000+4551000+4562-2989.27+300000-700000+50000</f>
        <v>31227572.73</v>
      </c>
      <c r="E612" s="816">
        <v>31227572.73</v>
      </c>
      <c r="F612" s="816"/>
      <c r="G612" s="1051">
        <f t="shared" si="66"/>
        <v>115.55068540240518</v>
      </c>
      <c r="H612" s="1055">
        <f t="shared" si="69"/>
        <v>100</v>
      </c>
      <c r="I612" s="1056">
        <f t="shared" si="70"/>
        <v>106.01171420959517</v>
      </c>
      <c r="J612" s="1113">
        <v>29456718.969999999</v>
      </c>
    </row>
    <row r="613" spans="1:10" s="885" customFormat="1" ht="12.75" customHeight="1" x14ac:dyDescent="0.2">
      <c r="A613" s="893"/>
      <c r="B613" s="894" t="s">
        <v>1654</v>
      </c>
      <c r="C613" s="816"/>
      <c r="D613" s="816"/>
      <c r="E613" s="816"/>
      <c r="F613" s="816"/>
      <c r="G613" s="1051"/>
      <c r="H613" s="1055"/>
      <c r="I613" s="1056"/>
      <c r="J613" s="1113"/>
    </row>
    <row r="614" spans="1:10" s="877" customFormat="1" ht="23.25" customHeight="1" x14ac:dyDescent="0.2">
      <c r="A614" s="893"/>
      <c r="B614" s="894" t="s">
        <v>1656</v>
      </c>
      <c r="C614" s="816">
        <f>484000+1000000</f>
        <v>1484000</v>
      </c>
      <c r="D614" s="816">
        <f>484000+1000000-1000000-484000</f>
        <v>0</v>
      </c>
      <c r="E614" s="816">
        <v>0</v>
      </c>
      <c r="F614" s="816"/>
      <c r="G614" s="1051">
        <f t="shared" si="66"/>
        <v>0</v>
      </c>
      <c r="H614" s="1055">
        <v>0</v>
      </c>
      <c r="I614" s="670">
        <v>0</v>
      </c>
      <c r="J614" s="1115">
        <v>485246.3</v>
      </c>
    </row>
    <row r="615" spans="1:10" s="877" customFormat="1" ht="25.5" x14ac:dyDescent="0.2">
      <c r="A615" s="893"/>
      <c r="B615" s="894" t="s">
        <v>1655</v>
      </c>
      <c r="C615" s="816">
        <v>0</v>
      </c>
      <c r="D615" s="816">
        <v>0</v>
      </c>
      <c r="E615" s="816">
        <v>0</v>
      </c>
      <c r="F615" s="816"/>
      <c r="G615" s="1051">
        <v>0</v>
      </c>
      <c r="H615" s="1055">
        <v>0</v>
      </c>
      <c r="I615" s="670">
        <f t="shared" si="70"/>
        <v>0</v>
      </c>
      <c r="J615" s="1115">
        <v>507307</v>
      </c>
    </row>
    <row r="616" spans="1:10" s="885" customFormat="1" ht="12.75" customHeight="1" x14ac:dyDescent="0.2">
      <c r="A616" s="895">
        <v>3399</v>
      </c>
      <c r="B616" s="896" t="s">
        <v>694</v>
      </c>
      <c r="C616" s="798">
        <f>C617</f>
        <v>270000</v>
      </c>
      <c r="D616" s="798">
        <f>D617</f>
        <v>270000</v>
      </c>
      <c r="E616" s="798">
        <v>219633</v>
      </c>
      <c r="F616" s="695"/>
      <c r="G616" s="630">
        <f t="shared" si="66"/>
        <v>81.345555555555563</v>
      </c>
      <c r="H616" s="1052">
        <f t="shared" si="69"/>
        <v>81.345555555555563</v>
      </c>
      <c r="I616" s="631">
        <f t="shared" si="70"/>
        <v>156.82694504741232</v>
      </c>
      <c r="J616" s="1113">
        <v>140048</v>
      </c>
    </row>
    <row r="617" spans="1:10" s="885" customFormat="1" x14ac:dyDescent="0.2">
      <c r="A617" s="893"/>
      <c r="B617" s="894" t="s">
        <v>695</v>
      </c>
      <c r="C617" s="816">
        <v>270000</v>
      </c>
      <c r="D617" s="816">
        <v>270000</v>
      </c>
      <c r="E617" s="816">
        <v>219633</v>
      </c>
      <c r="F617" s="816"/>
      <c r="G617" s="1051">
        <f t="shared" si="66"/>
        <v>81.345555555555563</v>
      </c>
      <c r="H617" s="1055">
        <f t="shared" si="69"/>
        <v>81.345555555555563</v>
      </c>
      <c r="I617" s="1056">
        <f t="shared" si="70"/>
        <v>156.82694504741232</v>
      </c>
      <c r="J617" s="1113">
        <v>140048</v>
      </c>
    </row>
    <row r="618" spans="1:10" s="885" customFormat="1" ht="15.75" x14ac:dyDescent="0.25">
      <c r="A618" s="802"/>
      <c r="B618" s="803" t="s">
        <v>696</v>
      </c>
      <c r="C618" s="898">
        <f t="shared" ref="C618:D618" si="71">C619</f>
        <v>22384120</v>
      </c>
      <c r="D618" s="898">
        <f t="shared" si="71"/>
        <v>23080256</v>
      </c>
      <c r="E618" s="898">
        <v>21836498.75</v>
      </c>
      <c r="F618" s="1117"/>
      <c r="G618" s="623">
        <f t="shared" si="66"/>
        <v>97.553527902816811</v>
      </c>
      <c r="H618" s="623">
        <f t="shared" si="69"/>
        <v>94.611163541686878</v>
      </c>
      <c r="I618" s="741">
        <f t="shared" si="70"/>
        <v>76.466203958182859</v>
      </c>
      <c r="J618" s="1113">
        <v>28557058.699999999</v>
      </c>
    </row>
    <row r="619" spans="1:10" s="885" customFormat="1" ht="12.75" customHeight="1" x14ac:dyDescent="0.2">
      <c r="A619" s="730"/>
      <c r="B619" s="880" t="s">
        <v>697</v>
      </c>
      <c r="C619" s="632">
        <f>SUM(C620:C629)</f>
        <v>22384120</v>
      </c>
      <c r="D619" s="632">
        <f>SUM(D620:D629)</f>
        <v>23080256</v>
      </c>
      <c r="E619" s="632">
        <v>21836498.75</v>
      </c>
      <c r="F619" s="1053">
        <f>SUM(E620:E629)</f>
        <v>21836498.75</v>
      </c>
      <c r="G619" s="630">
        <f t="shared" si="66"/>
        <v>97.553527902816811</v>
      </c>
      <c r="H619" s="1052">
        <f t="shared" si="69"/>
        <v>94.611163541686878</v>
      </c>
      <c r="I619" s="631">
        <f t="shared" si="70"/>
        <v>76.466203958182859</v>
      </c>
      <c r="J619" s="1113">
        <v>28557058.699999999</v>
      </c>
    </row>
    <row r="620" spans="1:10" s="877" customFormat="1" ht="12.75" customHeight="1" x14ac:dyDescent="0.2">
      <c r="A620" s="832"/>
      <c r="B620" s="884" t="s">
        <v>698</v>
      </c>
      <c r="C620" s="816">
        <v>1125000</v>
      </c>
      <c r="D620" s="816">
        <v>1125000</v>
      </c>
      <c r="E620" s="816">
        <v>970000</v>
      </c>
      <c r="F620" s="816"/>
      <c r="G620" s="1051">
        <f t="shared" si="66"/>
        <v>86.222222222222229</v>
      </c>
      <c r="H620" s="1055">
        <f t="shared" si="69"/>
        <v>86.222222222222229</v>
      </c>
      <c r="I620" s="1056">
        <f t="shared" si="70"/>
        <v>109.60451977401129</v>
      </c>
      <c r="J620" s="1113">
        <v>885000</v>
      </c>
    </row>
    <row r="621" spans="1:10" s="877" customFormat="1" ht="12.75" customHeight="1" x14ac:dyDescent="0.2">
      <c r="A621" s="832"/>
      <c r="B621" s="884" t="s">
        <v>699</v>
      </c>
      <c r="C621" s="816">
        <v>375000</v>
      </c>
      <c r="D621" s="816">
        <f>375000-30000-40000</f>
        <v>305000</v>
      </c>
      <c r="E621" s="816">
        <v>130500</v>
      </c>
      <c r="F621" s="816"/>
      <c r="G621" s="1051">
        <f t="shared" si="66"/>
        <v>34.799999999999997</v>
      </c>
      <c r="H621" s="1055">
        <f t="shared" si="69"/>
        <v>42.786885245901644</v>
      </c>
      <c r="I621" s="1056">
        <f t="shared" si="70"/>
        <v>80.159705159705169</v>
      </c>
      <c r="J621" s="1113">
        <v>162800</v>
      </c>
    </row>
    <row r="622" spans="1:10" s="877" customFormat="1" ht="12.75" customHeight="1" x14ac:dyDescent="0.2">
      <c r="A622" s="832"/>
      <c r="B622" s="884" t="s">
        <v>700</v>
      </c>
      <c r="C622" s="816">
        <v>3700000</v>
      </c>
      <c r="D622" s="816">
        <v>3700000</v>
      </c>
      <c r="E622" s="816">
        <v>3700000</v>
      </c>
      <c r="F622" s="816"/>
      <c r="G622" s="1051">
        <f t="shared" si="66"/>
        <v>100</v>
      </c>
      <c r="H622" s="1055">
        <f t="shared" si="69"/>
        <v>100</v>
      </c>
      <c r="I622" s="1056">
        <f t="shared" si="70"/>
        <v>109.03197288934727</v>
      </c>
      <c r="J622" s="1113">
        <v>3393500</v>
      </c>
    </row>
    <row r="623" spans="1:10" s="885" customFormat="1" ht="12.75" customHeight="1" x14ac:dyDescent="0.2">
      <c r="A623" s="832"/>
      <c r="B623" s="884" t="s">
        <v>701</v>
      </c>
      <c r="C623" s="816">
        <v>6150000</v>
      </c>
      <c r="D623" s="816">
        <f>6150000-200000</f>
        <v>5950000</v>
      </c>
      <c r="E623" s="816">
        <v>5929000</v>
      </c>
      <c r="F623" s="816"/>
      <c r="G623" s="1051">
        <f t="shared" si="66"/>
        <v>96.40650406504065</v>
      </c>
      <c r="H623" s="1055">
        <f t="shared" si="69"/>
        <v>99.647058823529406</v>
      </c>
      <c r="I623" s="1056">
        <f t="shared" si="70"/>
        <v>100.6826518136123</v>
      </c>
      <c r="J623" s="1113">
        <v>5888800</v>
      </c>
    </row>
    <row r="624" spans="1:10" s="885" customFormat="1" ht="12.75" customHeight="1" x14ac:dyDescent="0.2">
      <c r="A624" s="832"/>
      <c r="B624" s="884" t="s">
        <v>702</v>
      </c>
      <c r="C624" s="816">
        <v>50000</v>
      </c>
      <c r="D624" s="816">
        <v>50000</v>
      </c>
      <c r="E624" s="816">
        <v>41000</v>
      </c>
      <c r="F624" s="816"/>
      <c r="G624" s="1051">
        <f t="shared" si="66"/>
        <v>82</v>
      </c>
      <c r="H624" s="1055">
        <f t="shared" si="69"/>
        <v>82</v>
      </c>
      <c r="I624" s="1056">
        <f t="shared" si="70"/>
        <v>102.49999999999999</v>
      </c>
      <c r="J624" s="1113">
        <v>40000</v>
      </c>
    </row>
    <row r="625" spans="1:10" s="885" customFormat="1" ht="12.75" customHeight="1" x14ac:dyDescent="0.2">
      <c r="A625" s="832"/>
      <c r="B625" s="884" t="s">
        <v>703</v>
      </c>
      <c r="C625" s="816">
        <v>8100000</v>
      </c>
      <c r="D625" s="816">
        <v>8100000</v>
      </c>
      <c r="E625" s="816">
        <v>8100000</v>
      </c>
      <c r="F625" s="816"/>
      <c r="G625" s="1051">
        <f t="shared" si="66"/>
        <v>100</v>
      </c>
      <c r="H625" s="1055">
        <f t="shared" si="69"/>
        <v>100</v>
      </c>
      <c r="I625" s="1056">
        <f t="shared" si="70"/>
        <v>124.61538461538461</v>
      </c>
      <c r="J625" s="1113">
        <v>6500000</v>
      </c>
    </row>
    <row r="626" spans="1:10" s="885" customFormat="1" ht="12.75" customHeight="1" x14ac:dyDescent="0.2">
      <c r="A626" s="832"/>
      <c r="B626" s="884" t="s">
        <v>706</v>
      </c>
      <c r="C626" s="816">
        <v>1065000</v>
      </c>
      <c r="D626" s="816">
        <f>1065000-25000-10000-10000</f>
        <v>1020000</v>
      </c>
      <c r="E626" s="816">
        <v>856500</v>
      </c>
      <c r="F626" s="816"/>
      <c r="G626" s="1051">
        <f t="shared" ref="G626:G689" si="72">E626/C626*100</f>
        <v>80.422535211267615</v>
      </c>
      <c r="H626" s="1055">
        <f t="shared" si="69"/>
        <v>83.970588235294116</v>
      </c>
      <c r="I626" s="1056">
        <f t="shared" si="70"/>
        <v>133.20373250388801</v>
      </c>
      <c r="J626" s="1113">
        <v>643000</v>
      </c>
    </row>
    <row r="627" spans="1:10" s="885" customFormat="1" ht="12.75" customHeight="1" x14ac:dyDescent="0.2">
      <c r="A627" s="832"/>
      <c r="B627" s="884" t="s">
        <v>707</v>
      </c>
      <c r="C627" s="816">
        <v>135000</v>
      </c>
      <c r="D627" s="816">
        <v>135000</v>
      </c>
      <c r="E627" s="816">
        <v>50538</v>
      </c>
      <c r="F627" s="816"/>
      <c r="G627" s="1051">
        <f t="shared" si="72"/>
        <v>37.435555555555553</v>
      </c>
      <c r="H627" s="1055">
        <f t="shared" si="69"/>
        <v>37.435555555555553</v>
      </c>
      <c r="I627" s="1056">
        <f t="shared" si="70"/>
        <v>62.481300611979975</v>
      </c>
      <c r="J627" s="1113">
        <v>80885</v>
      </c>
    </row>
    <row r="628" spans="1:10" s="885" customFormat="1" ht="12.75" customHeight="1" x14ac:dyDescent="0.2">
      <c r="A628" s="832"/>
      <c r="B628" s="884" t="s">
        <v>708</v>
      </c>
      <c r="C628" s="816">
        <v>500000</v>
      </c>
      <c r="D628" s="816">
        <v>500000</v>
      </c>
      <c r="E628" s="816">
        <v>195400</v>
      </c>
      <c r="F628" s="816"/>
      <c r="G628" s="1051">
        <f t="shared" si="72"/>
        <v>39.08</v>
      </c>
      <c r="H628" s="1055">
        <f t="shared" si="69"/>
        <v>39.08</v>
      </c>
      <c r="I628" s="1056">
        <f t="shared" si="70"/>
        <v>39.08</v>
      </c>
      <c r="J628" s="1113">
        <v>500000</v>
      </c>
    </row>
    <row r="629" spans="1:10" s="885" customFormat="1" ht="37.5" customHeight="1" x14ac:dyDescent="0.2">
      <c r="A629" s="730"/>
      <c r="B629" s="884" t="s">
        <v>1657</v>
      </c>
      <c r="C629" s="816">
        <f>+(273+555.3+50.82+90+15+200)*1000</f>
        <v>1184120</v>
      </c>
      <c r="D629" s="816">
        <f>(+(273+555.3+50.82+90+15+200)*1000)+30000+25000+200000+10000+147136+49000+10000+500000+40000</f>
        <v>2195256</v>
      </c>
      <c r="E629" s="816">
        <v>1863560.75</v>
      </c>
      <c r="F629" s="816"/>
      <c r="G629" s="1051">
        <f t="shared" si="72"/>
        <v>157.3793830017228</v>
      </c>
      <c r="H629" s="1055">
        <f t="shared" si="69"/>
        <v>84.890361306380669</v>
      </c>
      <c r="I629" s="670">
        <f t="shared" si="70"/>
        <v>17.810835613869504</v>
      </c>
      <c r="J629" s="1115">
        <v>10463073.1</v>
      </c>
    </row>
    <row r="630" spans="1:10" x14ac:dyDescent="0.2">
      <c r="A630" s="663"/>
      <c r="B630" s="899"/>
      <c r="C630" s="694"/>
      <c r="D630" s="694"/>
      <c r="E630" s="694"/>
      <c r="F630" s="694"/>
      <c r="G630" s="694"/>
      <c r="H630" s="694"/>
      <c r="I630" s="900"/>
    </row>
    <row r="631" spans="1:10" s="85" customFormat="1" ht="21" customHeight="1" x14ac:dyDescent="0.3">
      <c r="A631" s="734"/>
      <c r="B631" s="757" t="s">
        <v>710</v>
      </c>
      <c r="C631" s="901">
        <f>C632</f>
        <v>28556700</v>
      </c>
      <c r="D631" s="901">
        <f t="shared" ref="D631:D632" si="73">D632</f>
        <v>28556700</v>
      </c>
      <c r="E631" s="901">
        <v>27927809.969999999</v>
      </c>
      <c r="F631" s="1118"/>
      <c r="G631" s="735">
        <f t="shared" si="72"/>
        <v>97.797749634936807</v>
      </c>
      <c r="H631" s="735">
        <f t="shared" si="69"/>
        <v>97.797749634936807</v>
      </c>
      <c r="I631" s="1083">
        <f t="shared" si="70"/>
        <v>112.55667481045086</v>
      </c>
      <c r="J631" s="29">
        <v>24812220.170000002</v>
      </c>
    </row>
    <row r="632" spans="1:10" ht="12" customHeight="1" x14ac:dyDescent="0.2">
      <c r="A632" s="663">
        <v>5311</v>
      </c>
      <c r="B632" s="629" t="s">
        <v>711</v>
      </c>
      <c r="C632" s="637">
        <f>SUM(18300+4538.4+1647+ 0+2+350+2+132.5+143+20+264+1+245+30+3+109+3+635+275+200+15+50+10+100+6+123.8+170+750+432 )*1000</f>
        <v>28556700</v>
      </c>
      <c r="D632" s="637">
        <f t="shared" si="73"/>
        <v>28556700</v>
      </c>
      <c r="E632" s="637">
        <v>27927809.969999999</v>
      </c>
      <c r="F632" s="644"/>
      <c r="G632" s="630">
        <f t="shared" si="72"/>
        <v>97.797749634936807</v>
      </c>
      <c r="H632" s="1052">
        <f t="shared" si="69"/>
        <v>97.797749634936807</v>
      </c>
      <c r="I632" s="631">
        <f t="shared" si="70"/>
        <v>112.55667481045086</v>
      </c>
      <c r="J632" s="29">
        <v>24812220.170000002</v>
      </c>
    </row>
    <row r="633" spans="1:10" ht="76.5" x14ac:dyDescent="0.2">
      <c r="A633" s="663"/>
      <c r="B633" s="650" t="s">
        <v>1658</v>
      </c>
      <c r="C633" s="902" t="s">
        <v>1659</v>
      </c>
      <c r="D633" s="637">
        <f>(SUM(18300+4538.4+1647+ 0+2+350+2+132.5+143+20+264+1+245+30+3+109+3+635+275+200+15+50+10+100+6+123.8+170+750+432 )*1000)</f>
        <v>28556700</v>
      </c>
      <c r="E633" s="902" t="s">
        <v>2129</v>
      </c>
      <c r="F633" s="902"/>
      <c r="G633" s="1051">
        <f t="shared" si="72"/>
        <v>97.797749634936807</v>
      </c>
      <c r="H633" s="1055">
        <f t="shared" si="69"/>
        <v>97.797749634936807</v>
      </c>
      <c r="I633" s="670">
        <f t="shared" si="70"/>
        <v>112.55667481045086</v>
      </c>
      <c r="J633" s="1037">
        <v>24812220.170000002</v>
      </c>
    </row>
    <row r="634" spans="1:10" ht="12.75" customHeight="1" x14ac:dyDescent="0.2">
      <c r="A634" s="732"/>
      <c r="B634" s="904"/>
      <c r="C634" s="682"/>
      <c r="D634" s="682"/>
      <c r="E634" s="682"/>
      <c r="F634" s="682"/>
      <c r="G634" s="682"/>
      <c r="H634" s="682"/>
      <c r="I634" s="900"/>
    </row>
    <row r="635" spans="1:10" s="85" customFormat="1" ht="20.25" x14ac:dyDescent="0.3">
      <c r="A635" s="734"/>
      <c r="B635" s="757" t="s">
        <v>41</v>
      </c>
      <c r="C635" s="871">
        <f>SUM(C636:C642)+C651+C652</f>
        <v>31499210</v>
      </c>
      <c r="D635" s="871">
        <f>SUM(D636:D642)+D651+D652</f>
        <v>33962356.909999996</v>
      </c>
      <c r="E635" s="871">
        <v>27853687.370000001</v>
      </c>
      <c r="F635" s="1068">
        <f>SUM(E636:E642,E651:E652)</f>
        <v>27853687.370000001</v>
      </c>
      <c r="G635" s="735">
        <f t="shared" si="72"/>
        <v>88.426622032743055</v>
      </c>
      <c r="H635" s="735">
        <f t="shared" si="69"/>
        <v>82.013411035671268</v>
      </c>
      <c r="I635" s="1083">
        <f t="shared" si="70"/>
        <v>81.789544120915309</v>
      </c>
      <c r="J635" s="29">
        <v>34055315.590000004</v>
      </c>
    </row>
    <row r="636" spans="1:10" ht="36.75" x14ac:dyDescent="0.2">
      <c r="A636" s="906">
        <v>3429</v>
      </c>
      <c r="B636" s="650" t="s">
        <v>1660</v>
      </c>
      <c r="C636" s="687">
        <v>690000</v>
      </c>
      <c r="D636" s="687">
        <f>690000+(70000+80000+50000)</f>
        <v>890000</v>
      </c>
      <c r="E636" s="687">
        <v>882258.02</v>
      </c>
      <c r="F636" s="1089"/>
      <c r="G636" s="630">
        <f t="shared" si="72"/>
        <v>127.8634811594203</v>
      </c>
      <c r="H636" s="1052">
        <f t="shared" si="69"/>
        <v>99.130114606741571</v>
      </c>
      <c r="I636" s="639">
        <f t="shared" si="70"/>
        <v>161.99178328591964</v>
      </c>
      <c r="J636" s="1037">
        <v>544631.34</v>
      </c>
    </row>
    <row r="637" spans="1:10" s="98" customFormat="1" ht="36.75" x14ac:dyDescent="0.2">
      <c r="A637" s="660">
        <v>5212</v>
      </c>
      <c r="B637" s="688" t="s">
        <v>1661</v>
      </c>
      <c r="C637" s="637">
        <v>110000</v>
      </c>
      <c r="D637" s="637">
        <v>110000</v>
      </c>
      <c r="E637" s="637">
        <v>41805.5</v>
      </c>
      <c r="F637" s="644"/>
      <c r="G637" s="630">
        <f t="shared" si="72"/>
        <v>38.005000000000003</v>
      </c>
      <c r="H637" s="1052">
        <f t="shared" si="69"/>
        <v>38.005000000000003</v>
      </c>
      <c r="I637" s="639">
        <f t="shared" si="70"/>
        <v>42.739791849837445</v>
      </c>
      <c r="J637" s="1037">
        <v>97814</v>
      </c>
    </row>
    <row r="638" spans="1:10" s="244" customFormat="1" ht="36.75" x14ac:dyDescent="0.25">
      <c r="A638" s="663">
        <v>5213</v>
      </c>
      <c r="B638" s="634" t="s">
        <v>1662</v>
      </c>
      <c r="C638" s="637">
        <v>200000</v>
      </c>
      <c r="D638" s="637">
        <v>200000</v>
      </c>
      <c r="E638" s="637">
        <v>0</v>
      </c>
      <c r="F638" s="644"/>
      <c r="G638" s="630">
        <f t="shared" si="72"/>
        <v>0</v>
      </c>
      <c r="H638" s="1052">
        <f t="shared" si="69"/>
        <v>0</v>
      </c>
      <c r="I638" s="639">
        <f t="shared" si="70"/>
        <v>0</v>
      </c>
      <c r="J638" s="1037">
        <v>35854</v>
      </c>
    </row>
    <row r="639" spans="1:10" s="98" customFormat="1" ht="24.75" x14ac:dyDescent="0.2">
      <c r="A639" s="663">
        <v>5273</v>
      </c>
      <c r="B639" s="634" t="s">
        <v>1663</v>
      </c>
      <c r="C639" s="637">
        <v>5000</v>
      </c>
      <c r="D639" s="637">
        <v>5000</v>
      </c>
      <c r="E639" s="637">
        <v>0</v>
      </c>
      <c r="F639" s="644"/>
      <c r="G639" s="630">
        <f t="shared" si="72"/>
        <v>0</v>
      </c>
      <c r="H639" s="1052">
        <f t="shared" si="69"/>
        <v>0</v>
      </c>
      <c r="I639" s="639">
        <v>0</v>
      </c>
      <c r="J639" s="1037">
        <v>0</v>
      </c>
    </row>
    <row r="640" spans="1:10" s="244" customFormat="1" ht="15.75" x14ac:dyDescent="0.25">
      <c r="A640" s="663">
        <v>5511</v>
      </c>
      <c r="B640" s="634" t="s">
        <v>1664</v>
      </c>
      <c r="C640" s="637">
        <v>2100000</v>
      </c>
      <c r="D640" s="637">
        <v>2100000</v>
      </c>
      <c r="E640" s="637">
        <v>2029436</v>
      </c>
      <c r="F640" s="644"/>
      <c r="G640" s="630">
        <f t="shared" si="72"/>
        <v>96.639809523809532</v>
      </c>
      <c r="H640" s="1052">
        <f t="shared" si="69"/>
        <v>96.639809523809532</v>
      </c>
      <c r="I640" s="631">
        <f t="shared" si="70"/>
        <v>115.09998332571459</v>
      </c>
      <c r="J640" s="29">
        <v>1763194</v>
      </c>
    </row>
    <row r="641" spans="1:11" s="244" customFormat="1" ht="36.75" x14ac:dyDescent="0.25">
      <c r="A641" s="663">
        <v>5512</v>
      </c>
      <c r="B641" s="634" t="s">
        <v>1665</v>
      </c>
      <c r="C641" s="637">
        <v>125000</v>
      </c>
      <c r="D641" s="637">
        <v>125000</v>
      </c>
      <c r="E641" s="637">
        <v>124627.49</v>
      </c>
      <c r="F641" s="644"/>
      <c r="G641" s="630">
        <f t="shared" si="72"/>
        <v>99.701992000000004</v>
      </c>
      <c r="H641" s="1052">
        <f t="shared" ref="H641:H704" si="74">E641/D641*100</f>
        <v>99.701992000000004</v>
      </c>
      <c r="I641" s="639">
        <f t="shared" si="70"/>
        <v>127.21042127779283</v>
      </c>
      <c r="J641" s="1037">
        <v>97969.56</v>
      </c>
    </row>
    <row r="642" spans="1:11" s="244" customFormat="1" ht="12.75" customHeight="1" x14ac:dyDescent="0.25">
      <c r="A642" s="663">
        <v>6171</v>
      </c>
      <c r="B642" s="629" t="s">
        <v>719</v>
      </c>
      <c r="C642" s="635">
        <f>SUM(C643:C650)</f>
        <v>26719210</v>
      </c>
      <c r="D642" s="635">
        <f>SUM(D643:D650)</f>
        <v>27329956.909999996</v>
      </c>
      <c r="E642" s="635">
        <v>21849688.359999999</v>
      </c>
      <c r="F642" s="652">
        <f>SUM(E643:E650)</f>
        <v>21849688.359999999</v>
      </c>
      <c r="G642" s="630">
        <f t="shared" si="72"/>
        <v>81.775203533337987</v>
      </c>
      <c r="H642" s="1052">
        <f t="shared" si="74"/>
        <v>79.947760005451102</v>
      </c>
      <c r="I642" s="631">
        <f t="shared" si="70"/>
        <v>84.78961852489735</v>
      </c>
      <c r="J642" s="29">
        <v>25769296.690000001</v>
      </c>
    </row>
    <row r="643" spans="1:11" s="244" customFormat="1" ht="132" x14ac:dyDescent="0.25">
      <c r="A643" s="663"/>
      <c r="B643" s="908" t="s">
        <v>1667</v>
      </c>
      <c r="C643" s="644">
        <v>19068500</v>
      </c>
      <c r="D643" s="644">
        <f>19068500-70000+16216+113800.5+121111+300000-126706-0.36</f>
        <v>19422921.140000001</v>
      </c>
      <c r="E643" s="644">
        <v>15520713.35</v>
      </c>
      <c r="F643" s="644"/>
      <c r="G643" s="1051">
        <f t="shared" si="72"/>
        <v>81.394516348952465</v>
      </c>
      <c r="H643" s="1055">
        <f t="shared" si="74"/>
        <v>79.909264101558307</v>
      </c>
      <c r="I643" s="670">
        <f t="shared" si="70"/>
        <v>106.93570442750062</v>
      </c>
      <c r="J643" s="1037">
        <v>14514060.98</v>
      </c>
    </row>
    <row r="644" spans="1:11" s="244" customFormat="1" ht="15.75" x14ac:dyDescent="0.25">
      <c r="A644" s="663"/>
      <c r="B644" s="908" t="s">
        <v>1668</v>
      </c>
      <c r="C644" s="644">
        <v>200000</v>
      </c>
      <c r="D644" s="644">
        <f>200000+126706+0.36</f>
        <v>326706.36</v>
      </c>
      <c r="E644" s="644">
        <v>126706.36</v>
      </c>
      <c r="F644" s="644"/>
      <c r="G644" s="1051">
        <f t="shared" si="72"/>
        <v>63.353179999999995</v>
      </c>
      <c r="H644" s="1055">
        <f t="shared" si="74"/>
        <v>38.782948700478315</v>
      </c>
      <c r="I644" s="1056">
        <v>0</v>
      </c>
      <c r="J644" s="88">
        <v>0</v>
      </c>
    </row>
    <row r="645" spans="1:11" x14ac:dyDescent="0.2">
      <c r="A645" s="646"/>
      <c r="B645" s="1119" t="s">
        <v>1984</v>
      </c>
      <c r="C645" s="644">
        <v>0</v>
      </c>
      <c r="D645" s="644">
        <f>(8051.9+68441.11)+(9438+4719+80223)+(27733.2+13866.6+235732.2)+(-8051.9-68441.11)+(37171.2+315955.2)</f>
        <v>724838.40000000002</v>
      </c>
      <c r="E645" s="816">
        <v>371712</v>
      </c>
      <c r="F645" s="816"/>
      <c r="G645" s="1051">
        <v>0</v>
      </c>
      <c r="H645" s="1055">
        <f t="shared" si="74"/>
        <v>51.282051282051277</v>
      </c>
      <c r="I645" s="1056">
        <v>0</v>
      </c>
      <c r="J645" s="1072">
        <v>0</v>
      </c>
      <c r="K645" s="1037"/>
    </row>
    <row r="646" spans="1:11" s="98" customFormat="1" ht="36" x14ac:dyDescent="0.2">
      <c r="A646" s="664"/>
      <c r="B646" s="909" t="s">
        <v>1669</v>
      </c>
      <c r="C646" s="644">
        <v>5480300</v>
      </c>
      <c r="D646" s="644">
        <f>5480300-94380-277332+76493.01-427454.54-300000-285501-48795</f>
        <v>4123330.4699999997</v>
      </c>
      <c r="E646" s="644">
        <v>3317275.68</v>
      </c>
      <c r="F646" s="644"/>
      <c r="G646" s="1051">
        <f t="shared" si="72"/>
        <v>60.530914001058342</v>
      </c>
      <c r="H646" s="1055">
        <f t="shared" si="74"/>
        <v>80.451365810608934</v>
      </c>
      <c r="I646" s="670">
        <f t="shared" si="70"/>
        <v>102.92178993936518</v>
      </c>
      <c r="J646" s="1037">
        <v>3223103.37</v>
      </c>
    </row>
    <row r="647" spans="1:11" ht="24" x14ac:dyDescent="0.2">
      <c r="A647" s="664"/>
      <c r="B647" s="909" t="s">
        <v>1670</v>
      </c>
      <c r="C647" s="644">
        <v>1512810</v>
      </c>
      <c r="D647" s="644">
        <f>1512810+427454.54+285501+48795</f>
        <v>2274560.54</v>
      </c>
      <c r="E647" s="644">
        <v>2124559.04</v>
      </c>
      <c r="F647" s="644"/>
      <c r="G647" s="1051">
        <f t="shared" si="72"/>
        <v>140.43792941611969</v>
      </c>
      <c r="H647" s="1055">
        <f t="shared" si="74"/>
        <v>93.405253570432549</v>
      </c>
      <c r="I647" s="670">
        <f t="shared" ref="I647:I710" si="75">E647/J647*100</f>
        <v>113.48824925803342</v>
      </c>
      <c r="J647" s="1037">
        <v>1872052</v>
      </c>
    </row>
    <row r="648" spans="1:11" x14ac:dyDescent="0.2">
      <c r="A648" s="664"/>
      <c r="B648" s="643" t="s">
        <v>1671</v>
      </c>
      <c r="C648" s="644">
        <v>200000</v>
      </c>
      <c r="D648" s="644">
        <v>200000</v>
      </c>
      <c r="E648" s="644">
        <v>162773.14000000001</v>
      </c>
      <c r="F648" s="644"/>
      <c r="G648" s="1051">
        <f t="shared" si="72"/>
        <v>81.386570000000006</v>
      </c>
      <c r="H648" s="1055">
        <f t="shared" si="74"/>
        <v>81.386570000000006</v>
      </c>
      <c r="I648" s="1056">
        <f t="shared" si="75"/>
        <v>83.360112323241523</v>
      </c>
      <c r="J648" s="29">
        <v>195265.02</v>
      </c>
    </row>
    <row r="649" spans="1:11" x14ac:dyDescent="0.2">
      <c r="A649" s="664"/>
      <c r="B649" s="643" t="s">
        <v>1672</v>
      </c>
      <c r="C649" s="644">
        <v>60000</v>
      </c>
      <c r="D649" s="644">
        <v>60000</v>
      </c>
      <c r="E649" s="644">
        <v>30981.74</v>
      </c>
      <c r="F649" s="644"/>
      <c r="G649" s="1051">
        <f t="shared" si="72"/>
        <v>51.636233333333337</v>
      </c>
      <c r="H649" s="1055">
        <f t="shared" si="74"/>
        <v>51.636233333333337</v>
      </c>
      <c r="I649" s="1056">
        <f t="shared" si="75"/>
        <v>95.899965053266683</v>
      </c>
      <c r="J649" s="29">
        <v>32306.31</v>
      </c>
    </row>
    <row r="650" spans="1:11" ht="24.75" x14ac:dyDescent="0.2">
      <c r="A650" s="664"/>
      <c r="B650" s="650" t="s">
        <v>1673</v>
      </c>
      <c r="C650" s="644">
        <v>197600</v>
      </c>
      <c r="D650" s="644">
        <v>197600</v>
      </c>
      <c r="E650" s="644">
        <v>194967.05</v>
      </c>
      <c r="F650" s="644"/>
      <c r="G650" s="1051">
        <f t="shared" si="72"/>
        <v>98.667535425101207</v>
      </c>
      <c r="H650" s="1055">
        <f t="shared" si="74"/>
        <v>98.667535425101207</v>
      </c>
      <c r="I650" s="670">
        <f t="shared" si="75"/>
        <v>116.57881416917128</v>
      </c>
      <c r="J650" s="1037">
        <v>167240.54999999999</v>
      </c>
    </row>
    <row r="651" spans="1:11" x14ac:dyDescent="0.2">
      <c r="A651" s="663">
        <v>6221</v>
      </c>
      <c r="B651" s="1120" t="s">
        <v>1985</v>
      </c>
      <c r="C651" s="637">
        <v>0</v>
      </c>
      <c r="D651" s="637">
        <f>227100+232500+210000+231000+234000+241800+231000+45000</f>
        <v>1652400</v>
      </c>
      <c r="E651" s="637">
        <v>1652400</v>
      </c>
      <c r="F651" s="644"/>
      <c r="G651" s="630">
        <v>0</v>
      </c>
      <c r="H651" s="1052">
        <f t="shared" si="74"/>
        <v>100</v>
      </c>
      <c r="I651" s="631">
        <f t="shared" si="75"/>
        <v>40.566118796567935</v>
      </c>
      <c r="J651" s="29">
        <v>4073350</v>
      </c>
    </row>
    <row r="652" spans="1:11" ht="12.75" customHeight="1" x14ac:dyDescent="0.2">
      <c r="A652" s="663">
        <v>6320</v>
      </c>
      <c r="B652" s="629" t="s">
        <v>1675</v>
      </c>
      <c r="C652" s="637">
        <v>1550000</v>
      </c>
      <c r="D652" s="637">
        <v>1550000</v>
      </c>
      <c r="E652" s="637">
        <v>1273472</v>
      </c>
      <c r="F652" s="644"/>
      <c r="G652" s="630">
        <f t="shared" si="72"/>
        <v>82.159483870967748</v>
      </c>
      <c r="H652" s="1052">
        <f t="shared" si="74"/>
        <v>82.159483870967748</v>
      </c>
      <c r="I652" s="631">
        <f t="shared" si="75"/>
        <v>105.51944716039972</v>
      </c>
      <c r="J652" s="29">
        <v>1206860</v>
      </c>
    </row>
    <row r="653" spans="1:11" ht="12.75" customHeight="1" x14ac:dyDescent="0.2">
      <c r="A653" s="861"/>
      <c r="B653" s="910"/>
      <c r="C653" s="682"/>
      <c r="D653" s="682"/>
      <c r="E653" s="682"/>
      <c r="F653" s="682"/>
      <c r="G653" s="682"/>
      <c r="H653" s="682"/>
      <c r="I653" s="911"/>
    </row>
    <row r="654" spans="1:11" s="85" customFormat="1" ht="20.25" x14ac:dyDescent="0.3">
      <c r="A654" s="734"/>
      <c r="B654" s="757" t="s">
        <v>729</v>
      </c>
      <c r="C654" s="912">
        <f t="shared" ref="C654:D654" si="76">C656+C657+C661+C655</f>
        <v>166253060</v>
      </c>
      <c r="D654" s="912">
        <f t="shared" si="76"/>
        <v>168024227.20999998</v>
      </c>
      <c r="E654" s="912">
        <v>162131523.28</v>
      </c>
      <c r="F654" s="1121">
        <f>SUM(E655:E657,E661)</f>
        <v>162131523.28</v>
      </c>
      <c r="G654" s="735">
        <f t="shared" si="72"/>
        <v>97.52092579829808</v>
      </c>
      <c r="H654" s="735">
        <f t="shared" si="74"/>
        <v>96.492943888005414</v>
      </c>
      <c r="I654" s="1091">
        <f t="shared" si="75"/>
        <v>107.74502037513258</v>
      </c>
      <c r="J654" s="29">
        <v>150477045.44999999</v>
      </c>
    </row>
    <row r="655" spans="1:11" s="98" customFormat="1" x14ac:dyDescent="0.2">
      <c r="A655" s="737">
        <v>3341</v>
      </c>
      <c r="B655" s="914" t="s">
        <v>1676</v>
      </c>
      <c r="C655" s="637">
        <v>2601000</v>
      </c>
      <c r="D655" s="637">
        <f>2601000+508200</f>
        <v>3109200</v>
      </c>
      <c r="E655" s="637">
        <v>2958692</v>
      </c>
      <c r="F655" s="644"/>
      <c r="G655" s="630">
        <f t="shared" si="72"/>
        <v>113.75209534794311</v>
      </c>
      <c r="H655" s="1052">
        <f t="shared" si="74"/>
        <v>95.159269265405882</v>
      </c>
      <c r="I655" s="631">
        <f t="shared" si="75"/>
        <v>115.28605139043451</v>
      </c>
      <c r="J655" s="29">
        <v>2566392</v>
      </c>
    </row>
    <row r="656" spans="1:11" s="98" customFormat="1" ht="36.75" x14ac:dyDescent="0.2">
      <c r="A656" s="663">
        <v>6112</v>
      </c>
      <c r="B656" s="634" t="s">
        <v>1677</v>
      </c>
      <c r="C656" s="637">
        <v>9066800</v>
      </c>
      <c r="D656" s="637">
        <f>9066800+(400000+36000)+67000</f>
        <v>9569800</v>
      </c>
      <c r="E656" s="637">
        <v>9246783.8699999992</v>
      </c>
      <c r="F656" s="644"/>
      <c r="G656" s="630">
        <f t="shared" si="72"/>
        <v>101.98508702077909</v>
      </c>
      <c r="H656" s="1052">
        <f t="shared" si="74"/>
        <v>96.624630295303973</v>
      </c>
      <c r="I656" s="639">
        <f t="shared" si="75"/>
        <v>110.66143515977518</v>
      </c>
      <c r="J656" s="1037">
        <v>8355922.5999999996</v>
      </c>
    </row>
    <row r="657" spans="1:10" x14ac:dyDescent="0.2">
      <c r="A657" s="663">
        <v>6171</v>
      </c>
      <c r="B657" s="629" t="s">
        <v>719</v>
      </c>
      <c r="C657" s="637">
        <f t="shared" ref="C657:D657" si="77">SUM(C658:C660)</f>
        <v>148579260</v>
      </c>
      <c r="D657" s="637">
        <f t="shared" si="77"/>
        <v>149339227.20999998</v>
      </c>
      <c r="E657" s="637">
        <v>143920047.41</v>
      </c>
      <c r="F657" s="644">
        <f>SUM(E658:E660)</f>
        <v>143920047.41</v>
      </c>
      <c r="G657" s="630">
        <f t="shared" si="72"/>
        <v>96.864156821079874</v>
      </c>
      <c r="H657" s="1052">
        <f t="shared" si="74"/>
        <v>96.371228175448138</v>
      </c>
      <c r="I657" s="631">
        <f t="shared" si="75"/>
        <v>107.70464905299377</v>
      </c>
      <c r="J657" s="29">
        <v>133624730.84999999</v>
      </c>
    </row>
    <row r="658" spans="1:10" ht="45.75" customHeight="1" x14ac:dyDescent="0.2">
      <c r="A658" s="660"/>
      <c r="B658" s="917" t="s">
        <v>1678</v>
      </c>
      <c r="C658" s="644">
        <f>130618600+94000</f>
        <v>130712600</v>
      </c>
      <c r="D658" s="644">
        <f>130618600+94000-15000+(-103000-27000)+94000-67000+130000+150000+96967.21</f>
        <v>130971567.20999999</v>
      </c>
      <c r="E658" s="644">
        <v>127933559.65000001</v>
      </c>
      <c r="F658" s="644"/>
      <c r="G658" s="1051">
        <f t="shared" si="72"/>
        <v>97.873930784025418</v>
      </c>
      <c r="H658" s="1055">
        <f t="shared" si="74"/>
        <v>97.680406805296258</v>
      </c>
      <c r="I658" s="670">
        <f t="shared" si="75"/>
        <v>107.38117080208507</v>
      </c>
      <c r="J658" s="1037">
        <v>119139658</v>
      </c>
    </row>
    <row r="659" spans="1:10" ht="15.75" x14ac:dyDescent="0.25">
      <c r="A659" s="918"/>
      <c r="B659" s="650" t="s">
        <v>1679</v>
      </c>
      <c r="C659" s="644">
        <v>9025940</v>
      </c>
      <c r="D659" s="644">
        <f>9025940+15000-94000+804000</f>
        <v>9750940</v>
      </c>
      <c r="E659" s="644">
        <v>8721295.5</v>
      </c>
      <c r="F659" s="644"/>
      <c r="G659" s="1051">
        <f t="shared" si="72"/>
        <v>96.624789218629857</v>
      </c>
      <c r="H659" s="1055">
        <f t="shared" si="74"/>
        <v>89.440561627904586</v>
      </c>
      <c r="I659" s="1056">
        <f t="shared" si="75"/>
        <v>113.32779209830193</v>
      </c>
      <c r="J659" s="29">
        <v>7695637</v>
      </c>
    </row>
    <row r="660" spans="1:10" ht="36.75" x14ac:dyDescent="0.25">
      <c r="A660" s="918"/>
      <c r="B660" s="634" t="s">
        <v>1680</v>
      </c>
      <c r="C660" s="644">
        <f>8934720-94000</f>
        <v>8840720</v>
      </c>
      <c r="D660" s="644">
        <f>8934720-94000-224000</f>
        <v>8616720</v>
      </c>
      <c r="E660" s="644">
        <v>7265192.2599999998</v>
      </c>
      <c r="F660" s="644"/>
      <c r="G660" s="1051">
        <f t="shared" si="72"/>
        <v>82.178739514428685</v>
      </c>
      <c r="H660" s="1055">
        <f t="shared" si="74"/>
        <v>84.315055612808592</v>
      </c>
      <c r="I660" s="670">
        <f t="shared" si="75"/>
        <v>107.00730400155412</v>
      </c>
      <c r="J660" s="1037">
        <v>6789435.8499999996</v>
      </c>
    </row>
    <row r="661" spans="1:10" x14ac:dyDescent="0.2">
      <c r="A661" s="697">
        <v>6330</v>
      </c>
      <c r="B661" s="1186" t="s">
        <v>734</v>
      </c>
      <c r="C661" s="795">
        <v>6006000</v>
      </c>
      <c r="D661" s="795">
        <f>6006000</f>
        <v>6006000</v>
      </c>
      <c r="E661" s="795">
        <v>6006000</v>
      </c>
      <c r="F661" s="816"/>
      <c r="G661" s="630">
        <f t="shared" si="72"/>
        <v>100</v>
      </c>
      <c r="H661" s="1052">
        <f t="shared" si="74"/>
        <v>100</v>
      </c>
      <c r="I661" s="1187">
        <f t="shared" si="75"/>
        <v>101.79661016949153</v>
      </c>
      <c r="J661" s="29">
        <v>5900000</v>
      </c>
    </row>
    <row r="662" spans="1:10" ht="12.75" customHeight="1" x14ac:dyDescent="0.2">
      <c r="A662" s="699"/>
      <c r="B662" s="924"/>
      <c r="C662" s="919"/>
      <c r="D662" s="919"/>
      <c r="E662" s="919"/>
      <c r="F662" s="694"/>
      <c r="G662" s="1188"/>
      <c r="H662" s="1189"/>
      <c r="I662" s="1190"/>
    </row>
    <row r="663" spans="1:10" s="85" customFormat="1" ht="20.25" x14ac:dyDescent="0.3">
      <c r="A663" s="734"/>
      <c r="B663" s="757" t="s">
        <v>43</v>
      </c>
      <c r="C663" s="920">
        <f>C664+C680</f>
        <v>15923250</v>
      </c>
      <c r="D663" s="920">
        <f>D664+D680</f>
        <v>13923250</v>
      </c>
      <c r="E663" s="920">
        <v>13653274.91</v>
      </c>
      <c r="F663" s="1048">
        <f>SUM(E664,E680)</f>
        <v>13653274.91</v>
      </c>
      <c r="G663" s="735">
        <f t="shared" si="72"/>
        <v>85.744272745827644</v>
      </c>
      <c r="H663" s="735">
        <f t="shared" si="74"/>
        <v>98.060976496148527</v>
      </c>
      <c r="I663" s="1091">
        <f t="shared" si="75"/>
        <v>109.20333839105321</v>
      </c>
      <c r="J663" s="29">
        <v>12502616.779999999</v>
      </c>
    </row>
    <row r="664" spans="1:10" ht="15.75" x14ac:dyDescent="0.25">
      <c r="A664" s="621"/>
      <c r="B664" s="657" t="s">
        <v>735</v>
      </c>
      <c r="C664" s="623">
        <f>SUM(C665:C667,C670,C672,C678:C679)</f>
        <v>1300000</v>
      </c>
      <c r="D664" s="623">
        <f>SUM(D665:D667,D670,D672,D678:D679)</f>
        <v>1300000</v>
      </c>
      <c r="E664" s="623">
        <v>957000.89</v>
      </c>
      <c r="F664" s="1122">
        <f>SUM(E665:E667,E670,E672,E678:E679)</f>
        <v>957000.89</v>
      </c>
      <c r="G664" s="623">
        <f t="shared" si="72"/>
        <v>73.615453076923075</v>
      </c>
      <c r="H664" s="623">
        <f t="shared" si="74"/>
        <v>73.615453076923075</v>
      </c>
      <c r="I664" s="741">
        <f t="shared" si="75"/>
        <v>113.94539208477701</v>
      </c>
      <c r="J664" s="29">
        <v>839876.78</v>
      </c>
    </row>
    <row r="665" spans="1:10" x14ac:dyDescent="0.2">
      <c r="A665" s="663">
        <v>3613</v>
      </c>
      <c r="B665" s="629" t="s">
        <v>1681</v>
      </c>
      <c r="C665" s="637">
        <v>3000</v>
      </c>
      <c r="D665" s="637">
        <f>3000+1000</f>
        <v>4000</v>
      </c>
      <c r="E665" s="637">
        <v>3171.6</v>
      </c>
      <c r="F665" s="644"/>
      <c r="G665" s="630">
        <f t="shared" si="72"/>
        <v>105.72</v>
      </c>
      <c r="H665" s="1052">
        <f t="shared" si="74"/>
        <v>79.289999999999992</v>
      </c>
      <c r="I665" s="639">
        <v>0</v>
      </c>
      <c r="J665" s="29">
        <v>0</v>
      </c>
    </row>
    <row r="666" spans="1:10" s="244" customFormat="1" ht="12.75" customHeight="1" x14ac:dyDescent="0.25">
      <c r="A666" s="663">
        <v>3632</v>
      </c>
      <c r="B666" s="629" t="s">
        <v>1682</v>
      </c>
      <c r="C666" s="637">
        <v>200000</v>
      </c>
      <c r="D666" s="637">
        <f>200000+50000</f>
        <v>250000</v>
      </c>
      <c r="E666" s="637">
        <v>173811.41</v>
      </c>
      <c r="F666" s="644"/>
      <c r="G666" s="630">
        <f t="shared" si="72"/>
        <v>86.905704999999998</v>
      </c>
      <c r="H666" s="1052">
        <f t="shared" si="74"/>
        <v>69.524563999999998</v>
      </c>
      <c r="I666" s="639">
        <f t="shared" si="75"/>
        <v>112.6768060491415</v>
      </c>
      <c r="J666" s="29">
        <v>154256.6</v>
      </c>
    </row>
    <row r="667" spans="1:10" s="244" customFormat="1" ht="12.75" customHeight="1" x14ac:dyDescent="0.25">
      <c r="A667" s="663">
        <v>4329</v>
      </c>
      <c r="B667" s="629" t="s">
        <v>739</v>
      </c>
      <c r="C667" s="635">
        <f t="shared" ref="C667:D667" si="78">SUM(C668:C669)</f>
        <v>258000</v>
      </c>
      <c r="D667" s="635">
        <f t="shared" si="78"/>
        <v>258000</v>
      </c>
      <c r="E667" s="635">
        <v>223968.8</v>
      </c>
      <c r="F667" s="652"/>
      <c r="G667" s="630">
        <f t="shared" si="72"/>
        <v>86.809612403100772</v>
      </c>
      <c r="H667" s="1052">
        <f t="shared" si="74"/>
        <v>86.809612403100772</v>
      </c>
      <c r="I667" s="639">
        <f t="shared" si="75"/>
        <v>101.12690937495768</v>
      </c>
      <c r="J667" s="29">
        <v>221473</v>
      </c>
    </row>
    <row r="668" spans="1:10" s="98" customFormat="1" x14ac:dyDescent="0.2">
      <c r="A668" s="663"/>
      <c r="B668" s="672" t="s">
        <v>1683</v>
      </c>
      <c r="C668" s="644">
        <v>8000</v>
      </c>
      <c r="D668" s="644">
        <f>8000+5000+200</f>
        <v>13200</v>
      </c>
      <c r="E668" s="644">
        <v>13168.8</v>
      </c>
      <c r="F668" s="644"/>
      <c r="G668" s="1051">
        <f t="shared" si="72"/>
        <v>164.60999999999999</v>
      </c>
      <c r="H668" s="1055">
        <f t="shared" si="74"/>
        <v>99.763636363636351</v>
      </c>
      <c r="I668" s="670">
        <f t="shared" si="75"/>
        <v>123.3842406071395</v>
      </c>
      <c r="J668" s="29">
        <v>10673</v>
      </c>
    </row>
    <row r="669" spans="1:10" s="98" customFormat="1" x14ac:dyDescent="0.2">
      <c r="A669" s="663"/>
      <c r="B669" s="672" t="s">
        <v>1684</v>
      </c>
      <c r="C669" s="644">
        <v>250000</v>
      </c>
      <c r="D669" s="644">
        <f>250000-5000-200</f>
        <v>244800</v>
      </c>
      <c r="E669" s="644">
        <v>210800</v>
      </c>
      <c r="F669" s="644"/>
      <c r="G669" s="1051">
        <f t="shared" si="72"/>
        <v>84.32</v>
      </c>
      <c r="H669" s="1055">
        <f t="shared" si="74"/>
        <v>86.111111111111114</v>
      </c>
      <c r="I669" s="670">
        <f t="shared" si="75"/>
        <v>100</v>
      </c>
      <c r="J669" s="29">
        <v>210800</v>
      </c>
    </row>
    <row r="670" spans="1:10" x14ac:dyDescent="0.2">
      <c r="A670" s="663">
        <v>4349</v>
      </c>
      <c r="B670" s="629" t="s">
        <v>747</v>
      </c>
      <c r="C670" s="635">
        <f t="shared" ref="C670:D670" si="79">SUM(C671:C671)</f>
        <v>300000</v>
      </c>
      <c r="D670" s="635">
        <f t="shared" si="79"/>
        <v>300000</v>
      </c>
      <c r="E670" s="635">
        <v>171655.46</v>
      </c>
      <c r="F670" s="652"/>
      <c r="G670" s="630">
        <f t="shared" si="72"/>
        <v>57.218486666666671</v>
      </c>
      <c r="H670" s="1052">
        <f t="shared" si="74"/>
        <v>57.218486666666671</v>
      </c>
      <c r="I670" s="639">
        <f t="shared" si="75"/>
        <v>92.629115429528568</v>
      </c>
      <c r="J670" s="29">
        <v>185314.8</v>
      </c>
    </row>
    <row r="671" spans="1:10" x14ac:dyDescent="0.2">
      <c r="A671" s="664"/>
      <c r="B671" s="643" t="s">
        <v>1686</v>
      </c>
      <c r="C671" s="644">
        <v>300000</v>
      </c>
      <c r="D671" s="644">
        <v>300000</v>
      </c>
      <c r="E671" s="644">
        <v>171655.46</v>
      </c>
      <c r="F671" s="644"/>
      <c r="G671" s="1051">
        <f t="shared" si="72"/>
        <v>57.218486666666671</v>
      </c>
      <c r="H671" s="1055">
        <f t="shared" si="74"/>
        <v>57.218486666666671</v>
      </c>
      <c r="I671" s="670">
        <f t="shared" si="75"/>
        <v>92.629115429528568</v>
      </c>
      <c r="J671" s="29">
        <v>185314.8</v>
      </c>
    </row>
    <row r="672" spans="1:10" s="98" customFormat="1" x14ac:dyDescent="0.2">
      <c r="A672" s="663">
        <v>4379</v>
      </c>
      <c r="B672" s="629" t="s">
        <v>754</v>
      </c>
      <c r="C672" s="635">
        <f>SUM(C673:C677)</f>
        <v>434000</v>
      </c>
      <c r="D672" s="635">
        <f>SUM(D673:D677)</f>
        <v>483000</v>
      </c>
      <c r="E672" s="635">
        <v>380376.62</v>
      </c>
      <c r="F672" s="652"/>
      <c r="G672" s="630">
        <f t="shared" si="72"/>
        <v>87.644382488479266</v>
      </c>
      <c r="H672" s="1052">
        <f t="shared" si="74"/>
        <v>78.752923395445123</v>
      </c>
      <c r="I672" s="639">
        <f t="shared" si="75"/>
        <v>178.26724089368179</v>
      </c>
      <c r="J672" s="29">
        <v>213374.38</v>
      </c>
    </row>
    <row r="673" spans="1:10" x14ac:dyDescent="0.2">
      <c r="A673" s="664"/>
      <c r="B673" s="643" t="s">
        <v>1688</v>
      </c>
      <c r="C673" s="644">
        <v>209000</v>
      </c>
      <c r="D673" s="644">
        <f>209000+30000</f>
        <v>239000</v>
      </c>
      <c r="E673" s="644">
        <v>199464.25</v>
      </c>
      <c r="F673" s="644"/>
      <c r="G673" s="1051">
        <f t="shared" si="72"/>
        <v>95.437440191387552</v>
      </c>
      <c r="H673" s="1055">
        <f t="shared" si="74"/>
        <v>83.457845188284523</v>
      </c>
      <c r="I673" s="670">
        <f t="shared" si="75"/>
        <v>153.21452918414963</v>
      </c>
      <c r="J673" s="29">
        <v>130186.25</v>
      </c>
    </row>
    <row r="674" spans="1:10" s="419" customFormat="1" x14ac:dyDescent="0.2">
      <c r="A674" s="664"/>
      <c r="B674" s="643" t="s">
        <v>1689</v>
      </c>
      <c r="C674" s="644">
        <v>62000</v>
      </c>
      <c r="D674" s="644">
        <v>62000</v>
      </c>
      <c r="E674" s="644">
        <v>45842.29</v>
      </c>
      <c r="F674" s="644"/>
      <c r="G674" s="1051">
        <f t="shared" si="72"/>
        <v>73.939177419354834</v>
      </c>
      <c r="H674" s="1055">
        <f t="shared" si="74"/>
        <v>73.939177419354834</v>
      </c>
      <c r="I674" s="670">
        <f t="shared" si="75"/>
        <v>89.225524543578956</v>
      </c>
      <c r="J674" s="29">
        <v>51378</v>
      </c>
    </row>
    <row r="675" spans="1:10" x14ac:dyDescent="0.2">
      <c r="A675" s="664"/>
      <c r="B675" s="643" t="s">
        <v>1690</v>
      </c>
      <c r="C675" s="644">
        <v>53000</v>
      </c>
      <c r="D675" s="644">
        <v>53000</v>
      </c>
      <c r="E675" s="644">
        <v>39626.35</v>
      </c>
      <c r="F675" s="644"/>
      <c r="G675" s="1051">
        <f t="shared" si="72"/>
        <v>74.766698113207539</v>
      </c>
      <c r="H675" s="1055">
        <f t="shared" si="74"/>
        <v>74.766698113207539</v>
      </c>
      <c r="I675" s="670">
        <f t="shared" si="75"/>
        <v>176.87073767202742</v>
      </c>
      <c r="J675" s="29">
        <v>22404.13</v>
      </c>
    </row>
    <row r="676" spans="1:10" s="98" customFormat="1" x14ac:dyDescent="0.2">
      <c r="A676" s="664"/>
      <c r="B676" s="643" t="s">
        <v>1691</v>
      </c>
      <c r="C676" s="644">
        <v>10000</v>
      </c>
      <c r="D676" s="644">
        <v>10000</v>
      </c>
      <c r="E676" s="644">
        <v>0</v>
      </c>
      <c r="F676" s="644"/>
      <c r="G676" s="1051">
        <f t="shared" si="72"/>
        <v>0</v>
      </c>
      <c r="H676" s="1055">
        <f t="shared" si="74"/>
        <v>0</v>
      </c>
      <c r="I676" s="670">
        <f t="shared" si="75"/>
        <v>0</v>
      </c>
      <c r="J676" s="29">
        <v>9406</v>
      </c>
    </row>
    <row r="677" spans="1:10" s="98" customFormat="1" x14ac:dyDescent="0.2">
      <c r="A677" s="664"/>
      <c r="B677" s="643" t="s">
        <v>1692</v>
      </c>
      <c r="C677" s="644">
        <v>100000</v>
      </c>
      <c r="D677" s="644">
        <f>100000+50000-30000-1000</f>
        <v>119000</v>
      </c>
      <c r="E677" s="644">
        <v>95443.73</v>
      </c>
      <c r="F677" s="644"/>
      <c r="G677" s="1051">
        <f t="shared" si="72"/>
        <v>95.443729999999988</v>
      </c>
      <c r="H677" s="1055">
        <f t="shared" si="74"/>
        <v>80.20481512605042</v>
      </c>
      <c r="I677" s="670">
        <v>0</v>
      </c>
      <c r="J677" s="29">
        <v>0</v>
      </c>
    </row>
    <row r="678" spans="1:10" x14ac:dyDescent="0.2">
      <c r="A678" s="663">
        <v>4399</v>
      </c>
      <c r="B678" s="629" t="s">
        <v>1986</v>
      </c>
      <c r="C678" s="637">
        <v>5000</v>
      </c>
      <c r="D678" s="637">
        <v>5000</v>
      </c>
      <c r="E678" s="637">
        <v>4017</v>
      </c>
      <c r="F678" s="644"/>
      <c r="G678" s="630">
        <f t="shared" si="72"/>
        <v>80.34</v>
      </c>
      <c r="H678" s="1052">
        <f t="shared" si="74"/>
        <v>80.34</v>
      </c>
      <c r="I678" s="639">
        <f t="shared" si="75"/>
        <v>81.18431689571544</v>
      </c>
      <c r="J678" s="29">
        <v>4948</v>
      </c>
    </row>
    <row r="679" spans="1:10" x14ac:dyDescent="0.2">
      <c r="A679" s="699">
        <v>6409</v>
      </c>
      <c r="B679" s="924" t="s">
        <v>1696</v>
      </c>
      <c r="C679" s="919">
        <v>100000</v>
      </c>
      <c r="D679" s="919">
        <f>100000-50000-50000</f>
        <v>0</v>
      </c>
      <c r="E679" s="919">
        <v>0</v>
      </c>
      <c r="F679" s="694"/>
      <c r="G679" s="630">
        <f t="shared" si="72"/>
        <v>0</v>
      </c>
      <c r="H679" s="1052">
        <v>0</v>
      </c>
      <c r="I679" s="639">
        <v>0</v>
      </c>
      <c r="J679" s="29">
        <v>0</v>
      </c>
    </row>
    <row r="680" spans="1:10" ht="15.75" x14ac:dyDescent="0.25">
      <c r="A680" s="621"/>
      <c r="B680" s="657" t="s">
        <v>761</v>
      </c>
      <c r="C680" s="777">
        <f t="shared" ref="C680:D680" si="80">C681</f>
        <v>14623250</v>
      </c>
      <c r="D680" s="777">
        <f t="shared" si="80"/>
        <v>12623250</v>
      </c>
      <c r="E680" s="777">
        <v>12696274.02</v>
      </c>
      <c r="F680" s="1096"/>
      <c r="G680" s="623">
        <f t="shared" si="72"/>
        <v>86.822519070658018</v>
      </c>
      <c r="H680" s="623">
        <f t="shared" si="74"/>
        <v>100.5784882657002</v>
      </c>
      <c r="I680" s="741">
        <f t="shared" si="75"/>
        <v>108.86184567262924</v>
      </c>
      <c r="J680" s="29">
        <v>11662740</v>
      </c>
    </row>
    <row r="681" spans="1:10" x14ac:dyDescent="0.2">
      <c r="A681" s="692"/>
      <c r="B681" s="626" t="s">
        <v>762</v>
      </c>
      <c r="C681" s="635">
        <f>SUM(C682:C693)</f>
        <v>14623250</v>
      </c>
      <c r="D681" s="635">
        <f>SUM(D682:D693)</f>
        <v>12623250</v>
      </c>
      <c r="E681" s="635">
        <v>12696274.02</v>
      </c>
      <c r="F681" s="652">
        <f>SUM(E682:E693)</f>
        <v>12696274.020000001</v>
      </c>
      <c r="G681" s="630">
        <f t="shared" si="72"/>
        <v>86.822519070658018</v>
      </c>
      <c r="H681" s="1052">
        <f t="shared" si="74"/>
        <v>100.5784882657002</v>
      </c>
      <c r="I681" s="639">
        <f t="shared" si="75"/>
        <v>108.86184567262924</v>
      </c>
      <c r="J681" s="29">
        <v>11662740</v>
      </c>
    </row>
    <row r="682" spans="1:10" s="98" customFormat="1" x14ac:dyDescent="0.2">
      <c r="A682" s="692"/>
      <c r="B682" s="643" t="s">
        <v>763</v>
      </c>
      <c r="C682" s="644">
        <v>420000</v>
      </c>
      <c r="D682" s="644">
        <f>420000-157000</f>
        <v>263000</v>
      </c>
      <c r="E682" s="644">
        <v>221700</v>
      </c>
      <c r="F682" s="644"/>
      <c r="G682" s="1051">
        <f t="shared" si="72"/>
        <v>52.785714285714278</v>
      </c>
      <c r="H682" s="1055">
        <f t="shared" si="74"/>
        <v>84.296577946768053</v>
      </c>
      <c r="I682" s="670">
        <f t="shared" si="75"/>
        <v>116.68421052631579</v>
      </c>
      <c r="J682" s="29">
        <v>190000</v>
      </c>
    </row>
    <row r="683" spans="1:10" x14ac:dyDescent="0.2">
      <c r="A683" s="692"/>
      <c r="B683" s="643" t="s">
        <v>764</v>
      </c>
      <c r="C683" s="644">
        <v>170000</v>
      </c>
      <c r="D683" s="644">
        <v>170000</v>
      </c>
      <c r="E683" s="644">
        <v>149500</v>
      </c>
      <c r="F683" s="644"/>
      <c r="G683" s="1051">
        <f t="shared" si="72"/>
        <v>87.941176470588232</v>
      </c>
      <c r="H683" s="1055">
        <f t="shared" si="74"/>
        <v>87.941176470588232</v>
      </c>
      <c r="I683" s="670">
        <f t="shared" si="75"/>
        <v>99.666666666666671</v>
      </c>
      <c r="J683" s="29">
        <v>150000</v>
      </c>
    </row>
    <row r="684" spans="1:10" x14ac:dyDescent="0.2">
      <c r="A684" s="692"/>
      <c r="B684" s="643" t="s">
        <v>765</v>
      </c>
      <c r="C684" s="644">
        <v>8008175</v>
      </c>
      <c r="D684" s="644">
        <v>8008175</v>
      </c>
      <c r="E684" s="644">
        <v>7781900</v>
      </c>
      <c r="F684" s="644"/>
      <c r="G684" s="1051">
        <f t="shared" si="72"/>
        <v>97.174449859050284</v>
      </c>
      <c r="H684" s="1055">
        <f t="shared" si="74"/>
        <v>97.174449859050284</v>
      </c>
      <c r="I684" s="670">
        <f t="shared" si="75"/>
        <v>131.0582814336768</v>
      </c>
      <c r="J684" s="29">
        <v>5937740</v>
      </c>
    </row>
    <row r="685" spans="1:10" x14ac:dyDescent="0.2">
      <c r="A685" s="692"/>
      <c r="B685" s="643" t="s">
        <v>766</v>
      </c>
      <c r="C685" s="644">
        <v>1102075</v>
      </c>
      <c r="D685" s="644">
        <v>1102075</v>
      </c>
      <c r="E685" s="644">
        <v>1096000</v>
      </c>
      <c r="F685" s="644"/>
      <c r="G685" s="1051">
        <f t="shared" si="72"/>
        <v>99.448767098427965</v>
      </c>
      <c r="H685" s="1055">
        <f t="shared" si="74"/>
        <v>99.448767098427965</v>
      </c>
      <c r="I685" s="670">
        <f t="shared" si="75"/>
        <v>84.685520012362844</v>
      </c>
      <c r="J685" s="29">
        <v>1294200</v>
      </c>
    </row>
    <row r="686" spans="1:10" x14ac:dyDescent="0.2">
      <c r="A686" s="692"/>
      <c r="B686" s="643" t="s">
        <v>767</v>
      </c>
      <c r="C686" s="644">
        <v>200000</v>
      </c>
      <c r="D686" s="644">
        <f>200000-5000-15000-15000-3906-10000</f>
        <v>151094</v>
      </c>
      <c r="E686" s="644">
        <v>135000</v>
      </c>
      <c r="F686" s="644"/>
      <c r="G686" s="1051">
        <f t="shared" si="72"/>
        <v>67.5</v>
      </c>
      <c r="H686" s="1055">
        <f t="shared" si="74"/>
        <v>89.348352681112416</v>
      </c>
      <c r="I686" s="670">
        <f t="shared" si="75"/>
        <v>112.5</v>
      </c>
      <c r="J686" s="29">
        <v>120000</v>
      </c>
    </row>
    <row r="687" spans="1:10" x14ac:dyDescent="0.2">
      <c r="A687" s="692"/>
      <c r="B687" s="643" t="s">
        <v>768</v>
      </c>
      <c r="C687" s="644">
        <v>220000</v>
      </c>
      <c r="D687" s="644">
        <v>220000</v>
      </c>
      <c r="E687" s="644">
        <v>210000</v>
      </c>
      <c r="F687" s="644"/>
      <c r="G687" s="1051">
        <f t="shared" si="72"/>
        <v>95.454545454545453</v>
      </c>
      <c r="H687" s="1055">
        <f t="shared" si="74"/>
        <v>95.454545454545453</v>
      </c>
      <c r="I687" s="670">
        <f t="shared" si="75"/>
        <v>110.5263157894737</v>
      </c>
      <c r="J687" s="29">
        <v>190000</v>
      </c>
    </row>
    <row r="688" spans="1:10" x14ac:dyDescent="0.2">
      <c r="A688" s="692"/>
      <c r="B688" s="643" t="s">
        <v>1697</v>
      </c>
      <c r="C688" s="644">
        <v>2000000</v>
      </c>
      <c r="D688" s="644">
        <f>2000000-2000000</f>
        <v>0</v>
      </c>
      <c r="E688" s="644">
        <v>0</v>
      </c>
      <c r="F688" s="644"/>
      <c r="G688" s="1051">
        <f t="shared" si="72"/>
        <v>0</v>
      </c>
      <c r="H688" s="1055">
        <v>0</v>
      </c>
      <c r="I688" s="670">
        <f t="shared" si="75"/>
        <v>0</v>
      </c>
      <c r="J688" s="29">
        <v>300000</v>
      </c>
    </row>
    <row r="689" spans="1:10" x14ac:dyDescent="0.2">
      <c r="A689" s="663"/>
      <c r="B689" s="643" t="s">
        <v>769</v>
      </c>
      <c r="C689" s="644">
        <v>150000</v>
      </c>
      <c r="D689" s="644">
        <v>150000</v>
      </c>
      <c r="E689" s="644">
        <v>70444.89</v>
      </c>
      <c r="F689" s="644"/>
      <c r="G689" s="1051">
        <f t="shared" si="72"/>
        <v>46.963259999999998</v>
      </c>
      <c r="H689" s="1055">
        <f t="shared" si="74"/>
        <v>46.963259999999998</v>
      </c>
      <c r="I689" s="670">
        <v>0</v>
      </c>
      <c r="J689" s="29">
        <v>150000</v>
      </c>
    </row>
    <row r="690" spans="1:10" ht="24.75" customHeight="1" x14ac:dyDescent="0.2">
      <c r="A690" s="663"/>
      <c r="B690" s="926" t="s">
        <v>2130</v>
      </c>
      <c r="C690" s="644">
        <v>2310000</v>
      </c>
      <c r="D690" s="644">
        <v>2310000</v>
      </c>
      <c r="E690" s="644">
        <v>2274800</v>
      </c>
      <c r="F690" s="644"/>
      <c r="G690" s="1051">
        <f t="shared" ref="G690:G753" si="81">E690/C690*100</f>
        <v>98.476190476190467</v>
      </c>
      <c r="H690" s="1055">
        <f t="shared" si="74"/>
        <v>98.476190476190467</v>
      </c>
      <c r="I690" s="670">
        <v>0</v>
      </c>
      <c r="J690" s="1037">
        <v>0</v>
      </c>
    </row>
    <row r="691" spans="1:10" x14ac:dyDescent="0.2">
      <c r="A691" s="663"/>
      <c r="B691" s="643" t="s">
        <v>770</v>
      </c>
      <c r="C691" s="644">
        <v>0</v>
      </c>
      <c r="D691" s="644">
        <f>5000+15000+157000+15000+3906+10000</f>
        <v>205906</v>
      </c>
      <c r="E691" s="644">
        <v>205906</v>
      </c>
      <c r="F691" s="644"/>
      <c r="G691" s="1051">
        <v>0</v>
      </c>
      <c r="H691" s="1055">
        <f t="shared" si="74"/>
        <v>100</v>
      </c>
      <c r="I691" s="670">
        <f t="shared" si="75"/>
        <v>285.98055555555555</v>
      </c>
      <c r="J691" s="29">
        <v>72000</v>
      </c>
    </row>
    <row r="692" spans="1:10" x14ac:dyDescent="0.2">
      <c r="A692" s="663"/>
      <c r="B692" s="643" t="s">
        <v>1700</v>
      </c>
      <c r="C692" s="644">
        <v>43000</v>
      </c>
      <c r="D692" s="644">
        <v>43000</v>
      </c>
      <c r="E692" s="644">
        <v>43000</v>
      </c>
      <c r="F692" s="644"/>
      <c r="G692" s="1051">
        <f t="shared" si="81"/>
        <v>100</v>
      </c>
      <c r="H692" s="1055">
        <f t="shared" si="74"/>
        <v>100</v>
      </c>
      <c r="I692" s="670">
        <f t="shared" si="75"/>
        <v>100</v>
      </c>
      <c r="J692" s="29">
        <v>43000</v>
      </c>
    </row>
    <row r="693" spans="1:10" x14ac:dyDescent="0.2">
      <c r="A693" s="628"/>
      <c r="B693" s="676" t="s">
        <v>2131</v>
      </c>
      <c r="C693" s="644">
        <v>0</v>
      </c>
      <c r="D693" s="644">
        <v>0</v>
      </c>
      <c r="E693" s="695">
        <v>508023.13</v>
      </c>
      <c r="F693" s="695"/>
      <c r="G693" s="816">
        <v>0</v>
      </c>
      <c r="H693" s="816">
        <v>0</v>
      </c>
      <c r="I693" s="670">
        <v>0</v>
      </c>
      <c r="J693" s="29">
        <v>559400</v>
      </c>
    </row>
    <row r="694" spans="1:10" x14ac:dyDescent="0.2">
      <c r="A694" s="699"/>
      <c r="B694" s="833"/>
      <c r="C694" s="694"/>
      <c r="D694" s="694"/>
      <c r="E694" s="694"/>
      <c r="F694" s="694"/>
      <c r="G694" s="694"/>
      <c r="H694" s="694"/>
      <c r="I694" s="647"/>
    </row>
    <row r="695" spans="1:10" s="85" customFormat="1" ht="20.25" x14ac:dyDescent="0.3">
      <c r="A695" s="853"/>
      <c r="B695" s="854" t="s">
        <v>771</v>
      </c>
      <c r="C695" s="855">
        <f t="shared" ref="C695:D695" si="82">C696</f>
        <v>18717400</v>
      </c>
      <c r="D695" s="855">
        <f t="shared" si="82"/>
        <v>20225199.300000001</v>
      </c>
      <c r="E695" s="855">
        <v>15775641.263</v>
      </c>
      <c r="F695" s="1103"/>
      <c r="G695" s="735">
        <f t="shared" si="81"/>
        <v>84.283293956425581</v>
      </c>
      <c r="H695" s="735">
        <f t="shared" si="74"/>
        <v>77.999929835054829</v>
      </c>
      <c r="I695" s="1091">
        <f t="shared" si="75"/>
        <v>107.12668428158867</v>
      </c>
      <c r="J695" s="29">
        <v>14726154.710000001</v>
      </c>
    </row>
    <row r="696" spans="1:10" x14ac:dyDescent="0.2">
      <c r="A696" s="699">
        <v>4351</v>
      </c>
      <c r="B696" s="626" t="s">
        <v>772</v>
      </c>
      <c r="C696" s="927">
        <f>SUM(C697:C700)</f>
        <v>18717400</v>
      </c>
      <c r="D696" s="927">
        <f>SUM(D697:D700)</f>
        <v>20225199.300000001</v>
      </c>
      <c r="E696" s="927">
        <v>15775641.26</v>
      </c>
      <c r="F696" s="970">
        <f>SUM(E697:E700)</f>
        <v>15775641.259999998</v>
      </c>
      <c r="G696" s="630">
        <f t="shared" si="81"/>
        <v>84.283293940397712</v>
      </c>
      <c r="H696" s="1052">
        <f t="shared" si="74"/>
        <v>77.999929820221851</v>
      </c>
      <c r="I696" s="639">
        <f t="shared" si="75"/>
        <v>107.12668426121674</v>
      </c>
      <c r="J696" s="29">
        <v>14726154.710000001</v>
      </c>
    </row>
    <row r="697" spans="1:10" ht="60.75" x14ac:dyDescent="0.2">
      <c r="A697" s="664"/>
      <c r="B697" s="917" t="s">
        <v>1701</v>
      </c>
      <c r="C697" s="652">
        <v>8129900</v>
      </c>
      <c r="D697" s="652">
        <f>8129900+3134000+51728-1898394+1898394-2010000+7011-40000-2953.19-148656.7</f>
        <v>9121029.1100000013</v>
      </c>
      <c r="E697" s="652">
        <v>6767690.4000000004</v>
      </c>
      <c r="F697" s="652"/>
      <c r="G697" s="1051">
        <f t="shared" si="81"/>
        <v>83.244448271196447</v>
      </c>
      <c r="H697" s="1055">
        <f t="shared" si="74"/>
        <v>74.198758916141642</v>
      </c>
      <c r="I697" s="670">
        <f t="shared" si="75"/>
        <v>90.753141674741769</v>
      </c>
      <c r="J697" s="1037">
        <v>7457251.9199999999</v>
      </c>
    </row>
    <row r="698" spans="1:10" x14ac:dyDescent="0.2">
      <c r="A698" s="699"/>
      <c r="B698" s="929" t="s">
        <v>2132</v>
      </c>
      <c r="C698" s="678">
        <v>1900000</v>
      </c>
      <c r="D698" s="678">
        <f>1900000+(-1900000+2117.5+35997.5+93385.85+1587559.45)+40000+2953.19+148656.7</f>
        <v>1910670.19</v>
      </c>
      <c r="E698" s="678">
        <v>1910670.19</v>
      </c>
      <c r="F698" s="678"/>
      <c r="G698" s="1051">
        <f t="shared" si="81"/>
        <v>100.56158894736842</v>
      </c>
      <c r="H698" s="1055">
        <f t="shared" si="74"/>
        <v>100</v>
      </c>
      <c r="I698" s="670">
        <v>0</v>
      </c>
      <c r="J698" s="29">
        <v>0</v>
      </c>
    </row>
    <row r="699" spans="1:10" ht="48.75" x14ac:dyDescent="0.2">
      <c r="A699" s="664"/>
      <c r="B699" s="917" t="s">
        <v>1702</v>
      </c>
      <c r="C699" s="644">
        <v>2171000</v>
      </c>
      <c r="D699" s="644">
        <f>2171000+740000-400000</f>
        <v>2511000</v>
      </c>
      <c r="E699" s="644">
        <v>1844793.53</v>
      </c>
      <c r="F699" s="644"/>
      <c r="G699" s="1051">
        <f t="shared" si="81"/>
        <v>84.974368033164438</v>
      </c>
      <c r="H699" s="1055">
        <f t="shared" si="74"/>
        <v>73.468479888490648</v>
      </c>
      <c r="I699" s="670">
        <f t="shared" si="75"/>
        <v>99.807832999009108</v>
      </c>
      <c r="J699" s="1037">
        <v>1848345.44</v>
      </c>
    </row>
    <row r="700" spans="1:10" ht="36.75" x14ac:dyDescent="0.2">
      <c r="A700" s="663"/>
      <c r="B700" s="917" t="s">
        <v>1703</v>
      </c>
      <c r="C700" s="644">
        <v>6516500</v>
      </c>
      <c r="D700" s="644">
        <f>6516500+2086000+1898394-1898394-1920000</f>
        <v>6682500</v>
      </c>
      <c r="E700" s="644">
        <v>5252487.1399999997</v>
      </c>
      <c r="F700" s="644"/>
      <c r="G700" s="1051">
        <f t="shared" si="81"/>
        <v>80.602887132663241</v>
      </c>
      <c r="H700" s="1055">
        <f t="shared" si="74"/>
        <v>78.600630602319484</v>
      </c>
      <c r="I700" s="670">
        <f t="shared" si="75"/>
        <v>96.899392458231262</v>
      </c>
      <c r="J700" s="1037">
        <v>5420557.3499999996</v>
      </c>
    </row>
    <row r="701" spans="1:10" x14ac:dyDescent="0.2">
      <c r="A701" s="1128"/>
      <c r="B701" s="1191"/>
      <c r="C701" s="1128"/>
      <c r="D701" s="1128"/>
      <c r="E701" s="1128"/>
      <c r="F701" s="1192"/>
      <c r="G701" s="1128"/>
      <c r="H701" s="1128"/>
      <c r="I701" s="1193"/>
    </row>
    <row r="702" spans="1:10" s="85" customFormat="1" ht="20.25" x14ac:dyDescent="0.3">
      <c r="A702" s="734"/>
      <c r="B702" s="757" t="s">
        <v>1871</v>
      </c>
      <c r="C702" s="859">
        <f>SUM(C703,C704,C705,C706,C707,C708,C709,C710,C714:C716,C721,C722)</f>
        <v>87547000</v>
      </c>
      <c r="D702" s="859">
        <f>SUM(D703,D704,D705,D706,D707,D708,D709,D710,D714:D716,D721,D722)</f>
        <v>86794109.460000008</v>
      </c>
      <c r="E702" s="859">
        <v>85252569.760000005</v>
      </c>
      <c r="F702" s="1084">
        <f>SUM(E703:E710,E714:E716,E721:E722)</f>
        <v>85252569.760000005</v>
      </c>
      <c r="G702" s="735">
        <f t="shared" si="81"/>
        <v>97.379201754486161</v>
      </c>
      <c r="H702" s="735">
        <f t="shared" si="74"/>
        <v>98.223912072385005</v>
      </c>
      <c r="I702" s="1083">
        <f t="shared" si="75"/>
        <v>162.85188324998666</v>
      </c>
      <c r="J702" s="29">
        <v>52349759.829999998</v>
      </c>
    </row>
    <row r="703" spans="1:10" x14ac:dyDescent="0.2">
      <c r="A703" s="660">
        <v>1014</v>
      </c>
      <c r="B703" s="626" t="s">
        <v>776</v>
      </c>
      <c r="C703" s="637">
        <v>530000</v>
      </c>
      <c r="D703" s="637">
        <v>530000</v>
      </c>
      <c r="E703" s="637">
        <v>385617</v>
      </c>
      <c r="F703" s="644"/>
      <c r="G703" s="630">
        <f t="shared" si="81"/>
        <v>72.757924528301885</v>
      </c>
      <c r="H703" s="1052">
        <f t="shared" si="74"/>
        <v>72.757924528301885</v>
      </c>
      <c r="I703" s="639">
        <f t="shared" si="75"/>
        <v>105.12402506944805</v>
      </c>
      <c r="J703" s="29">
        <v>366821</v>
      </c>
    </row>
    <row r="704" spans="1:10" x14ac:dyDescent="0.2">
      <c r="A704" s="663">
        <v>1031</v>
      </c>
      <c r="B704" s="629" t="s">
        <v>1705</v>
      </c>
      <c r="C704" s="637">
        <v>651000</v>
      </c>
      <c r="D704" s="637">
        <v>651000</v>
      </c>
      <c r="E704" s="637">
        <v>348703.46</v>
      </c>
      <c r="F704" s="644"/>
      <c r="G704" s="630">
        <f t="shared" si="81"/>
        <v>53.564279569892484</v>
      </c>
      <c r="H704" s="1052">
        <f t="shared" si="74"/>
        <v>53.564279569892484</v>
      </c>
      <c r="I704" s="639">
        <f t="shared" si="75"/>
        <v>77.772183380751144</v>
      </c>
      <c r="J704" s="29">
        <v>448365.27</v>
      </c>
    </row>
    <row r="705" spans="1:10" x14ac:dyDescent="0.2">
      <c r="A705" s="663">
        <v>1036</v>
      </c>
      <c r="B705" s="629" t="s">
        <v>778</v>
      </c>
      <c r="C705" s="637">
        <v>120000</v>
      </c>
      <c r="D705" s="637">
        <f>120000+901049</f>
        <v>1021049</v>
      </c>
      <c r="E705" s="637">
        <v>1000465</v>
      </c>
      <c r="F705" s="644"/>
      <c r="G705" s="630">
        <f t="shared" si="81"/>
        <v>833.7208333333333</v>
      </c>
      <c r="H705" s="1052">
        <f t="shared" ref="H705:H768" si="83">E705/D705*100</f>
        <v>97.98403406692529</v>
      </c>
      <c r="I705" s="639">
        <f t="shared" si="75"/>
        <v>1006.3420374989942</v>
      </c>
      <c r="J705" s="29">
        <v>99416</v>
      </c>
    </row>
    <row r="706" spans="1:10" s="244" customFormat="1" ht="12.75" customHeight="1" x14ac:dyDescent="0.25">
      <c r="A706" s="663">
        <v>1037</v>
      </c>
      <c r="B706" s="629" t="s">
        <v>1706</v>
      </c>
      <c r="C706" s="637">
        <v>21000</v>
      </c>
      <c r="D706" s="637">
        <v>21000</v>
      </c>
      <c r="E706" s="637">
        <v>20100</v>
      </c>
      <c r="F706" s="644"/>
      <c r="G706" s="630">
        <f t="shared" si="81"/>
        <v>95.714285714285722</v>
      </c>
      <c r="H706" s="1052">
        <f t="shared" si="83"/>
        <v>95.714285714285722</v>
      </c>
      <c r="I706" s="639">
        <f t="shared" si="75"/>
        <v>98.710429272504143</v>
      </c>
      <c r="J706" s="29">
        <v>20362.59</v>
      </c>
    </row>
    <row r="707" spans="1:10" s="98" customFormat="1" x14ac:dyDescent="0.2">
      <c r="A707" s="663">
        <v>1039</v>
      </c>
      <c r="B707" s="629" t="s">
        <v>780</v>
      </c>
      <c r="C707" s="637">
        <v>260000</v>
      </c>
      <c r="D707" s="637">
        <f>260000-260000</f>
        <v>0</v>
      </c>
      <c r="E707" s="637">
        <v>0</v>
      </c>
      <c r="F707" s="644"/>
      <c r="G707" s="630">
        <f t="shared" si="81"/>
        <v>0</v>
      </c>
      <c r="H707" s="1052">
        <v>0</v>
      </c>
      <c r="I707" s="639">
        <v>0</v>
      </c>
      <c r="J707" s="29">
        <v>145056.01</v>
      </c>
    </row>
    <row r="708" spans="1:10" s="98" customFormat="1" x14ac:dyDescent="0.2">
      <c r="A708" s="663">
        <v>2369</v>
      </c>
      <c r="B708" s="629" t="s">
        <v>1707</v>
      </c>
      <c r="C708" s="637">
        <v>370000</v>
      </c>
      <c r="D708" s="637">
        <v>370000</v>
      </c>
      <c r="E708" s="637">
        <v>25436.62</v>
      </c>
      <c r="F708" s="644"/>
      <c r="G708" s="630">
        <f t="shared" si="81"/>
        <v>6.8747621621621624</v>
      </c>
      <c r="H708" s="1052">
        <f t="shared" si="83"/>
        <v>6.8747621621621624</v>
      </c>
      <c r="I708" s="639">
        <f t="shared" si="75"/>
        <v>174.12407852232252</v>
      </c>
      <c r="J708" s="29">
        <v>14608.33</v>
      </c>
    </row>
    <row r="709" spans="1:10" s="98" customFormat="1" x14ac:dyDescent="0.2">
      <c r="A709" s="663">
        <v>3721</v>
      </c>
      <c r="B709" s="629" t="s">
        <v>1708</v>
      </c>
      <c r="C709" s="637">
        <v>50000</v>
      </c>
      <c r="D709" s="637">
        <v>50000</v>
      </c>
      <c r="E709" s="637">
        <v>50000</v>
      </c>
      <c r="F709" s="644"/>
      <c r="G709" s="630">
        <f t="shared" si="81"/>
        <v>100</v>
      </c>
      <c r="H709" s="1052">
        <f t="shared" si="83"/>
        <v>100</v>
      </c>
      <c r="I709" s="639">
        <f t="shared" si="75"/>
        <v>100</v>
      </c>
      <c r="J709" s="29">
        <v>50000</v>
      </c>
    </row>
    <row r="710" spans="1:10" s="98" customFormat="1" x14ac:dyDescent="0.2">
      <c r="A710" s="663">
        <v>3722</v>
      </c>
      <c r="B710" s="629" t="s">
        <v>783</v>
      </c>
      <c r="C710" s="635">
        <f>SUM(C711:C713)</f>
        <v>37150000</v>
      </c>
      <c r="D710" s="635">
        <f>SUM(D711:D713)</f>
        <v>36413880</v>
      </c>
      <c r="E710" s="635">
        <v>36570674</v>
      </c>
      <c r="F710" s="652">
        <f>SUM(E711:E713)</f>
        <v>36570674</v>
      </c>
      <c r="G710" s="630">
        <f t="shared" si="81"/>
        <v>98.440576043068646</v>
      </c>
      <c r="H710" s="1052">
        <f t="shared" si="83"/>
        <v>100.43058855579245</v>
      </c>
      <c r="I710" s="639">
        <f t="shared" si="75"/>
        <v>119.34823396410037</v>
      </c>
      <c r="J710" s="29">
        <v>30641990.07</v>
      </c>
    </row>
    <row r="711" spans="1:10" s="98" customFormat="1" x14ac:dyDescent="0.2">
      <c r="A711" s="663"/>
      <c r="B711" s="672" t="s">
        <v>784</v>
      </c>
      <c r="C711" s="644">
        <v>30600000</v>
      </c>
      <c r="D711" s="644">
        <f>30600000+400000-400000-900000</f>
        <v>29700000</v>
      </c>
      <c r="E711" s="644">
        <v>30600000</v>
      </c>
      <c r="F711" s="644"/>
      <c r="G711" s="1051">
        <f t="shared" si="81"/>
        <v>100</v>
      </c>
      <c r="H711" s="1055">
        <f t="shared" si="83"/>
        <v>103.03030303030303</v>
      </c>
      <c r="I711" s="670">
        <f t="shared" ref="I711:I772" si="84">E711/J711*100</f>
        <v>112.63600797963539</v>
      </c>
      <c r="J711" s="29">
        <v>27167156</v>
      </c>
    </row>
    <row r="712" spans="1:10" s="98" customFormat="1" x14ac:dyDescent="0.2">
      <c r="A712" s="663"/>
      <c r="B712" s="672" t="s">
        <v>785</v>
      </c>
      <c r="C712" s="644">
        <v>3050000</v>
      </c>
      <c r="D712" s="644">
        <v>3050000</v>
      </c>
      <c r="E712" s="644">
        <v>2366794</v>
      </c>
      <c r="F712" s="644">
        <f>E710-E711-E713</f>
        <v>2366794</v>
      </c>
      <c r="G712" s="1051">
        <f t="shared" si="81"/>
        <v>77.599803278688526</v>
      </c>
      <c r="H712" s="1055">
        <f t="shared" si="83"/>
        <v>77.599803278688526</v>
      </c>
      <c r="I712" s="670">
        <f t="shared" si="84"/>
        <v>103.12827886710241</v>
      </c>
      <c r="J712" s="29">
        <v>2295000</v>
      </c>
    </row>
    <row r="713" spans="1:10" s="98" customFormat="1" x14ac:dyDescent="0.2">
      <c r="A713" s="663"/>
      <c r="B713" s="650" t="s">
        <v>1989</v>
      </c>
      <c r="C713" s="644">
        <v>3500000</v>
      </c>
      <c r="D713" s="644">
        <f>3500000+3663880-162566-3337434</f>
        <v>3663880</v>
      </c>
      <c r="E713" s="644">
        <v>3603880</v>
      </c>
      <c r="F713" s="644"/>
      <c r="G713" s="1051">
        <f t="shared" si="81"/>
        <v>102.96799999999999</v>
      </c>
      <c r="H713" s="1055">
        <f t="shared" si="83"/>
        <v>98.36239178139023</v>
      </c>
      <c r="I713" s="670">
        <f t="shared" si="84"/>
        <v>256.85289815548964</v>
      </c>
      <c r="J713" s="29">
        <v>1403091.04</v>
      </c>
    </row>
    <row r="714" spans="1:10" s="98" customFormat="1" x14ac:dyDescent="0.2">
      <c r="A714" s="663">
        <v>3733</v>
      </c>
      <c r="B714" s="629" t="s">
        <v>1710</v>
      </c>
      <c r="C714" s="637">
        <v>65000</v>
      </c>
      <c r="D714" s="637">
        <v>65000</v>
      </c>
      <c r="E714" s="637">
        <v>39665.599999999999</v>
      </c>
      <c r="F714" s="644"/>
      <c r="G714" s="630">
        <f t="shared" si="81"/>
        <v>61.024000000000001</v>
      </c>
      <c r="H714" s="1052">
        <f t="shared" si="83"/>
        <v>61.024000000000001</v>
      </c>
      <c r="I714" s="639">
        <v>0</v>
      </c>
      <c r="J714" s="29">
        <v>35562</v>
      </c>
    </row>
    <row r="715" spans="1:10" s="98" customFormat="1" x14ac:dyDescent="0.2">
      <c r="A715" s="663">
        <v>3742</v>
      </c>
      <c r="B715" s="634" t="s">
        <v>1711</v>
      </c>
      <c r="C715" s="637">
        <v>100000</v>
      </c>
      <c r="D715" s="637">
        <f>100000-100000</f>
        <v>0</v>
      </c>
      <c r="E715" s="637">
        <v>0</v>
      </c>
      <c r="F715" s="644"/>
      <c r="G715" s="630">
        <f t="shared" si="81"/>
        <v>0</v>
      </c>
      <c r="H715" s="1052">
        <v>0</v>
      </c>
      <c r="I715" s="639">
        <v>0</v>
      </c>
      <c r="J715" s="29">
        <v>0</v>
      </c>
    </row>
    <row r="716" spans="1:10" s="98" customFormat="1" x14ac:dyDescent="0.2">
      <c r="A716" s="663">
        <v>3745</v>
      </c>
      <c r="B716" s="629" t="s">
        <v>790</v>
      </c>
      <c r="C716" s="635">
        <f>SUM(C717:C720)</f>
        <v>47785000</v>
      </c>
      <c r="D716" s="635">
        <f>SUM(D717:D720)</f>
        <v>46817775.460000001</v>
      </c>
      <c r="E716" s="635">
        <v>46308278.57</v>
      </c>
      <c r="F716" s="652">
        <f>SUM(E717:E720)</f>
        <v>46308278.57</v>
      </c>
      <c r="G716" s="630">
        <f t="shared" si="81"/>
        <v>96.90965484984828</v>
      </c>
      <c r="H716" s="1052">
        <f t="shared" si="83"/>
        <v>98.911744770027994</v>
      </c>
      <c r="I716" s="639">
        <f t="shared" si="84"/>
        <v>227.67122607035824</v>
      </c>
      <c r="J716" s="29">
        <v>20339978.559999999</v>
      </c>
    </row>
    <row r="717" spans="1:10" s="98" customFormat="1" x14ac:dyDescent="0.2">
      <c r="A717" s="663"/>
      <c r="B717" s="672" t="s">
        <v>1712</v>
      </c>
      <c r="C717" s="644">
        <v>250000</v>
      </c>
      <c r="D717" s="644">
        <v>250000</v>
      </c>
      <c r="E717" s="644">
        <v>242736</v>
      </c>
      <c r="F717" s="644"/>
      <c r="G717" s="1051">
        <f t="shared" si="81"/>
        <v>97.094400000000007</v>
      </c>
      <c r="H717" s="1055">
        <f t="shared" si="83"/>
        <v>97.094400000000007</v>
      </c>
      <c r="I717" s="670">
        <v>0</v>
      </c>
      <c r="J717" s="29">
        <v>265436.59000000003</v>
      </c>
    </row>
    <row r="718" spans="1:10" s="98" customFormat="1" x14ac:dyDescent="0.2">
      <c r="A718" s="664"/>
      <c r="B718" s="672" t="s">
        <v>792</v>
      </c>
      <c r="C718" s="644">
        <v>19450000</v>
      </c>
      <c r="D718" s="644">
        <f>19450000-300000</f>
        <v>19150000</v>
      </c>
      <c r="E718" s="644">
        <v>19150000</v>
      </c>
      <c r="F718" s="644"/>
      <c r="G718" s="1051">
        <f t="shared" si="81"/>
        <v>98.457583547557832</v>
      </c>
      <c r="H718" s="1055">
        <f t="shared" si="83"/>
        <v>100</v>
      </c>
      <c r="I718" s="670">
        <f t="shared" si="84"/>
        <v>115.1810555973843</v>
      </c>
      <c r="J718" s="29">
        <v>16625998</v>
      </c>
    </row>
    <row r="719" spans="1:10" s="98" customFormat="1" x14ac:dyDescent="0.2">
      <c r="A719" s="664"/>
      <c r="B719" s="672" t="s">
        <v>793</v>
      </c>
      <c r="C719" s="644">
        <v>2150000</v>
      </c>
      <c r="D719" s="644">
        <f>2150000+81550.55</f>
        <v>2231550.5499999998</v>
      </c>
      <c r="E719" s="644">
        <v>1729317.66</v>
      </c>
      <c r="F719" s="644"/>
      <c r="G719" s="1051">
        <f t="shared" si="81"/>
        <v>80.433379534883727</v>
      </c>
      <c r="H719" s="1055">
        <f t="shared" si="83"/>
        <v>77.493994478413228</v>
      </c>
      <c r="I719" s="670">
        <f t="shared" si="84"/>
        <v>56.462833023443928</v>
      </c>
      <c r="J719" s="29">
        <v>3062753.97</v>
      </c>
    </row>
    <row r="720" spans="1:10" s="98" customFormat="1" x14ac:dyDescent="0.2">
      <c r="A720" s="663"/>
      <c r="B720" s="650" t="s">
        <v>1713</v>
      </c>
      <c r="C720" s="644">
        <v>25935000</v>
      </c>
      <c r="D720" s="644">
        <f>25935000+(-686470.59-115000)+52695.5</f>
        <v>25186224.91</v>
      </c>
      <c r="E720" s="644">
        <v>25186224.91</v>
      </c>
      <c r="F720" s="644"/>
      <c r="G720" s="1051">
        <f t="shared" si="81"/>
        <v>97.112878002699048</v>
      </c>
      <c r="H720" s="1055">
        <f t="shared" si="83"/>
        <v>100</v>
      </c>
      <c r="I720" s="670">
        <v>0</v>
      </c>
      <c r="J720" s="29">
        <v>385990</v>
      </c>
    </row>
    <row r="721" spans="1:10" x14ac:dyDescent="0.2">
      <c r="A721" s="663">
        <v>3792</v>
      </c>
      <c r="B721" s="629" t="s">
        <v>795</v>
      </c>
      <c r="C721" s="637">
        <v>145000</v>
      </c>
      <c r="D721" s="637">
        <f>145000+(14200+35205)+360000</f>
        <v>554405</v>
      </c>
      <c r="E721" s="637">
        <v>503629.51</v>
      </c>
      <c r="F721" s="644"/>
      <c r="G721" s="630">
        <f t="shared" si="81"/>
        <v>347.33069655172415</v>
      </c>
      <c r="H721" s="1052">
        <f t="shared" si="83"/>
        <v>90.841444431417457</v>
      </c>
      <c r="I721" s="639">
        <v>0</v>
      </c>
      <c r="J721" s="29">
        <v>59030</v>
      </c>
    </row>
    <row r="722" spans="1:10" ht="15.75" x14ac:dyDescent="0.25">
      <c r="A722" s="933"/>
      <c r="B722" s="934" t="s">
        <v>1715</v>
      </c>
      <c r="C722" s="935">
        <f>SUM(C723:C724)</f>
        <v>300000</v>
      </c>
      <c r="D722" s="935">
        <f>SUM(D723:D724)</f>
        <v>300000</v>
      </c>
      <c r="E722" s="935">
        <v>0</v>
      </c>
      <c r="F722" s="1125"/>
      <c r="G722" s="623">
        <f t="shared" si="81"/>
        <v>0</v>
      </c>
      <c r="H722" s="623">
        <f t="shared" si="83"/>
        <v>0</v>
      </c>
      <c r="I722" s="741">
        <v>0</v>
      </c>
      <c r="J722" s="29">
        <v>128570</v>
      </c>
    </row>
    <row r="723" spans="1:10" x14ac:dyDescent="0.2">
      <c r="A723" s="937" t="s">
        <v>1991</v>
      </c>
      <c r="B723" s="938" t="s">
        <v>600</v>
      </c>
      <c r="C723" s="687">
        <v>150000</v>
      </c>
      <c r="D723" s="687">
        <v>150000</v>
      </c>
      <c r="E723" s="687">
        <v>0</v>
      </c>
      <c r="F723" s="1089"/>
      <c r="G723" s="630">
        <f t="shared" si="81"/>
        <v>0</v>
      </c>
      <c r="H723" s="1052">
        <f t="shared" si="83"/>
        <v>0</v>
      </c>
      <c r="I723" s="639">
        <v>0</v>
      </c>
      <c r="J723" s="29">
        <v>33570</v>
      </c>
    </row>
    <row r="724" spans="1:10" x14ac:dyDescent="0.2">
      <c r="A724" s="1126" t="s">
        <v>1992</v>
      </c>
      <c r="B724" s="1127" t="s">
        <v>602</v>
      </c>
      <c r="C724" s="795">
        <v>150000</v>
      </c>
      <c r="D724" s="795">
        <v>150000</v>
      </c>
      <c r="E724" s="795">
        <v>0</v>
      </c>
      <c r="F724" s="816"/>
      <c r="G724" s="630">
        <f t="shared" si="81"/>
        <v>0</v>
      </c>
      <c r="H724" s="1052">
        <f t="shared" si="83"/>
        <v>0</v>
      </c>
      <c r="I724" s="639">
        <v>0</v>
      </c>
      <c r="J724" s="29">
        <v>0</v>
      </c>
    </row>
    <row r="725" spans="1:10" x14ac:dyDescent="0.2">
      <c r="A725" s="1128"/>
      <c r="B725" s="1129"/>
      <c r="C725" s="728"/>
      <c r="D725" s="728"/>
      <c r="E725" s="728"/>
      <c r="F725" s="728"/>
      <c r="G725" s="728"/>
      <c r="H725" s="728"/>
      <c r="I725" s="1130"/>
    </row>
    <row r="726" spans="1:10" s="85" customFormat="1" ht="20.25" x14ac:dyDescent="0.3">
      <c r="A726" s="945"/>
      <c r="B726" s="865" t="s">
        <v>797</v>
      </c>
      <c r="C726" s="855">
        <f>SUM(C727,C728,C757,C791,C841,C849,C850,C854,)</f>
        <v>151698000</v>
      </c>
      <c r="D726" s="855">
        <f>SUM(D727,D728,D757,D791,D841,D849,D850,D854,)</f>
        <v>140468509.50999999</v>
      </c>
      <c r="E726" s="855">
        <v>122764276.02</v>
      </c>
      <c r="F726" s="1092">
        <f>SUM(E727:E728,E757,E791,E841,E849:E850,E854)</f>
        <v>122764276.02</v>
      </c>
      <c r="G726" s="735">
        <f t="shared" si="81"/>
        <v>80.926759759522199</v>
      </c>
      <c r="H726" s="735">
        <f t="shared" si="83"/>
        <v>87.396297183078147</v>
      </c>
      <c r="I726" s="1091">
        <f t="shared" si="84"/>
        <v>73.116974627968219</v>
      </c>
      <c r="J726" s="29">
        <v>167901197.56</v>
      </c>
    </row>
    <row r="727" spans="1:10" ht="12.75" customHeight="1" x14ac:dyDescent="0.2">
      <c r="A727" s="946">
        <v>3122</v>
      </c>
      <c r="B727" s="947" t="s">
        <v>1718</v>
      </c>
      <c r="C727" s="637">
        <v>403000</v>
      </c>
      <c r="D727" s="637">
        <f>403000+9000</f>
        <v>412000</v>
      </c>
      <c r="E727" s="637">
        <v>313071.37</v>
      </c>
      <c r="F727" s="644"/>
      <c r="G727" s="630">
        <f t="shared" si="81"/>
        <v>77.685203473945407</v>
      </c>
      <c r="H727" s="1052">
        <f t="shared" si="83"/>
        <v>75.988196601941752</v>
      </c>
      <c r="I727" s="639">
        <v>0</v>
      </c>
      <c r="J727" s="88">
        <v>277560</v>
      </c>
    </row>
    <row r="728" spans="1:10" ht="12.75" customHeight="1" x14ac:dyDescent="0.2">
      <c r="A728" s="628">
        <v>3412</v>
      </c>
      <c r="B728" s="629" t="s">
        <v>799</v>
      </c>
      <c r="C728" s="635">
        <f>C729+C745</f>
        <v>55320000</v>
      </c>
      <c r="D728" s="635">
        <f>D729+D745</f>
        <v>56177028.520000003</v>
      </c>
      <c r="E728" s="635">
        <v>55603788.390000001</v>
      </c>
      <c r="F728" s="652">
        <f>SUM(E729,E745)</f>
        <v>55603788.390000001</v>
      </c>
      <c r="G728" s="630">
        <f t="shared" si="81"/>
        <v>100.51299419739696</v>
      </c>
      <c r="H728" s="1052">
        <f t="shared" si="83"/>
        <v>98.979582678005258</v>
      </c>
      <c r="I728" s="639">
        <f t="shared" si="84"/>
        <v>130.42937803879877</v>
      </c>
      <c r="J728" s="88">
        <v>42631337.530000001</v>
      </c>
    </row>
    <row r="729" spans="1:10" ht="12.75" customHeight="1" x14ac:dyDescent="0.2">
      <c r="A729" s="628"/>
      <c r="B729" s="949" t="s">
        <v>1719</v>
      </c>
      <c r="C729" s="972">
        <f>C730+C733+C741</f>
        <v>33650000</v>
      </c>
      <c r="D729" s="972">
        <f>D730+D733+D741</f>
        <v>36194197.810000002</v>
      </c>
      <c r="E729" s="972">
        <v>36064660.469999999</v>
      </c>
      <c r="F729" s="951">
        <f>SUM(E730,E733,E741)</f>
        <v>36064660.469999999</v>
      </c>
      <c r="G729" s="1131">
        <f t="shared" si="81"/>
        <v>107.17581120356611</v>
      </c>
      <c r="H729" s="1132">
        <f t="shared" si="83"/>
        <v>99.642104680203147</v>
      </c>
      <c r="I729" s="1133">
        <f t="shared" si="84"/>
        <v>121.92224722142954</v>
      </c>
      <c r="J729" s="88">
        <v>29580049</v>
      </c>
    </row>
    <row r="730" spans="1:10" ht="12.75" customHeight="1" x14ac:dyDescent="0.2">
      <c r="A730" s="628"/>
      <c r="B730" s="720" t="s">
        <v>801</v>
      </c>
      <c r="C730" s="951">
        <f>SUM(C731:C732)</f>
        <v>1680000</v>
      </c>
      <c r="D730" s="951">
        <f>SUM(D731:D732)</f>
        <v>741374</v>
      </c>
      <c r="E730" s="951">
        <v>689946.75</v>
      </c>
      <c r="F730" s="951">
        <f>SUM(E731:E732)</f>
        <v>689946.75</v>
      </c>
      <c r="G730" s="1134">
        <f t="shared" si="81"/>
        <v>41.068258928571424</v>
      </c>
      <c r="H730" s="1135">
        <f t="shared" si="83"/>
        <v>93.0632514763129</v>
      </c>
      <c r="I730" s="1136">
        <v>0</v>
      </c>
      <c r="J730" s="88">
        <v>5055404.0999999996</v>
      </c>
    </row>
    <row r="731" spans="1:10" ht="12.75" customHeight="1" x14ac:dyDescent="0.2">
      <c r="A731" s="628"/>
      <c r="B731" s="952" t="s">
        <v>1721</v>
      </c>
      <c r="C731" s="652">
        <v>1500000</v>
      </c>
      <c r="D731" s="652">
        <f>1500000-431000-152880-400000</f>
        <v>516120</v>
      </c>
      <c r="E731" s="652">
        <v>511542.02</v>
      </c>
      <c r="F731" s="652"/>
      <c r="G731" s="1051">
        <f t="shared" si="81"/>
        <v>34.102801333333332</v>
      </c>
      <c r="H731" s="1055">
        <f t="shared" si="83"/>
        <v>99.113000852514915</v>
      </c>
      <c r="I731" s="670">
        <v>0</v>
      </c>
      <c r="J731" s="88">
        <v>0</v>
      </c>
    </row>
    <row r="732" spans="1:10" ht="25.5" x14ac:dyDescent="0.2">
      <c r="A732" s="628"/>
      <c r="B732" s="952" t="s">
        <v>1993</v>
      </c>
      <c r="C732" s="652">
        <v>180000</v>
      </c>
      <c r="D732" s="652">
        <f>180000+45254</f>
        <v>225254</v>
      </c>
      <c r="E732" s="652">
        <v>178404.73</v>
      </c>
      <c r="F732" s="652"/>
      <c r="G732" s="1051">
        <f t="shared" si="81"/>
        <v>99.113738888888889</v>
      </c>
      <c r="H732" s="1055">
        <f t="shared" si="83"/>
        <v>79.201581325969798</v>
      </c>
      <c r="I732" s="670">
        <v>0</v>
      </c>
      <c r="J732" s="32">
        <v>0</v>
      </c>
    </row>
    <row r="733" spans="1:10" s="953" customFormat="1" ht="12.75" customHeight="1" x14ac:dyDescent="0.2">
      <c r="A733" s="628"/>
      <c r="B733" s="954" t="s">
        <v>823</v>
      </c>
      <c r="C733" s="955">
        <f>SUM(C734:C740)</f>
        <v>1900000</v>
      </c>
      <c r="D733" s="955">
        <f>SUM(D734:D740)</f>
        <v>200000</v>
      </c>
      <c r="E733" s="955">
        <v>173630.16</v>
      </c>
      <c r="F733" s="955">
        <f>SUM(E734:E740)</f>
        <v>173630.16</v>
      </c>
      <c r="G733" s="1134">
        <f t="shared" si="81"/>
        <v>9.1384294736842104</v>
      </c>
      <c r="H733" s="1135">
        <f t="shared" si="83"/>
        <v>86.815079999999995</v>
      </c>
      <c r="I733" s="1136">
        <v>0</v>
      </c>
      <c r="J733" s="1137">
        <v>0</v>
      </c>
    </row>
    <row r="734" spans="1:10" ht="12.75" customHeight="1" x14ac:dyDescent="0.2">
      <c r="A734" s="628"/>
      <c r="B734" s="668" t="s">
        <v>1723</v>
      </c>
      <c r="C734" s="652">
        <v>150000</v>
      </c>
      <c r="D734" s="652">
        <f>150000-150000</f>
        <v>0</v>
      </c>
      <c r="E734" s="652">
        <v>0</v>
      </c>
      <c r="F734" s="652"/>
      <c r="G734" s="1051">
        <f t="shared" si="81"/>
        <v>0</v>
      </c>
      <c r="H734" s="1055">
        <v>0</v>
      </c>
      <c r="I734" s="670">
        <v>0</v>
      </c>
      <c r="J734" s="88">
        <v>0</v>
      </c>
    </row>
    <row r="735" spans="1:10" ht="12.75" customHeight="1" x14ac:dyDescent="0.2">
      <c r="A735" s="628"/>
      <c r="B735" s="668" t="s">
        <v>1724</v>
      </c>
      <c r="C735" s="694">
        <v>100000</v>
      </c>
      <c r="D735" s="694">
        <f>100000-100000</f>
        <v>0</v>
      </c>
      <c r="E735" s="694">
        <v>0</v>
      </c>
      <c r="F735" s="694"/>
      <c r="G735" s="1051">
        <f t="shared" si="81"/>
        <v>0</v>
      </c>
      <c r="H735" s="1055">
        <v>0</v>
      </c>
      <c r="I735" s="670">
        <v>0</v>
      </c>
      <c r="J735" s="88">
        <v>0</v>
      </c>
    </row>
    <row r="736" spans="1:10" ht="12.75" customHeight="1" x14ac:dyDescent="0.2">
      <c r="A736" s="628"/>
      <c r="B736" s="958" t="s">
        <v>1727</v>
      </c>
      <c r="C736" s="652">
        <v>350000</v>
      </c>
      <c r="D736" s="652">
        <f>350000-250000</f>
        <v>100000</v>
      </c>
      <c r="E736" s="652">
        <v>75620.160000000003</v>
      </c>
      <c r="F736" s="652"/>
      <c r="G736" s="1051">
        <f t="shared" si="81"/>
        <v>21.60576</v>
      </c>
      <c r="H736" s="1055">
        <f t="shared" si="83"/>
        <v>75.620159999999998</v>
      </c>
      <c r="I736" s="670">
        <v>0</v>
      </c>
      <c r="J736" s="88">
        <v>0</v>
      </c>
    </row>
    <row r="737" spans="1:10" ht="12.75" customHeight="1" x14ac:dyDescent="0.2">
      <c r="A737" s="628"/>
      <c r="B737" s="958" t="s">
        <v>1728</v>
      </c>
      <c r="C737" s="652">
        <v>100000</v>
      </c>
      <c r="D737" s="652">
        <f>100000-100000</f>
        <v>0</v>
      </c>
      <c r="E737" s="652">
        <v>0</v>
      </c>
      <c r="F737" s="652"/>
      <c r="G737" s="1051">
        <f t="shared" si="81"/>
        <v>0</v>
      </c>
      <c r="H737" s="1055">
        <v>0</v>
      </c>
      <c r="I737" s="670">
        <v>0</v>
      </c>
      <c r="J737" s="88">
        <v>0</v>
      </c>
    </row>
    <row r="738" spans="1:10" ht="12.75" customHeight="1" x14ac:dyDescent="0.2">
      <c r="A738" s="628"/>
      <c r="B738" s="958" t="s">
        <v>1729</v>
      </c>
      <c r="C738" s="652">
        <v>100000</v>
      </c>
      <c r="D738" s="652">
        <v>100000</v>
      </c>
      <c r="E738" s="652">
        <v>98010</v>
      </c>
      <c r="F738" s="652"/>
      <c r="G738" s="1051">
        <f t="shared" si="81"/>
        <v>98.009999999999991</v>
      </c>
      <c r="H738" s="1055">
        <f t="shared" si="83"/>
        <v>98.009999999999991</v>
      </c>
      <c r="I738" s="670">
        <v>0</v>
      </c>
      <c r="J738" s="88">
        <v>0</v>
      </c>
    </row>
    <row r="739" spans="1:10" ht="12.75" customHeight="1" x14ac:dyDescent="0.2">
      <c r="A739" s="628"/>
      <c r="B739" s="958" t="s">
        <v>1730</v>
      </c>
      <c r="C739" s="652">
        <v>800000</v>
      </c>
      <c r="D739" s="652">
        <f>800000-800000</f>
        <v>0</v>
      </c>
      <c r="E739" s="652">
        <v>0</v>
      </c>
      <c r="F739" s="652"/>
      <c r="G739" s="1051">
        <f t="shared" si="81"/>
        <v>0</v>
      </c>
      <c r="H739" s="1055">
        <v>0</v>
      </c>
      <c r="I739" s="670">
        <v>0</v>
      </c>
      <c r="J739" s="88">
        <v>0</v>
      </c>
    </row>
    <row r="740" spans="1:10" ht="12.75" customHeight="1" x14ac:dyDescent="0.2">
      <c r="A740" s="628"/>
      <c r="B740" s="958" t="s">
        <v>1731</v>
      </c>
      <c r="C740" s="652">
        <v>300000</v>
      </c>
      <c r="D740" s="652">
        <f>300000-300000</f>
        <v>0</v>
      </c>
      <c r="E740" s="652">
        <v>0</v>
      </c>
      <c r="F740" s="652"/>
      <c r="G740" s="1051">
        <f t="shared" si="81"/>
        <v>0</v>
      </c>
      <c r="H740" s="1055">
        <v>0</v>
      </c>
      <c r="I740" s="670">
        <v>0</v>
      </c>
      <c r="J740" s="88">
        <v>0</v>
      </c>
    </row>
    <row r="741" spans="1:10" s="98" customFormat="1" ht="12.75" customHeight="1" x14ac:dyDescent="0.2">
      <c r="A741" s="628"/>
      <c r="B741" s="959" t="s">
        <v>813</v>
      </c>
      <c r="C741" s="951">
        <f>SUM(C742:C744)</f>
        <v>30070000</v>
      </c>
      <c r="D741" s="951">
        <f>SUM(D742:D744)</f>
        <v>35252823.810000002</v>
      </c>
      <c r="E741" s="951">
        <v>35201083.560000002</v>
      </c>
      <c r="F741" s="951">
        <f>SUM(E742:E744)</f>
        <v>35201083.560000002</v>
      </c>
      <c r="G741" s="1134">
        <f t="shared" si="81"/>
        <v>117.06379634186899</v>
      </c>
      <c r="H741" s="1135">
        <f t="shared" si="83"/>
        <v>99.853230906327212</v>
      </c>
      <c r="I741" s="1136">
        <f t="shared" si="84"/>
        <v>143.53350967377312</v>
      </c>
      <c r="J741" s="88">
        <v>24524644.899999999</v>
      </c>
    </row>
    <row r="742" spans="1:10" ht="12.75" customHeight="1" x14ac:dyDescent="0.2">
      <c r="A742" s="628"/>
      <c r="B742" s="668" t="s">
        <v>1732</v>
      </c>
      <c r="C742" s="652">
        <v>30020000</v>
      </c>
      <c r="D742" s="652">
        <f>30020000+1812000-45254-20971-13463.31+2100000-63727+1163197.81-31878-1911-1036-18280.01</f>
        <v>34898677.490000002</v>
      </c>
      <c r="E742" s="652">
        <v>34898677.490000002</v>
      </c>
      <c r="F742" s="652"/>
      <c r="G742" s="1051">
        <f t="shared" si="81"/>
        <v>116.2514240173218</v>
      </c>
      <c r="H742" s="1055">
        <f t="shared" si="83"/>
        <v>100</v>
      </c>
      <c r="I742" s="670">
        <f t="shared" si="84"/>
        <v>143.44927801507239</v>
      </c>
      <c r="J742" s="88">
        <v>24328235.02</v>
      </c>
    </row>
    <row r="743" spans="1:10" ht="12.75" customHeight="1" x14ac:dyDescent="0.2">
      <c r="A743" s="628"/>
      <c r="B743" s="679" t="s">
        <v>1994</v>
      </c>
      <c r="C743" s="652">
        <v>0</v>
      </c>
      <c r="D743" s="652">
        <f>152880+20971+13463.31+63727+31878+1911+1036+18280.01</f>
        <v>304146.32</v>
      </c>
      <c r="E743" s="652">
        <v>302406.07</v>
      </c>
      <c r="F743" s="652"/>
      <c r="G743" s="1051">
        <v>0</v>
      </c>
      <c r="H743" s="1055">
        <f t="shared" si="83"/>
        <v>99.427824739092685</v>
      </c>
      <c r="I743" s="670">
        <f t="shared" si="84"/>
        <v>153.96683201476421</v>
      </c>
      <c r="J743" s="88">
        <v>196409.88</v>
      </c>
    </row>
    <row r="744" spans="1:10" ht="12.75" customHeight="1" x14ac:dyDescent="0.2">
      <c r="A744" s="628"/>
      <c r="B744" s="679" t="s">
        <v>1733</v>
      </c>
      <c r="C744" s="652">
        <v>50000</v>
      </c>
      <c r="D744" s="652">
        <f>50000</f>
        <v>50000</v>
      </c>
      <c r="E744" s="652">
        <v>0</v>
      </c>
      <c r="F744" s="652"/>
      <c r="G744" s="1051">
        <f t="shared" si="81"/>
        <v>0</v>
      </c>
      <c r="H744" s="1055">
        <f t="shared" si="83"/>
        <v>0</v>
      </c>
      <c r="I744" s="670">
        <v>0</v>
      </c>
      <c r="J744" s="88">
        <v>0</v>
      </c>
    </row>
    <row r="745" spans="1:10" s="98" customFormat="1" ht="12.75" customHeight="1" x14ac:dyDescent="0.2">
      <c r="A745" s="628"/>
      <c r="B745" s="960" t="s">
        <v>1734</v>
      </c>
      <c r="C745" s="972">
        <f>C746+C749+C753</f>
        <v>21670000</v>
      </c>
      <c r="D745" s="972">
        <f>D746+D749+D753</f>
        <v>19982830.710000001</v>
      </c>
      <c r="E745" s="972">
        <v>19539127.920000002</v>
      </c>
      <c r="F745" s="951">
        <f>SUM(E746,E749,E753)</f>
        <v>19539127.930000003</v>
      </c>
      <c r="G745" s="1131">
        <f t="shared" si="81"/>
        <v>90.16671859713891</v>
      </c>
      <c r="H745" s="1132">
        <f t="shared" si="83"/>
        <v>97.779579898167484</v>
      </c>
      <c r="I745" s="1133">
        <f t="shared" si="84"/>
        <v>149.71033607208133</v>
      </c>
      <c r="J745" s="88">
        <v>13051288.529999999</v>
      </c>
    </row>
    <row r="746" spans="1:10" ht="12.75" customHeight="1" x14ac:dyDescent="0.2">
      <c r="A746" s="649"/>
      <c r="B746" s="720" t="s">
        <v>801</v>
      </c>
      <c r="C746" s="951">
        <f>C747+C748</f>
        <v>5500000</v>
      </c>
      <c r="D746" s="951">
        <f>D747+D748</f>
        <v>5931000</v>
      </c>
      <c r="E746" s="951">
        <v>5718770.6200000001</v>
      </c>
      <c r="F746" s="951">
        <f>SUM(E747:E748)</f>
        <v>5718770.6200000001</v>
      </c>
      <c r="G746" s="1134">
        <f t="shared" si="81"/>
        <v>103.97764763636363</v>
      </c>
      <c r="H746" s="1135">
        <f t="shared" si="83"/>
        <v>96.421693137750808</v>
      </c>
      <c r="I746" s="1136">
        <v>0</v>
      </c>
      <c r="J746" s="88">
        <v>0</v>
      </c>
    </row>
    <row r="747" spans="1:10" ht="12.75" customHeight="1" x14ac:dyDescent="0.2">
      <c r="A747" s="649"/>
      <c r="B747" s="672" t="s">
        <v>1735</v>
      </c>
      <c r="C747" s="652">
        <v>4650000</v>
      </c>
      <c r="D747" s="652">
        <f>4650000+431000</f>
        <v>5081000</v>
      </c>
      <c r="E747" s="652">
        <v>5080790</v>
      </c>
      <c r="F747" s="652"/>
      <c r="G747" s="1051">
        <f t="shared" si="81"/>
        <v>109.2643010752688</v>
      </c>
      <c r="H747" s="1055">
        <f t="shared" si="83"/>
        <v>99.995866955323748</v>
      </c>
      <c r="I747" s="670">
        <v>0</v>
      </c>
      <c r="J747" s="88">
        <v>0</v>
      </c>
    </row>
    <row r="748" spans="1:10" ht="12.75" customHeight="1" x14ac:dyDescent="0.2">
      <c r="A748" s="649"/>
      <c r="B748" s="672" t="s">
        <v>1736</v>
      </c>
      <c r="C748" s="652">
        <v>850000</v>
      </c>
      <c r="D748" s="652">
        <v>850000</v>
      </c>
      <c r="E748" s="652">
        <v>637980.62</v>
      </c>
      <c r="F748" s="652"/>
      <c r="G748" s="1051">
        <f t="shared" si="81"/>
        <v>75.056543529411769</v>
      </c>
      <c r="H748" s="1055">
        <f t="shared" si="83"/>
        <v>75.056543529411769</v>
      </c>
      <c r="I748" s="670">
        <v>0</v>
      </c>
      <c r="J748" s="88">
        <v>0</v>
      </c>
    </row>
    <row r="749" spans="1:10" ht="12.75" customHeight="1" x14ac:dyDescent="0.2">
      <c r="A749" s="649"/>
      <c r="B749" s="720" t="s">
        <v>813</v>
      </c>
      <c r="C749" s="961">
        <f>SUM(C750:C752)</f>
        <v>14350000</v>
      </c>
      <c r="D749" s="961">
        <f>SUM(D750:D752)</f>
        <v>13731830.710000001</v>
      </c>
      <c r="E749" s="961">
        <v>13690330.710000001</v>
      </c>
      <c r="F749" s="961">
        <f>SUM(E750:E752)</f>
        <v>13690330.710000001</v>
      </c>
      <c r="G749" s="1134">
        <f t="shared" si="81"/>
        <v>95.40300146341464</v>
      </c>
      <c r="H749" s="1135">
        <f t="shared" si="83"/>
        <v>99.697782467054608</v>
      </c>
      <c r="I749" s="1136">
        <f t="shared" si="84"/>
        <v>114.03180839872509</v>
      </c>
      <c r="J749" s="88">
        <v>12005712.18</v>
      </c>
    </row>
    <row r="750" spans="1:10" ht="12.75" customHeight="1" x14ac:dyDescent="0.2">
      <c r="A750" s="649"/>
      <c r="B750" s="668" t="s">
        <v>1737</v>
      </c>
      <c r="C750" s="652">
        <v>14300000</v>
      </c>
      <c r="D750" s="652">
        <f>14300000-617845.43-41009-12687.46-323.86-0.03</f>
        <v>13628134.220000001</v>
      </c>
      <c r="E750" s="652">
        <v>13628134.220000001</v>
      </c>
      <c r="F750" s="652"/>
      <c r="G750" s="1051">
        <f t="shared" si="81"/>
        <v>95.301637902097909</v>
      </c>
      <c r="H750" s="1055">
        <f t="shared" si="83"/>
        <v>100</v>
      </c>
      <c r="I750" s="670">
        <f t="shared" si="84"/>
        <v>114.36095290025088</v>
      </c>
      <c r="J750" s="88">
        <v>11916772.18</v>
      </c>
    </row>
    <row r="751" spans="1:10" ht="12.75" customHeight="1" x14ac:dyDescent="0.2">
      <c r="A751" s="628"/>
      <c r="B751" s="679" t="s">
        <v>2133</v>
      </c>
      <c r="C751" s="652">
        <v>0</v>
      </c>
      <c r="D751" s="652">
        <f>41009+12687.46+0.03</f>
        <v>53696.49</v>
      </c>
      <c r="E751" s="652">
        <v>53696.49</v>
      </c>
      <c r="F751" s="652"/>
      <c r="G751" s="1051">
        <v>0</v>
      </c>
      <c r="H751" s="1055">
        <f t="shared" si="83"/>
        <v>100</v>
      </c>
      <c r="I751" s="670">
        <v>0</v>
      </c>
      <c r="J751" s="88">
        <v>0</v>
      </c>
    </row>
    <row r="752" spans="1:10" ht="12.75" customHeight="1" x14ac:dyDescent="0.2">
      <c r="A752" s="649"/>
      <c r="B752" s="962" t="s">
        <v>1738</v>
      </c>
      <c r="C752" s="652">
        <v>50000</v>
      </c>
      <c r="D752" s="652">
        <v>50000</v>
      </c>
      <c r="E752" s="652">
        <v>8500</v>
      </c>
      <c r="F752" s="652"/>
      <c r="G752" s="1051">
        <f t="shared" si="81"/>
        <v>17</v>
      </c>
      <c r="H752" s="1055">
        <f t="shared" si="83"/>
        <v>17</v>
      </c>
      <c r="I752" s="670">
        <v>0</v>
      </c>
      <c r="J752" s="88">
        <v>0</v>
      </c>
    </row>
    <row r="753" spans="1:10" ht="12.75" customHeight="1" x14ac:dyDescent="0.2">
      <c r="A753" s="649"/>
      <c r="B753" s="720" t="s">
        <v>823</v>
      </c>
      <c r="C753" s="951">
        <f>SUM(C754:C756)</f>
        <v>1820000</v>
      </c>
      <c r="D753" s="951">
        <f>SUM(D754:D756)</f>
        <v>320000</v>
      </c>
      <c r="E753" s="951">
        <v>130026.6</v>
      </c>
      <c r="F753" s="951">
        <f>SUM(E754:E756)</f>
        <v>130026</v>
      </c>
      <c r="G753" s="1134">
        <f t="shared" si="81"/>
        <v>7.1443186813186816</v>
      </c>
      <c r="H753" s="1135">
        <f t="shared" si="83"/>
        <v>40.633312500000002</v>
      </c>
      <c r="I753" s="1136">
        <v>0</v>
      </c>
      <c r="J753" s="88">
        <v>1045576.35</v>
      </c>
    </row>
    <row r="754" spans="1:10" ht="12.75" customHeight="1" x14ac:dyDescent="0.2">
      <c r="A754" s="649"/>
      <c r="B754" s="672" t="s">
        <v>824</v>
      </c>
      <c r="C754" s="652">
        <v>200000</v>
      </c>
      <c r="D754" s="652">
        <v>200000</v>
      </c>
      <c r="E754" s="652">
        <v>10026</v>
      </c>
      <c r="F754" s="652"/>
      <c r="G754" s="1051">
        <f t="shared" ref="G754:G817" si="85">E754/C754*100</f>
        <v>5.0129999999999999</v>
      </c>
      <c r="H754" s="1055">
        <f t="shared" si="83"/>
        <v>5.0129999999999999</v>
      </c>
      <c r="I754" s="670">
        <v>0</v>
      </c>
      <c r="J754" s="88">
        <v>45576.35</v>
      </c>
    </row>
    <row r="755" spans="1:10" ht="12.75" customHeight="1" x14ac:dyDescent="0.2">
      <c r="A755" s="649"/>
      <c r="B755" s="672" t="s">
        <v>1740</v>
      </c>
      <c r="C755" s="652">
        <v>120000</v>
      </c>
      <c r="D755" s="652">
        <v>120000</v>
      </c>
      <c r="E755" s="652">
        <v>120000</v>
      </c>
      <c r="F755" s="652"/>
      <c r="G755" s="1051">
        <f t="shared" si="85"/>
        <v>100</v>
      </c>
      <c r="H755" s="1055">
        <f t="shared" si="83"/>
        <v>100</v>
      </c>
      <c r="I755" s="670">
        <v>0</v>
      </c>
      <c r="J755" s="88">
        <v>0</v>
      </c>
    </row>
    <row r="756" spans="1:10" ht="12.75" customHeight="1" x14ac:dyDescent="0.2">
      <c r="A756" s="649"/>
      <c r="B756" s="668" t="s">
        <v>826</v>
      </c>
      <c r="C756" s="652">
        <v>1500000</v>
      </c>
      <c r="D756" s="652">
        <f>1500000-1500000</f>
        <v>0</v>
      </c>
      <c r="E756" s="652">
        <v>0</v>
      </c>
      <c r="F756" s="652"/>
      <c r="G756" s="1051">
        <f t="shared" si="85"/>
        <v>0</v>
      </c>
      <c r="H756" s="1055">
        <v>0</v>
      </c>
      <c r="I756" s="670">
        <v>0</v>
      </c>
      <c r="J756" s="88">
        <v>0</v>
      </c>
    </row>
    <row r="757" spans="1:10" ht="12.75" customHeight="1" x14ac:dyDescent="0.2">
      <c r="A757" s="628">
        <v>3612</v>
      </c>
      <c r="B757" s="629" t="s">
        <v>827</v>
      </c>
      <c r="C757" s="635">
        <f>C758+C760</f>
        <v>56000000</v>
      </c>
      <c r="D757" s="635">
        <f>D758+D760</f>
        <v>50963073</v>
      </c>
      <c r="E757" s="635">
        <v>45861277.729999997</v>
      </c>
      <c r="F757" s="652">
        <f>SUM(E758,E760)</f>
        <v>45861277.729999997</v>
      </c>
      <c r="G757" s="630">
        <f t="shared" si="85"/>
        <v>81.895138803571427</v>
      </c>
      <c r="H757" s="1052">
        <f t="shared" si="83"/>
        <v>89.989231477466035</v>
      </c>
      <c r="I757" s="639">
        <f t="shared" si="84"/>
        <v>43.955095372330277</v>
      </c>
      <c r="J757" s="88">
        <v>104336658.45</v>
      </c>
    </row>
    <row r="758" spans="1:10" ht="12.75" customHeight="1" x14ac:dyDescent="0.2">
      <c r="A758" s="649"/>
      <c r="B758" s="720" t="s">
        <v>801</v>
      </c>
      <c r="C758" s="951">
        <f>SUM(C759)</f>
        <v>1000000</v>
      </c>
      <c r="D758" s="951">
        <f>SUM(D759)</f>
        <v>1000000</v>
      </c>
      <c r="E758" s="951">
        <v>192390</v>
      </c>
      <c r="F758" s="951"/>
      <c r="G758" s="1134">
        <f t="shared" si="85"/>
        <v>19.239000000000001</v>
      </c>
      <c r="H758" s="1135">
        <f t="shared" si="83"/>
        <v>19.239000000000001</v>
      </c>
      <c r="I758" s="1136">
        <f t="shared" si="84"/>
        <v>0.30156553702120975</v>
      </c>
      <c r="J758" s="88">
        <v>63797077.710000001</v>
      </c>
    </row>
    <row r="759" spans="1:10" ht="12.75" customHeight="1" x14ac:dyDescent="0.2">
      <c r="A759" s="649"/>
      <c r="B759" s="672" t="s">
        <v>1742</v>
      </c>
      <c r="C759" s="652">
        <v>1000000</v>
      </c>
      <c r="D759" s="652">
        <v>1000000</v>
      </c>
      <c r="E759" s="652">
        <v>192390</v>
      </c>
      <c r="F759" s="652"/>
      <c r="G759" s="1051">
        <f t="shared" si="85"/>
        <v>19.239000000000001</v>
      </c>
      <c r="H759" s="1055">
        <f t="shared" si="83"/>
        <v>19.239000000000001</v>
      </c>
      <c r="I759" s="670">
        <v>0</v>
      </c>
      <c r="J759" s="88">
        <v>0</v>
      </c>
    </row>
    <row r="760" spans="1:10" ht="12.75" customHeight="1" x14ac:dyDescent="0.2">
      <c r="A760" s="628"/>
      <c r="B760" s="963" t="s">
        <v>838</v>
      </c>
      <c r="C760" s="964">
        <f>C761+C766+C770+C777+C781+C782+C783+C784+C785+C790</f>
        <v>55000000</v>
      </c>
      <c r="D760" s="964">
        <f>D761+D766+D770+D777+D781+D782+D783+D784+D785+D790</f>
        <v>49963073</v>
      </c>
      <c r="E760" s="964">
        <v>45668887.729999997</v>
      </c>
      <c r="F760" s="964">
        <f>E757-E758</f>
        <v>45668887.729999997</v>
      </c>
      <c r="G760" s="1134">
        <f t="shared" si="85"/>
        <v>83.034341327272728</v>
      </c>
      <c r="H760" s="1135">
        <f t="shared" si="83"/>
        <v>91.405281916906915</v>
      </c>
      <c r="I760" s="1136">
        <f t="shared" si="84"/>
        <v>112.65259012641677</v>
      </c>
      <c r="J760" s="88">
        <v>40539580.740000002</v>
      </c>
    </row>
    <row r="761" spans="1:10" s="488" customFormat="1" ht="12.75" customHeight="1" x14ac:dyDescent="0.2">
      <c r="A761" s="965"/>
      <c r="B761" s="949" t="s">
        <v>839</v>
      </c>
      <c r="C761" s="966">
        <f>SUM(C762:C765)</f>
        <v>10750000</v>
      </c>
      <c r="D761" s="966">
        <f>SUM(D762:D765)</f>
        <v>6550000</v>
      </c>
      <c r="E761" s="966">
        <v>5957470.9500000002</v>
      </c>
      <c r="F761" s="1138">
        <f>SUM(E762:E765)</f>
        <v>5957470.9499999993</v>
      </c>
      <c r="G761" s="1131">
        <f t="shared" si="85"/>
        <v>55.418334418604651</v>
      </c>
      <c r="H761" s="1132">
        <f t="shared" si="83"/>
        <v>90.953754961832061</v>
      </c>
      <c r="I761" s="1133">
        <f t="shared" si="84"/>
        <v>63.450684875973415</v>
      </c>
      <c r="J761" s="88">
        <v>9389135.7699999996</v>
      </c>
    </row>
    <row r="762" spans="1:10" ht="12.75" customHeight="1" x14ac:dyDescent="0.2">
      <c r="A762" s="628"/>
      <c r="B762" s="668" t="s">
        <v>1747</v>
      </c>
      <c r="C762" s="712">
        <v>5750000</v>
      </c>
      <c r="D762" s="712">
        <f>5750000-700000</f>
        <v>5050000</v>
      </c>
      <c r="E762" s="712">
        <v>4956867.5999999996</v>
      </c>
      <c r="F762" s="712"/>
      <c r="G762" s="1051">
        <f t="shared" si="85"/>
        <v>86.206393043478258</v>
      </c>
      <c r="H762" s="1055">
        <f t="shared" si="83"/>
        <v>98.155794059405935</v>
      </c>
      <c r="I762" s="670">
        <f t="shared" si="84"/>
        <v>87.199833602018728</v>
      </c>
      <c r="J762" s="88">
        <v>5684492.04</v>
      </c>
    </row>
    <row r="763" spans="1:10" ht="12.75" customHeight="1" x14ac:dyDescent="0.2">
      <c r="A763" s="628"/>
      <c r="B763" s="668" t="s">
        <v>1748</v>
      </c>
      <c r="C763" s="709">
        <v>1000000</v>
      </c>
      <c r="D763" s="709">
        <f>1000000-1000000</f>
        <v>0</v>
      </c>
      <c r="E763" s="709">
        <v>0</v>
      </c>
      <c r="F763" s="709"/>
      <c r="G763" s="1051">
        <f t="shared" si="85"/>
        <v>0</v>
      </c>
      <c r="H763" s="1055">
        <v>0</v>
      </c>
      <c r="I763" s="670">
        <v>0</v>
      </c>
      <c r="J763" s="88">
        <v>1224245.18</v>
      </c>
    </row>
    <row r="764" spans="1:10" ht="12.75" customHeight="1" x14ac:dyDescent="0.2">
      <c r="A764" s="628"/>
      <c r="B764" s="668" t="s">
        <v>1749</v>
      </c>
      <c r="C764" s="709">
        <v>2000000</v>
      </c>
      <c r="D764" s="709">
        <f>2000000-500000</f>
        <v>1500000</v>
      </c>
      <c r="E764" s="709">
        <v>1000603.35</v>
      </c>
      <c r="F764" s="709"/>
      <c r="G764" s="1051">
        <f t="shared" si="85"/>
        <v>50.030167499999997</v>
      </c>
      <c r="H764" s="1055">
        <f t="shared" si="83"/>
        <v>66.706890000000001</v>
      </c>
      <c r="I764" s="670">
        <v>0</v>
      </c>
      <c r="J764" s="88">
        <v>0</v>
      </c>
    </row>
    <row r="765" spans="1:10" ht="12.75" customHeight="1" x14ac:dyDescent="0.2">
      <c r="A765" s="628"/>
      <c r="B765" s="668" t="s">
        <v>1751</v>
      </c>
      <c r="C765" s="709">
        <v>2000000</v>
      </c>
      <c r="D765" s="709">
        <f>2000000-1500000-500000</f>
        <v>0</v>
      </c>
      <c r="E765" s="709">
        <v>0</v>
      </c>
      <c r="F765" s="709"/>
      <c r="G765" s="1051">
        <f t="shared" si="85"/>
        <v>0</v>
      </c>
      <c r="H765" s="1055">
        <v>0</v>
      </c>
      <c r="I765" s="670">
        <v>0</v>
      </c>
      <c r="J765" s="88">
        <v>1905268.55</v>
      </c>
    </row>
    <row r="766" spans="1:10" s="98" customFormat="1" ht="12.75" customHeight="1" x14ac:dyDescent="0.2">
      <c r="A766" s="628"/>
      <c r="B766" s="971" t="s">
        <v>2134</v>
      </c>
      <c r="C766" s="972">
        <f>SUM(C767:C768)</f>
        <v>3400000</v>
      </c>
      <c r="D766" s="972">
        <f>D767+D768</f>
        <v>3200000</v>
      </c>
      <c r="E766" s="972">
        <v>2819668.91</v>
      </c>
      <c r="F766" s="951">
        <f>SUM(E767:E768)</f>
        <v>2819668.91</v>
      </c>
      <c r="G766" s="1131">
        <f t="shared" si="85"/>
        <v>82.931438529411778</v>
      </c>
      <c r="H766" s="1132">
        <f t="shared" si="83"/>
        <v>88.114653437499996</v>
      </c>
      <c r="I766" s="1133">
        <f t="shared" si="84"/>
        <v>95.253313604979098</v>
      </c>
      <c r="J766" s="88">
        <v>2960179.34</v>
      </c>
    </row>
    <row r="767" spans="1:10" ht="12.75" customHeight="1" x14ac:dyDescent="0.2">
      <c r="A767" s="649"/>
      <c r="B767" s="668" t="s">
        <v>1754</v>
      </c>
      <c r="C767" s="652">
        <v>3000000</v>
      </c>
      <c r="D767" s="652">
        <v>3000000</v>
      </c>
      <c r="E767" s="652">
        <v>2685747.96</v>
      </c>
      <c r="F767" s="652"/>
      <c r="G767" s="1051">
        <f t="shared" si="85"/>
        <v>89.524932000000007</v>
      </c>
      <c r="H767" s="1055">
        <f t="shared" si="83"/>
        <v>89.524932000000007</v>
      </c>
      <c r="I767" s="670">
        <f t="shared" si="84"/>
        <v>98.8132474892586</v>
      </c>
      <c r="J767" s="88">
        <v>2718003.94</v>
      </c>
    </row>
    <row r="768" spans="1:10" ht="12.75" customHeight="1" x14ac:dyDescent="0.2">
      <c r="A768" s="649"/>
      <c r="B768" s="679" t="s">
        <v>845</v>
      </c>
      <c r="C768" s="652">
        <f>SUM(C769)</f>
        <v>400000</v>
      </c>
      <c r="D768" s="652">
        <f>SUM(D769)</f>
        <v>200000</v>
      </c>
      <c r="E768" s="652">
        <v>133920.95000000001</v>
      </c>
      <c r="F768" s="652"/>
      <c r="G768" s="1051">
        <f t="shared" si="85"/>
        <v>33.480237500000001</v>
      </c>
      <c r="H768" s="1055">
        <f t="shared" si="83"/>
        <v>66.960475000000002</v>
      </c>
      <c r="I768" s="670">
        <v>0</v>
      </c>
      <c r="J768" s="88">
        <v>242176</v>
      </c>
    </row>
    <row r="769" spans="1:10" ht="12.75" customHeight="1" x14ac:dyDescent="0.2">
      <c r="A769" s="649"/>
      <c r="B769" s="679" t="s">
        <v>1755</v>
      </c>
      <c r="C769" s="652">
        <v>400000</v>
      </c>
      <c r="D769" s="652">
        <f>400000-200000</f>
        <v>200000</v>
      </c>
      <c r="E769" s="652">
        <v>133920.95000000001</v>
      </c>
      <c r="F769" s="652"/>
      <c r="G769" s="1051">
        <f t="shared" si="85"/>
        <v>33.480237500000001</v>
      </c>
      <c r="H769" s="1055">
        <f t="shared" ref="H769:H832" si="86">E769/D769*100</f>
        <v>66.960475000000002</v>
      </c>
      <c r="I769" s="670">
        <v>0</v>
      </c>
      <c r="J769" s="88">
        <v>0</v>
      </c>
    </row>
    <row r="770" spans="1:10" s="488" customFormat="1" ht="12.75" customHeight="1" x14ac:dyDescent="0.2">
      <c r="A770" s="969"/>
      <c r="B770" s="973" t="s">
        <v>2135</v>
      </c>
      <c r="C770" s="972">
        <f t="shared" ref="C770:D770" si="87">C771+C772</f>
        <v>5350000</v>
      </c>
      <c r="D770" s="972">
        <f t="shared" si="87"/>
        <v>2613073</v>
      </c>
      <c r="E770" s="972">
        <v>2314477.2000000002</v>
      </c>
      <c r="F770" s="951">
        <f>SUM(E771:E772)</f>
        <v>2314477.2000000002</v>
      </c>
      <c r="G770" s="1131">
        <f t="shared" si="85"/>
        <v>43.261256074766358</v>
      </c>
      <c r="H770" s="1132">
        <f t="shared" si="86"/>
        <v>88.573001978896116</v>
      </c>
      <c r="I770" s="1133">
        <f t="shared" si="84"/>
        <v>63.941150731204033</v>
      </c>
      <c r="J770" s="88">
        <v>3619699.01</v>
      </c>
    </row>
    <row r="771" spans="1:10" s="488" customFormat="1" ht="12.75" customHeight="1" x14ac:dyDescent="0.2">
      <c r="A771" s="969"/>
      <c r="B771" s="974" t="s">
        <v>844</v>
      </c>
      <c r="C771" s="975">
        <v>3000000</v>
      </c>
      <c r="D771" s="975">
        <f>3000000-500000-1500000+500000</f>
        <v>1500000</v>
      </c>
      <c r="E771" s="975">
        <v>1497323.77</v>
      </c>
      <c r="F771" s="975"/>
      <c r="G771" s="1051">
        <f t="shared" si="85"/>
        <v>49.910792333333333</v>
      </c>
      <c r="H771" s="1055">
        <f t="shared" si="86"/>
        <v>99.821584666666666</v>
      </c>
      <c r="I771" s="670">
        <f t="shared" si="84"/>
        <v>51.967763727511297</v>
      </c>
      <c r="J771" s="88">
        <v>2881254.96</v>
      </c>
    </row>
    <row r="772" spans="1:10" s="488" customFormat="1" ht="12.75" customHeight="1" x14ac:dyDescent="0.2">
      <c r="A772" s="649"/>
      <c r="B772" s="679" t="s">
        <v>849</v>
      </c>
      <c r="C772" s="652">
        <f>SUM(C773:C776)</f>
        <v>2350000</v>
      </c>
      <c r="D772" s="652">
        <f>SUM(D773:D776)</f>
        <v>1113073</v>
      </c>
      <c r="E772" s="652">
        <v>817153.43</v>
      </c>
      <c r="F772" s="652">
        <f>SUM(E773:E776)</f>
        <v>817153.42999999993</v>
      </c>
      <c r="G772" s="1051">
        <f t="shared" si="85"/>
        <v>34.772486382978727</v>
      </c>
      <c r="H772" s="1055">
        <f t="shared" si="86"/>
        <v>73.414181280113709</v>
      </c>
      <c r="I772" s="670">
        <f t="shared" si="84"/>
        <v>110.65881430014907</v>
      </c>
      <c r="J772" s="88">
        <v>738444.05</v>
      </c>
    </row>
    <row r="773" spans="1:10" ht="12.75" customHeight="1" x14ac:dyDescent="0.2">
      <c r="A773" s="649"/>
      <c r="B773" s="672" t="s">
        <v>1760</v>
      </c>
      <c r="C773" s="652">
        <v>500000</v>
      </c>
      <c r="D773" s="652">
        <v>500000</v>
      </c>
      <c r="E773" s="652">
        <v>283751</v>
      </c>
      <c r="F773" s="652"/>
      <c r="G773" s="1051">
        <f t="shared" si="85"/>
        <v>56.750199999999992</v>
      </c>
      <c r="H773" s="1055">
        <f t="shared" si="86"/>
        <v>56.750199999999992</v>
      </c>
      <c r="I773" s="670">
        <v>0</v>
      </c>
      <c r="J773" s="88">
        <v>225170</v>
      </c>
    </row>
    <row r="774" spans="1:10" ht="12.75" customHeight="1" x14ac:dyDescent="0.2">
      <c r="A774" s="649"/>
      <c r="B774" s="679" t="s">
        <v>1761</v>
      </c>
      <c r="C774" s="644">
        <v>250000</v>
      </c>
      <c r="D774" s="644">
        <f>250000+13073-250000</f>
        <v>13073</v>
      </c>
      <c r="E774" s="644">
        <v>0</v>
      </c>
      <c r="F774" s="644"/>
      <c r="G774" s="1051">
        <f t="shared" si="85"/>
        <v>0</v>
      </c>
      <c r="H774" s="1055">
        <f t="shared" si="86"/>
        <v>0</v>
      </c>
      <c r="I774" s="670">
        <v>0</v>
      </c>
      <c r="J774" s="88">
        <v>0</v>
      </c>
    </row>
    <row r="775" spans="1:10" ht="12.75" customHeight="1" x14ac:dyDescent="0.2">
      <c r="A775" s="969"/>
      <c r="B775" s="668" t="s">
        <v>1762</v>
      </c>
      <c r="C775" s="652">
        <v>600000</v>
      </c>
      <c r="D775" s="652">
        <f>600000-300000</f>
        <v>300000</v>
      </c>
      <c r="E775" s="652">
        <v>286811.38</v>
      </c>
      <c r="F775" s="652"/>
      <c r="G775" s="1051">
        <f t="shared" si="85"/>
        <v>47.801896666666664</v>
      </c>
      <c r="H775" s="1055">
        <f t="shared" si="86"/>
        <v>95.603793333333329</v>
      </c>
      <c r="I775" s="670">
        <v>0</v>
      </c>
      <c r="J775" s="88">
        <v>0</v>
      </c>
    </row>
    <row r="776" spans="1:10" ht="12.75" customHeight="1" x14ac:dyDescent="0.2">
      <c r="A776" s="969"/>
      <c r="B776" s="668" t="s">
        <v>1763</v>
      </c>
      <c r="C776" s="652">
        <v>1000000</v>
      </c>
      <c r="D776" s="652">
        <f>1000000-500000-200000</f>
        <v>300000</v>
      </c>
      <c r="E776" s="652">
        <v>246591.05</v>
      </c>
      <c r="F776" s="652"/>
      <c r="G776" s="1051">
        <f t="shared" si="85"/>
        <v>24.659104999999997</v>
      </c>
      <c r="H776" s="1055">
        <f t="shared" si="86"/>
        <v>82.19701666666667</v>
      </c>
      <c r="I776" s="670">
        <v>0</v>
      </c>
      <c r="J776" s="88">
        <v>0</v>
      </c>
    </row>
    <row r="777" spans="1:10" s="488" customFormat="1" ht="12.75" customHeight="1" x14ac:dyDescent="0.2">
      <c r="A777" s="969"/>
      <c r="B777" s="976" t="s">
        <v>1766</v>
      </c>
      <c r="C777" s="977">
        <f t="shared" ref="C777:D777" si="88">C778+C779</f>
        <v>2750000</v>
      </c>
      <c r="D777" s="977">
        <f t="shared" si="88"/>
        <v>2500000</v>
      </c>
      <c r="E777" s="977">
        <v>2150928.7999999998</v>
      </c>
      <c r="F777" s="961">
        <f>SUM(E778:E780)</f>
        <v>2150928.7999999998</v>
      </c>
      <c r="G777" s="1131">
        <f t="shared" si="85"/>
        <v>78.215592727272721</v>
      </c>
      <c r="H777" s="1132">
        <f t="shared" si="86"/>
        <v>86.037151999999992</v>
      </c>
      <c r="I777" s="1133">
        <f t="shared" ref="I777:I837" si="89">E777/J777*100</f>
        <v>84.769305978522254</v>
      </c>
      <c r="J777" s="88">
        <v>2537391.0699999998</v>
      </c>
    </row>
    <row r="778" spans="1:10" s="488" customFormat="1" ht="12.75" customHeight="1" x14ac:dyDescent="0.2">
      <c r="A778" s="969"/>
      <c r="B778" s="668" t="s">
        <v>858</v>
      </c>
      <c r="C778" s="644">
        <v>2500000</v>
      </c>
      <c r="D778" s="644">
        <v>2500000</v>
      </c>
      <c r="E778" s="644">
        <v>2150928.7999999998</v>
      </c>
      <c r="F778" s="644"/>
      <c r="G778" s="1051">
        <f t="shared" si="85"/>
        <v>86.037151999999992</v>
      </c>
      <c r="H778" s="1055">
        <f t="shared" si="86"/>
        <v>86.037151999999992</v>
      </c>
      <c r="I778" s="670">
        <f t="shared" si="89"/>
        <v>115.38623855377965</v>
      </c>
      <c r="J778" s="88">
        <v>1864112.07</v>
      </c>
    </row>
    <row r="779" spans="1:10" s="488" customFormat="1" ht="12.75" customHeight="1" x14ac:dyDescent="0.2">
      <c r="A779" s="649"/>
      <c r="B779" s="672" t="s">
        <v>859</v>
      </c>
      <c r="C779" s="644">
        <f>SUM(C780)</f>
        <v>250000</v>
      </c>
      <c r="D779" s="644">
        <f>SUM(D780)</f>
        <v>0</v>
      </c>
      <c r="E779" s="644">
        <v>0</v>
      </c>
      <c r="F779" s="644"/>
      <c r="G779" s="1051">
        <f t="shared" si="85"/>
        <v>0</v>
      </c>
      <c r="H779" s="1055">
        <v>0</v>
      </c>
      <c r="I779" s="670">
        <v>0</v>
      </c>
      <c r="J779" s="88">
        <v>673279</v>
      </c>
    </row>
    <row r="780" spans="1:10" ht="12.75" customHeight="1" x14ac:dyDescent="0.2">
      <c r="A780" s="649"/>
      <c r="B780" s="672" t="s">
        <v>863</v>
      </c>
      <c r="C780" s="644">
        <v>250000</v>
      </c>
      <c r="D780" s="644">
        <f>250000-250000</f>
        <v>0</v>
      </c>
      <c r="E780" s="644">
        <v>0</v>
      </c>
      <c r="F780" s="644"/>
      <c r="G780" s="1051">
        <f t="shared" si="85"/>
        <v>0</v>
      </c>
      <c r="H780" s="1055">
        <v>0</v>
      </c>
      <c r="I780" s="670">
        <v>0</v>
      </c>
      <c r="J780" s="88">
        <v>0</v>
      </c>
    </row>
    <row r="781" spans="1:10" s="488" customFormat="1" ht="12.75" customHeight="1" x14ac:dyDescent="0.2">
      <c r="A781" s="969"/>
      <c r="B781" s="980" t="s">
        <v>1768</v>
      </c>
      <c r="C781" s="644">
        <v>400000</v>
      </c>
      <c r="D781" s="644">
        <v>400000</v>
      </c>
      <c r="E781" s="644">
        <v>182236</v>
      </c>
      <c r="F781" s="644"/>
      <c r="G781" s="1051">
        <f t="shared" si="85"/>
        <v>45.558999999999997</v>
      </c>
      <c r="H781" s="1055">
        <f t="shared" si="86"/>
        <v>45.558999999999997</v>
      </c>
      <c r="I781" s="670">
        <f t="shared" si="89"/>
        <v>114.18152654728637</v>
      </c>
      <c r="J781" s="88">
        <v>159602</v>
      </c>
    </row>
    <row r="782" spans="1:10" s="488" customFormat="1" ht="25.5" x14ac:dyDescent="0.2">
      <c r="A782" s="969"/>
      <c r="B782" s="980" t="s">
        <v>1769</v>
      </c>
      <c r="C782" s="644">
        <v>3000000</v>
      </c>
      <c r="D782" s="644">
        <v>3000000</v>
      </c>
      <c r="E782" s="644">
        <v>2263091.08</v>
      </c>
      <c r="F782" s="644"/>
      <c r="G782" s="1051">
        <f t="shared" si="85"/>
        <v>75.436369333333332</v>
      </c>
      <c r="H782" s="1055">
        <f t="shared" si="86"/>
        <v>75.436369333333332</v>
      </c>
      <c r="I782" s="670">
        <f t="shared" si="89"/>
        <v>118.89325936393311</v>
      </c>
      <c r="J782" s="32">
        <v>1903464.58</v>
      </c>
    </row>
    <row r="783" spans="1:10" s="488" customFormat="1" ht="12.75" customHeight="1" x14ac:dyDescent="0.2">
      <c r="A783" s="969"/>
      <c r="B783" s="981" t="s">
        <v>1770</v>
      </c>
      <c r="C783" s="644">
        <v>100000</v>
      </c>
      <c r="D783" s="644">
        <v>100000</v>
      </c>
      <c r="E783" s="644">
        <v>91099</v>
      </c>
      <c r="F783" s="644"/>
      <c r="G783" s="1051">
        <f t="shared" si="85"/>
        <v>91.09899999999999</v>
      </c>
      <c r="H783" s="1055">
        <f t="shared" si="86"/>
        <v>91.09899999999999</v>
      </c>
      <c r="I783" s="670">
        <f t="shared" si="89"/>
        <v>104.45101503193874</v>
      </c>
      <c r="J783" s="88">
        <v>87216.960000000006</v>
      </c>
    </row>
    <row r="784" spans="1:10" s="488" customFormat="1" ht="12.75" customHeight="1" x14ac:dyDescent="0.2">
      <c r="A784" s="969"/>
      <c r="B784" s="982" t="s">
        <v>1771</v>
      </c>
      <c r="C784" s="951">
        <v>100000</v>
      </c>
      <c r="D784" s="951">
        <v>100000</v>
      </c>
      <c r="E784" s="951">
        <v>57834.1</v>
      </c>
      <c r="F784" s="951"/>
      <c r="G784" s="1134">
        <f t="shared" si="85"/>
        <v>57.834099999999999</v>
      </c>
      <c r="H784" s="1135">
        <f t="shared" si="86"/>
        <v>57.834099999999999</v>
      </c>
      <c r="I784" s="1136">
        <f t="shared" si="89"/>
        <v>144.7591056859288</v>
      </c>
      <c r="J784" s="88">
        <v>39951.96</v>
      </c>
    </row>
    <row r="785" spans="1:10" s="488" customFormat="1" ht="12.75" customHeight="1" x14ac:dyDescent="0.2">
      <c r="A785" s="969"/>
      <c r="B785" s="982" t="s">
        <v>1772</v>
      </c>
      <c r="C785" s="961">
        <f>C786+C787+C788+C789</f>
        <v>29050000</v>
      </c>
      <c r="D785" s="961">
        <f>D786+D787+D788+D789</f>
        <v>31500000</v>
      </c>
      <c r="E785" s="961">
        <v>29885926.690000001</v>
      </c>
      <c r="F785" s="961">
        <f>SUM(E786:E790)</f>
        <v>29885926.690000001</v>
      </c>
      <c r="G785" s="1134">
        <f t="shared" si="85"/>
        <v>102.87754454388984</v>
      </c>
      <c r="H785" s="1135">
        <f t="shared" si="86"/>
        <v>94.875957746031744</v>
      </c>
      <c r="I785" s="1136">
        <f t="shared" si="89"/>
        <v>154.61920599371444</v>
      </c>
      <c r="J785" s="88">
        <v>19328728.600000001</v>
      </c>
    </row>
    <row r="786" spans="1:10" s="488" customFormat="1" ht="12.75" customHeight="1" x14ac:dyDescent="0.2">
      <c r="A786" s="969"/>
      <c r="B786" s="983" t="s">
        <v>1773</v>
      </c>
      <c r="C786" s="652">
        <v>5600000</v>
      </c>
      <c r="D786" s="652">
        <f>5600000+2450000</f>
        <v>8050000</v>
      </c>
      <c r="E786" s="652">
        <v>8045892.1100000003</v>
      </c>
      <c r="F786" s="652"/>
      <c r="G786" s="1051">
        <f t="shared" si="85"/>
        <v>143.67664482142857</v>
      </c>
      <c r="H786" s="1055">
        <f t="shared" si="86"/>
        <v>99.948970310559019</v>
      </c>
      <c r="I786" s="670">
        <f t="shared" si="89"/>
        <v>127.90281236637119</v>
      </c>
      <c r="J786" s="88">
        <v>6290629.5499999998</v>
      </c>
    </row>
    <row r="787" spans="1:10" s="488" customFormat="1" ht="12.75" customHeight="1" x14ac:dyDescent="0.2">
      <c r="A787" s="649"/>
      <c r="B787" s="979" t="s">
        <v>1774</v>
      </c>
      <c r="C787" s="644">
        <v>20000000</v>
      </c>
      <c r="D787" s="644">
        <v>20000000</v>
      </c>
      <c r="E787" s="644">
        <v>19917859.59</v>
      </c>
      <c r="F787" s="644"/>
      <c r="G787" s="1051">
        <f t="shared" si="85"/>
        <v>99.589297950000002</v>
      </c>
      <c r="H787" s="1055">
        <f t="shared" si="86"/>
        <v>99.589297950000002</v>
      </c>
      <c r="I787" s="670">
        <f t="shared" si="89"/>
        <v>160.36784509383034</v>
      </c>
      <c r="J787" s="88">
        <v>12420108.02</v>
      </c>
    </row>
    <row r="788" spans="1:10" s="488" customFormat="1" ht="12.75" customHeight="1" x14ac:dyDescent="0.2">
      <c r="A788" s="649"/>
      <c r="B788" s="672" t="s">
        <v>1775</v>
      </c>
      <c r="C788" s="644">
        <v>900000</v>
      </c>
      <c r="D788" s="644">
        <v>900000</v>
      </c>
      <c r="E788" s="644">
        <v>383733.37</v>
      </c>
      <c r="F788" s="644"/>
      <c r="G788" s="1051">
        <f t="shared" si="85"/>
        <v>42.63704111111111</v>
      </c>
      <c r="H788" s="1055">
        <f t="shared" si="86"/>
        <v>42.63704111111111</v>
      </c>
      <c r="I788" s="670">
        <f t="shared" si="89"/>
        <v>331.02553177944009</v>
      </c>
      <c r="J788" s="88">
        <v>115922.59</v>
      </c>
    </row>
    <row r="789" spans="1:10" ht="12.75" customHeight="1" x14ac:dyDescent="0.2">
      <c r="A789" s="649"/>
      <c r="B789" s="668" t="s">
        <v>1776</v>
      </c>
      <c r="C789" s="644">
        <v>2550000</v>
      </c>
      <c r="D789" s="644">
        <v>2550000</v>
      </c>
      <c r="E789" s="644">
        <v>1538441.62</v>
      </c>
      <c r="F789" s="644"/>
      <c r="G789" s="1051">
        <f t="shared" si="85"/>
        <v>60.331043921568629</v>
      </c>
      <c r="H789" s="1055">
        <f t="shared" si="86"/>
        <v>60.331043921568629</v>
      </c>
      <c r="I789" s="670">
        <f t="shared" si="89"/>
        <v>306.42069834144525</v>
      </c>
      <c r="J789" s="88">
        <v>502068.44</v>
      </c>
    </row>
    <row r="790" spans="1:10" ht="12.75" customHeight="1" x14ac:dyDescent="0.2">
      <c r="A790" s="649"/>
      <c r="B790" s="668" t="s">
        <v>872</v>
      </c>
      <c r="C790" s="644">
        <v>100000</v>
      </c>
      <c r="D790" s="644">
        <f>100000-80000-20000</f>
        <v>0</v>
      </c>
      <c r="E790" s="644">
        <v>0</v>
      </c>
      <c r="F790" s="644"/>
      <c r="G790" s="1051">
        <f t="shared" si="85"/>
        <v>0</v>
      </c>
      <c r="H790" s="1055">
        <v>0</v>
      </c>
      <c r="I790" s="670">
        <v>0</v>
      </c>
      <c r="J790" s="88">
        <v>0</v>
      </c>
    </row>
    <row r="791" spans="1:10" s="98" customFormat="1" ht="12.75" customHeight="1" x14ac:dyDescent="0.2">
      <c r="A791" s="628">
        <v>3613</v>
      </c>
      <c r="B791" s="634" t="s">
        <v>873</v>
      </c>
      <c r="C791" s="637">
        <f>C792+C801+C802+C803+C808+C820+C821</f>
        <v>32875000</v>
      </c>
      <c r="D791" s="637">
        <f>D792+D801+D802+D803+D808+D820+D821</f>
        <v>25513907.989999998</v>
      </c>
      <c r="E791" s="637">
        <v>15201152.07</v>
      </c>
      <c r="F791" s="644"/>
      <c r="G791" s="630">
        <f t="shared" si="85"/>
        <v>46.239245840304186</v>
      </c>
      <c r="H791" s="1052">
        <f t="shared" si="86"/>
        <v>59.57986552259257</v>
      </c>
      <c r="I791" s="639">
        <f t="shared" si="89"/>
        <v>100.89863403075283</v>
      </c>
      <c r="J791" s="88">
        <v>15065765.970000001</v>
      </c>
    </row>
    <row r="792" spans="1:10" s="488" customFormat="1" ht="12.75" customHeight="1" x14ac:dyDescent="0.2">
      <c r="A792" s="984"/>
      <c r="B792" s="985" t="s">
        <v>874</v>
      </c>
      <c r="C792" s="961">
        <f>SUM(C793:C800)</f>
        <v>7570000</v>
      </c>
      <c r="D792" s="961">
        <f>SUM(D793:D800)</f>
        <v>1677022.18</v>
      </c>
      <c r="E792" s="961">
        <v>1159611.3500000001</v>
      </c>
      <c r="F792" s="961">
        <f>SUM(E793:E800)</f>
        <v>1159611.3500000001</v>
      </c>
      <c r="G792" s="1134">
        <f t="shared" si="85"/>
        <v>15.318511889035669</v>
      </c>
      <c r="H792" s="1135">
        <f t="shared" si="86"/>
        <v>69.14704908673302</v>
      </c>
      <c r="I792" s="1136">
        <f t="shared" si="89"/>
        <v>21.105955897760396</v>
      </c>
      <c r="J792" s="88">
        <v>5494237.5300000003</v>
      </c>
    </row>
    <row r="793" spans="1:10" ht="12.75" customHeight="1" x14ac:dyDescent="0.2">
      <c r="A793" s="625"/>
      <c r="B793" s="668" t="s">
        <v>1778</v>
      </c>
      <c r="C793" s="644">
        <v>400000</v>
      </c>
      <c r="D793" s="644">
        <f>400000-400000</f>
        <v>0</v>
      </c>
      <c r="E793" s="644">
        <v>0</v>
      </c>
      <c r="F793" s="644"/>
      <c r="G793" s="1051">
        <f t="shared" si="85"/>
        <v>0</v>
      </c>
      <c r="H793" s="1055">
        <v>0</v>
      </c>
      <c r="I793" s="670">
        <v>0</v>
      </c>
      <c r="J793" s="88">
        <v>0</v>
      </c>
    </row>
    <row r="794" spans="1:10" ht="12.75" customHeight="1" x14ac:dyDescent="0.2">
      <c r="A794" s="965"/>
      <c r="B794" s="668" t="s">
        <v>1780</v>
      </c>
      <c r="C794" s="652">
        <v>220000</v>
      </c>
      <c r="D794" s="652">
        <v>220000</v>
      </c>
      <c r="E794" s="652">
        <v>200327.6</v>
      </c>
      <c r="F794" s="652"/>
      <c r="G794" s="1051">
        <f t="shared" si="85"/>
        <v>91.058000000000007</v>
      </c>
      <c r="H794" s="1055">
        <f t="shared" si="86"/>
        <v>91.058000000000007</v>
      </c>
      <c r="I794" s="670">
        <v>0</v>
      </c>
      <c r="J794" s="88">
        <v>0</v>
      </c>
    </row>
    <row r="795" spans="1:10" ht="12.75" customHeight="1" x14ac:dyDescent="0.2">
      <c r="A795" s="628"/>
      <c r="B795" s="986" t="s">
        <v>1995</v>
      </c>
      <c r="C795" s="644">
        <v>150000</v>
      </c>
      <c r="D795" s="644">
        <f>150000+150000+(-32630-110347.82)</f>
        <v>157022.18</v>
      </c>
      <c r="E795" s="644">
        <v>157022.18</v>
      </c>
      <c r="F795" s="644"/>
      <c r="G795" s="1051">
        <f t="shared" si="85"/>
        <v>104.68145333333332</v>
      </c>
      <c r="H795" s="1055">
        <f t="shared" si="86"/>
        <v>100</v>
      </c>
      <c r="I795" s="670">
        <v>0</v>
      </c>
      <c r="J795" s="88">
        <v>353925</v>
      </c>
    </row>
    <row r="796" spans="1:10" ht="12.75" customHeight="1" x14ac:dyDescent="0.2">
      <c r="A796" s="625"/>
      <c r="B796" s="986" t="s">
        <v>1786</v>
      </c>
      <c r="C796" s="644">
        <v>800000</v>
      </c>
      <c r="D796" s="644">
        <f>800000-600000</f>
        <v>200000</v>
      </c>
      <c r="E796" s="644">
        <v>0</v>
      </c>
      <c r="F796" s="644"/>
      <c r="G796" s="1051">
        <f t="shared" si="85"/>
        <v>0</v>
      </c>
      <c r="H796" s="1055">
        <f t="shared" si="86"/>
        <v>0</v>
      </c>
      <c r="I796" s="670">
        <v>0</v>
      </c>
      <c r="J796" s="88">
        <v>0</v>
      </c>
    </row>
    <row r="797" spans="1:10" ht="12.75" customHeight="1" x14ac:dyDescent="0.2">
      <c r="A797" s="625"/>
      <c r="B797" s="672" t="s">
        <v>1787</v>
      </c>
      <c r="C797" s="644">
        <v>4000000</v>
      </c>
      <c r="D797" s="644">
        <f>4000000-4000000</f>
        <v>0</v>
      </c>
      <c r="E797" s="644">
        <v>0</v>
      </c>
      <c r="F797" s="644"/>
      <c r="G797" s="1051">
        <f t="shared" si="85"/>
        <v>0</v>
      </c>
      <c r="H797" s="1055">
        <v>0</v>
      </c>
      <c r="I797" s="670">
        <v>0</v>
      </c>
      <c r="J797" s="88">
        <v>0</v>
      </c>
    </row>
    <row r="798" spans="1:10" ht="13.5" customHeight="1" x14ac:dyDescent="0.2">
      <c r="A798" s="625"/>
      <c r="B798" s="672" t="s">
        <v>2136</v>
      </c>
      <c r="C798" s="644">
        <v>700000</v>
      </c>
      <c r="D798" s="644">
        <v>700000</v>
      </c>
      <c r="E798" s="644">
        <v>451653</v>
      </c>
      <c r="F798" s="644"/>
      <c r="G798" s="1051">
        <f t="shared" si="85"/>
        <v>64.521857142857144</v>
      </c>
      <c r="H798" s="1055">
        <f t="shared" si="86"/>
        <v>64.521857142857144</v>
      </c>
      <c r="I798" s="670">
        <v>0</v>
      </c>
      <c r="J798" s="88">
        <v>0</v>
      </c>
    </row>
    <row r="799" spans="1:10" ht="13.5" customHeight="1" x14ac:dyDescent="0.2">
      <c r="A799" s="625"/>
      <c r="B799" s="672" t="s">
        <v>1789</v>
      </c>
      <c r="C799" s="644">
        <v>900000</v>
      </c>
      <c r="D799" s="644">
        <f>900000-900000</f>
        <v>0</v>
      </c>
      <c r="E799" s="644">
        <v>0</v>
      </c>
      <c r="F799" s="644"/>
      <c r="G799" s="1051">
        <f t="shared" si="85"/>
        <v>0</v>
      </c>
      <c r="H799" s="1055">
        <v>0</v>
      </c>
      <c r="I799" s="670">
        <v>0</v>
      </c>
      <c r="J799" s="88">
        <v>0</v>
      </c>
    </row>
    <row r="800" spans="1:10" ht="13.5" customHeight="1" x14ac:dyDescent="0.2">
      <c r="A800" s="625"/>
      <c r="B800" s="987" t="s">
        <v>1790</v>
      </c>
      <c r="C800" s="644">
        <v>400000</v>
      </c>
      <c r="D800" s="644">
        <v>400000</v>
      </c>
      <c r="E800" s="644">
        <v>350608.57</v>
      </c>
      <c r="F800" s="644"/>
      <c r="G800" s="1051">
        <f t="shared" si="85"/>
        <v>87.652142499999997</v>
      </c>
      <c r="H800" s="1055">
        <f t="shared" si="86"/>
        <v>87.652142499999997</v>
      </c>
      <c r="I800" s="670">
        <v>0</v>
      </c>
      <c r="J800" s="88">
        <v>0</v>
      </c>
    </row>
    <row r="801" spans="1:10" ht="13.5" customHeight="1" x14ac:dyDescent="0.2">
      <c r="A801" s="625"/>
      <c r="B801" s="720" t="s">
        <v>1791</v>
      </c>
      <c r="C801" s="951">
        <v>30000</v>
      </c>
      <c r="D801" s="951">
        <f>30000+4000+100000</f>
        <v>134000</v>
      </c>
      <c r="E801" s="951">
        <v>36268</v>
      </c>
      <c r="F801" s="951"/>
      <c r="G801" s="1134">
        <f t="shared" si="85"/>
        <v>120.89333333333335</v>
      </c>
      <c r="H801" s="1135">
        <f t="shared" si="86"/>
        <v>27.065671641791045</v>
      </c>
      <c r="I801" s="1136">
        <f t="shared" si="89"/>
        <v>18.09396258429161</v>
      </c>
      <c r="J801" s="88">
        <v>200442.55</v>
      </c>
    </row>
    <row r="802" spans="1:10" ht="13.5" customHeight="1" x14ac:dyDescent="0.2">
      <c r="A802" s="625"/>
      <c r="B802" s="720" t="s">
        <v>1792</v>
      </c>
      <c r="C802" s="961">
        <v>80000</v>
      </c>
      <c r="D802" s="961">
        <v>80000</v>
      </c>
      <c r="E802" s="961">
        <v>18086.75</v>
      </c>
      <c r="F802" s="961"/>
      <c r="G802" s="1134">
        <f t="shared" si="85"/>
        <v>22.608437500000001</v>
      </c>
      <c r="H802" s="1135">
        <f t="shared" si="86"/>
        <v>22.608437500000001</v>
      </c>
      <c r="I802" s="1136">
        <f t="shared" si="89"/>
        <v>197.11360317356525</v>
      </c>
      <c r="J802" s="88">
        <v>9175.7999999999993</v>
      </c>
    </row>
    <row r="803" spans="1:10" ht="13.5" customHeight="1" x14ac:dyDescent="0.2">
      <c r="A803" s="965"/>
      <c r="B803" s="720" t="s">
        <v>1793</v>
      </c>
      <c r="C803" s="961">
        <f>C804+C805+C806+C807</f>
        <v>7900000</v>
      </c>
      <c r="D803" s="961">
        <f>D804+D805+D806+D807</f>
        <v>7900000</v>
      </c>
      <c r="E803" s="961">
        <v>4870920.29</v>
      </c>
      <c r="F803" s="961">
        <f>SUM(E804:E807)</f>
        <v>4870920.29</v>
      </c>
      <c r="G803" s="1134">
        <f t="shared" si="85"/>
        <v>61.6572188607595</v>
      </c>
      <c r="H803" s="1135">
        <f t="shared" si="86"/>
        <v>61.6572188607595</v>
      </c>
      <c r="I803" s="1136">
        <f t="shared" si="89"/>
        <v>146.5397483718817</v>
      </c>
      <c r="J803" s="88">
        <v>3323958.41</v>
      </c>
    </row>
    <row r="804" spans="1:10" ht="13.5" customHeight="1" x14ac:dyDescent="0.2">
      <c r="A804" s="965"/>
      <c r="B804" s="720" t="s">
        <v>1794</v>
      </c>
      <c r="C804" s="644">
        <v>1000000</v>
      </c>
      <c r="D804" s="644">
        <v>1000000</v>
      </c>
      <c r="E804" s="644">
        <v>661275.5</v>
      </c>
      <c r="F804" s="644"/>
      <c r="G804" s="1051">
        <f t="shared" si="85"/>
        <v>66.127549999999999</v>
      </c>
      <c r="H804" s="1055">
        <f t="shared" si="86"/>
        <v>66.127549999999999</v>
      </c>
      <c r="I804" s="1136">
        <f t="shared" si="89"/>
        <v>79.868684881677098</v>
      </c>
      <c r="J804" s="88">
        <v>827953.41</v>
      </c>
    </row>
    <row r="805" spans="1:10" ht="13.5" customHeight="1" x14ac:dyDescent="0.2">
      <c r="A805" s="965"/>
      <c r="B805" s="720" t="s">
        <v>891</v>
      </c>
      <c r="C805" s="644">
        <v>2000000</v>
      </c>
      <c r="D805" s="644">
        <v>2000000</v>
      </c>
      <c r="E805" s="644">
        <v>756560.93</v>
      </c>
      <c r="F805" s="644"/>
      <c r="G805" s="1051">
        <f t="shared" si="85"/>
        <v>37.828046499999999</v>
      </c>
      <c r="H805" s="1055">
        <f t="shared" si="86"/>
        <v>37.828046499999999</v>
      </c>
      <c r="I805" s="670">
        <f t="shared" si="89"/>
        <v>144.18310706095193</v>
      </c>
      <c r="J805" s="88">
        <v>524722.31000000006</v>
      </c>
    </row>
    <row r="806" spans="1:10" ht="13.5" customHeight="1" x14ac:dyDescent="0.2">
      <c r="A806" s="628"/>
      <c r="B806" s="979" t="s">
        <v>892</v>
      </c>
      <c r="C806" s="652">
        <v>2050000</v>
      </c>
      <c r="D806" s="652">
        <v>2050000</v>
      </c>
      <c r="E806" s="652">
        <v>1516403.54</v>
      </c>
      <c r="F806" s="652"/>
      <c r="G806" s="1051">
        <f t="shared" si="85"/>
        <v>73.970904390243902</v>
      </c>
      <c r="H806" s="1055">
        <f t="shared" si="86"/>
        <v>73.970904390243902</v>
      </c>
      <c r="I806" s="670">
        <f t="shared" si="89"/>
        <v>247.75556026862952</v>
      </c>
      <c r="J806" s="88">
        <v>612056.31000000006</v>
      </c>
    </row>
    <row r="807" spans="1:10" ht="13.5" customHeight="1" x14ac:dyDescent="0.2">
      <c r="A807" s="628"/>
      <c r="B807" s="979" t="s">
        <v>1795</v>
      </c>
      <c r="C807" s="652">
        <v>2850000</v>
      </c>
      <c r="D807" s="652">
        <v>2850000</v>
      </c>
      <c r="E807" s="652">
        <v>1936680.32</v>
      </c>
      <c r="F807" s="652"/>
      <c r="G807" s="1051">
        <f t="shared" si="85"/>
        <v>67.953695438596498</v>
      </c>
      <c r="H807" s="1055">
        <f t="shared" si="86"/>
        <v>67.953695438596498</v>
      </c>
      <c r="I807" s="670">
        <f t="shared" si="89"/>
        <v>142.48401506156762</v>
      </c>
      <c r="J807" s="88">
        <v>1359226.38</v>
      </c>
    </row>
    <row r="808" spans="1:10" ht="13.5" customHeight="1" x14ac:dyDescent="0.2">
      <c r="A808" s="628"/>
      <c r="B808" s="985" t="s">
        <v>894</v>
      </c>
      <c r="C808" s="951">
        <f>SUM(C809:C819)</f>
        <v>7495000</v>
      </c>
      <c r="D808" s="951">
        <f>SUM(D809:D819)</f>
        <v>4498500</v>
      </c>
      <c r="E808" s="951">
        <v>3202574.27</v>
      </c>
      <c r="F808" s="951">
        <f>SUM(E809:E819)</f>
        <v>3202574.27</v>
      </c>
      <c r="G808" s="1134">
        <f t="shared" si="85"/>
        <v>42.729476584389595</v>
      </c>
      <c r="H808" s="1135">
        <f t="shared" si="86"/>
        <v>71.192047793709008</v>
      </c>
      <c r="I808" s="1136">
        <f t="shared" si="89"/>
        <v>103.99091443440234</v>
      </c>
      <c r="J808" s="88">
        <v>3079667.38</v>
      </c>
    </row>
    <row r="809" spans="1:10" ht="13.5" customHeight="1" x14ac:dyDescent="0.2">
      <c r="A809" s="628"/>
      <c r="B809" s="979" t="s">
        <v>1796</v>
      </c>
      <c r="C809" s="652">
        <v>700000</v>
      </c>
      <c r="D809" s="652">
        <v>700000</v>
      </c>
      <c r="E809" s="652">
        <v>0</v>
      </c>
      <c r="F809" s="652"/>
      <c r="G809" s="1051">
        <f t="shared" si="85"/>
        <v>0</v>
      </c>
      <c r="H809" s="1055">
        <f t="shared" si="86"/>
        <v>0</v>
      </c>
      <c r="I809" s="670">
        <v>0</v>
      </c>
      <c r="J809" s="88">
        <v>0</v>
      </c>
    </row>
    <row r="810" spans="1:10" ht="13.5" customHeight="1" x14ac:dyDescent="0.2">
      <c r="A810" s="628"/>
      <c r="B810" s="679" t="s">
        <v>1797</v>
      </c>
      <c r="C810" s="652">
        <v>1300000</v>
      </c>
      <c r="D810" s="652">
        <f>1300000-100000</f>
        <v>1200000</v>
      </c>
      <c r="E810" s="652">
        <v>888749.77</v>
      </c>
      <c r="F810" s="652"/>
      <c r="G810" s="1051">
        <f t="shared" si="85"/>
        <v>68.36536692307692</v>
      </c>
      <c r="H810" s="1055">
        <f t="shared" si="86"/>
        <v>74.062480833333339</v>
      </c>
      <c r="I810" s="670">
        <f t="shared" si="89"/>
        <v>110.45022718141834</v>
      </c>
      <c r="J810" s="88">
        <v>804660.88</v>
      </c>
    </row>
    <row r="811" spans="1:10" ht="13.5" customHeight="1" x14ac:dyDescent="0.2">
      <c r="A811" s="628"/>
      <c r="B811" s="679" t="s">
        <v>1798</v>
      </c>
      <c r="C811" s="652">
        <v>50000</v>
      </c>
      <c r="D811" s="652">
        <f>50000-10000</f>
        <v>40000</v>
      </c>
      <c r="E811" s="652">
        <v>32227.5</v>
      </c>
      <c r="F811" s="652"/>
      <c r="G811" s="1051">
        <f t="shared" si="85"/>
        <v>64.454999999999998</v>
      </c>
      <c r="H811" s="1055">
        <f t="shared" si="86"/>
        <v>80.568749999999994</v>
      </c>
      <c r="I811" s="670">
        <v>0</v>
      </c>
      <c r="J811" s="88">
        <v>0</v>
      </c>
    </row>
    <row r="812" spans="1:10" ht="13.5" customHeight="1" x14ac:dyDescent="0.2">
      <c r="A812" s="628"/>
      <c r="B812" s="672" t="s">
        <v>900</v>
      </c>
      <c r="C812" s="652">
        <v>100000</v>
      </c>
      <c r="D812" s="652">
        <v>100000</v>
      </c>
      <c r="E812" s="652">
        <v>0</v>
      </c>
      <c r="F812" s="652"/>
      <c r="G812" s="1051">
        <f t="shared" si="85"/>
        <v>0</v>
      </c>
      <c r="H812" s="1055">
        <f t="shared" si="86"/>
        <v>0</v>
      </c>
      <c r="I812" s="670">
        <v>0</v>
      </c>
      <c r="J812" s="88">
        <v>193600</v>
      </c>
    </row>
    <row r="813" spans="1:10" ht="13.5" customHeight="1" x14ac:dyDescent="0.2">
      <c r="A813" s="628"/>
      <c r="B813" s="979" t="s">
        <v>1799</v>
      </c>
      <c r="C813" s="652">
        <v>50000</v>
      </c>
      <c r="D813" s="652">
        <f>50000+146700-4000</f>
        <v>192700</v>
      </c>
      <c r="E813" s="652">
        <v>93716</v>
      </c>
      <c r="F813" s="652"/>
      <c r="G813" s="1051">
        <f t="shared" si="85"/>
        <v>187.43199999999999</v>
      </c>
      <c r="H813" s="1055">
        <f t="shared" si="86"/>
        <v>48.633108458744161</v>
      </c>
      <c r="I813" s="670">
        <f t="shared" si="89"/>
        <v>103.95562950637827</v>
      </c>
      <c r="J813" s="88">
        <v>90150</v>
      </c>
    </row>
    <row r="814" spans="1:10" ht="12.75" customHeight="1" x14ac:dyDescent="0.2">
      <c r="A814" s="628"/>
      <c r="B814" s="987" t="s">
        <v>1800</v>
      </c>
      <c r="C814" s="652">
        <v>350000</v>
      </c>
      <c r="D814" s="652">
        <v>350000</v>
      </c>
      <c r="E814" s="652">
        <v>272481</v>
      </c>
      <c r="F814" s="652"/>
      <c r="G814" s="1051">
        <f t="shared" si="85"/>
        <v>77.851714285714294</v>
      </c>
      <c r="H814" s="1055">
        <f t="shared" si="86"/>
        <v>77.851714285714294</v>
      </c>
      <c r="I814" s="670">
        <f t="shared" si="89"/>
        <v>93.441813411978529</v>
      </c>
      <c r="J814" s="88">
        <v>291605</v>
      </c>
    </row>
    <row r="815" spans="1:10" ht="12.75" customHeight="1" x14ac:dyDescent="0.2">
      <c r="A815" s="628"/>
      <c r="B815" s="988" t="s">
        <v>1801</v>
      </c>
      <c r="C815" s="652">
        <v>150000</v>
      </c>
      <c r="D815" s="652">
        <f>150000-146700</f>
        <v>3300</v>
      </c>
      <c r="E815" s="652">
        <v>3300</v>
      </c>
      <c r="F815" s="652"/>
      <c r="G815" s="1051">
        <f t="shared" si="85"/>
        <v>2.1999999999999997</v>
      </c>
      <c r="H815" s="1055">
        <f t="shared" si="86"/>
        <v>100</v>
      </c>
      <c r="I815" s="670">
        <v>0</v>
      </c>
      <c r="J815" s="88">
        <v>0</v>
      </c>
    </row>
    <row r="816" spans="1:10" ht="12.75" customHeight="1" x14ac:dyDescent="0.2">
      <c r="A816" s="628"/>
      <c r="B816" s="679" t="s">
        <v>1996</v>
      </c>
      <c r="C816" s="652">
        <v>2180000</v>
      </c>
      <c r="D816" s="652">
        <f>2180000-280000</f>
        <v>1900000</v>
      </c>
      <c r="E816" s="652">
        <v>1900000</v>
      </c>
      <c r="F816" s="652"/>
      <c r="G816" s="1051">
        <f t="shared" si="85"/>
        <v>87.155963302752298</v>
      </c>
      <c r="H816" s="1055">
        <f t="shared" si="86"/>
        <v>100</v>
      </c>
      <c r="I816" s="670">
        <f t="shared" si="89"/>
        <v>114.3978069338317</v>
      </c>
      <c r="J816" s="88">
        <v>1660871</v>
      </c>
    </row>
    <row r="817" spans="1:10" ht="12.75" customHeight="1" x14ac:dyDescent="0.2">
      <c r="A817" s="628"/>
      <c r="B817" s="987" t="s">
        <v>904</v>
      </c>
      <c r="C817" s="652">
        <v>100000</v>
      </c>
      <c r="D817" s="652">
        <f>100000-80000-20000</f>
        <v>0</v>
      </c>
      <c r="E817" s="652">
        <v>0</v>
      </c>
      <c r="F817" s="652"/>
      <c r="G817" s="1051">
        <f t="shared" si="85"/>
        <v>0</v>
      </c>
      <c r="H817" s="1055">
        <v>0</v>
      </c>
      <c r="I817" s="670">
        <v>0</v>
      </c>
      <c r="J817" s="88">
        <v>0</v>
      </c>
    </row>
    <row r="818" spans="1:10" ht="12.75" customHeight="1" x14ac:dyDescent="0.2">
      <c r="A818" s="628"/>
      <c r="B818" s="672" t="s">
        <v>2137</v>
      </c>
      <c r="C818" s="652">
        <v>15000</v>
      </c>
      <c r="D818" s="652">
        <f>15000-2500</f>
        <v>12500</v>
      </c>
      <c r="E818" s="652">
        <v>12100</v>
      </c>
      <c r="F818" s="652"/>
      <c r="G818" s="1051">
        <f t="shared" ref="G818:G881" si="90">E818/C818*100</f>
        <v>80.666666666666657</v>
      </c>
      <c r="H818" s="1055">
        <f t="shared" si="86"/>
        <v>96.8</v>
      </c>
      <c r="I818" s="670">
        <f t="shared" si="89"/>
        <v>83.333333333333343</v>
      </c>
      <c r="J818" s="88">
        <v>14520</v>
      </c>
    </row>
    <row r="819" spans="1:10" ht="28.9" customHeight="1" x14ac:dyDescent="0.2">
      <c r="A819" s="628"/>
      <c r="B819" s="668" t="s">
        <v>1804</v>
      </c>
      <c r="C819" s="652">
        <v>2500000</v>
      </c>
      <c r="D819" s="652">
        <f>2500000-2500000</f>
        <v>0</v>
      </c>
      <c r="E819" s="652">
        <v>0</v>
      </c>
      <c r="F819" s="652"/>
      <c r="G819" s="1051">
        <f t="shared" si="90"/>
        <v>0</v>
      </c>
      <c r="H819" s="1055">
        <v>0</v>
      </c>
      <c r="I819" s="670">
        <v>0</v>
      </c>
      <c r="J819" s="32">
        <v>0</v>
      </c>
    </row>
    <row r="820" spans="1:10" ht="12.75" customHeight="1" x14ac:dyDescent="0.2">
      <c r="A820" s="965"/>
      <c r="B820" s="720" t="s">
        <v>907</v>
      </c>
      <c r="C820" s="951">
        <f>C822+C826+C835</f>
        <v>9470000</v>
      </c>
      <c r="D820" s="951">
        <f>D822+D826+D835</f>
        <v>10780000</v>
      </c>
      <c r="E820" s="951">
        <v>5438752.2999999998</v>
      </c>
      <c r="F820" s="951">
        <f>SUM(E822,E826,E835)</f>
        <v>5438752.2999999998</v>
      </c>
      <c r="G820" s="1051">
        <f t="shared" si="90"/>
        <v>57.431386483632515</v>
      </c>
      <c r="H820" s="1055">
        <f t="shared" si="86"/>
        <v>50.452247680890537</v>
      </c>
      <c r="I820" s="670">
        <f t="shared" si="89"/>
        <v>194.91980166804331</v>
      </c>
      <c r="J820" s="88">
        <v>2790251.3</v>
      </c>
    </row>
    <row r="821" spans="1:10" ht="43.5" customHeight="1" x14ac:dyDescent="0.2">
      <c r="A821" s="965"/>
      <c r="B821" s="668" t="s">
        <v>1805</v>
      </c>
      <c r="C821" s="652">
        <v>330000</v>
      </c>
      <c r="D821" s="652">
        <f>330000-330000+180000+280000+(-15613.03-1.16)</f>
        <v>444385.81</v>
      </c>
      <c r="E821" s="652">
        <v>444385.81</v>
      </c>
      <c r="F821" s="652"/>
      <c r="G821" s="1051">
        <f t="shared" si="90"/>
        <v>134.66236666666666</v>
      </c>
      <c r="H821" s="1055">
        <f t="shared" si="86"/>
        <v>100</v>
      </c>
      <c r="I821" s="670">
        <v>0</v>
      </c>
      <c r="J821" s="32">
        <v>168033</v>
      </c>
    </row>
    <row r="822" spans="1:10" ht="12.75" customHeight="1" x14ac:dyDescent="0.2">
      <c r="A822" s="965"/>
      <c r="B822" s="971" t="s">
        <v>1806</v>
      </c>
      <c r="C822" s="972">
        <f t="shared" ref="C822:D822" si="91">C823+C824</f>
        <v>3700000</v>
      </c>
      <c r="D822" s="972">
        <f t="shared" si="91"/>
        <v>5600000</v>
      </c>
      <c r="E822" s="972">
        <v>2887935.25</v>
      </c>
      <c r="F822" s="951">
        <f>SUM(E823:E824)</f>
        <v>2887935.25</v>
      </c>
      <c r="G822" s="1131">
        <f t="shared" si="90"/>
        <v>78.052304054054062</v>
      </c>
      <c r="H822" s="1132">
        <f t="shared" si="86"/>
        <v>51.570272321428568</v>
      </c>
      <c r="I822" s="1133">
        <f t="shared" si="89"/>
        <v>233.82375943775909</v>
      </c>
      <c r="J822" s="88">
        <v>1235090.5900000001</v>
      </c>
    </row>
    <row r="823" spans="1:10" ht="12.75" customHeight="1" x14ac:dyDescent="0.2">
      <c r="A823" s="965"/>
      <c r="B823" s="987" t="s">
        <v>910</v>
      </c>
      <c r="C823" s="652">
        <v>2000000</v>
      </c>
      <c r="D823" s="652">
        <f>2000000-100000</f>
        <v>1900000</v>
      </c>
      <c r="E823" s="652">
        <v>1561820.98</v>
      </c>
      <c r="F823" s="652"/>
      <c r="G823" s="1051">
        <f t="shared" si="90"/>
        <v>78.091048999999998</v>
      </c>
      <c r="H823" s="1055">
        <f t="shared" si="86"/>
        <v>82.20110421052631</v>
      </c>
      <c r="I823" s="670">
        <f t="shared" si="89"/>
        <v>126.45396156730496</v>
      </c>
      <c r="J823" s="88">
        <v>1235090.5900000001</v>
      </c>
    </row>
    <row r="824" spans="1:10" ht="12.75" customHeight="1" x14ac:dyDescent="0.2">
      <c r="A824" s="628"/>
      <c r="B824" s="672" t="s">
        <v>1807</v>
      </c>
      <c r="C824" s="652">
        <f>C825</f>
        <v>1700000</v>
      </c>
      <c r="D824" s="652">
        <f>D825</f>
        <v>3700000</v>
      </c>
      <c r="E824" s="652">
        <v>1326114.27</v>
      </c>
      <c r="F824" s="652"/>
      <c r="G824" s="1051">
        <f t="shared" si="90"/>
        <v>78.006721764705887</v>
      </c>
      <c r="H824" s="1055">
        <f t="shared" si="86"/>
        <v>35.840926216216218</v>
      </c>
      <c r="I824" s="670">
        <v>0</v>
      </c>
      <c r="J824" s="88">
        <v>0</v>
      </c>
    </row>
    <row r="825" spans="1:10" ht="12.75" customHeight="1" x14ac:dyDescent="0.2">
      <c r="A825" s="628"/>
      <c r="B825" s="672" t="s">
        <v>2138</v>
      </c>
      <c r="C825" s="652">
        <v>1700000</v>
      </c>
      <c r="D825" s="652">
        <f>1700000+2000000</f>
        <v>3700000</v>
      </c>
      <c r="E825" s="652">
        <v>1326114.27</v>
      </c>
      <c r="F825" s="652"/>
      <c r="G825" s="1051">
        <f t="shared" si="90"/>
        <v>78.006721764705887</v>
      </c>
      <c r="H825" s="1055">
        <f t="shared" si="86"/>
        <v>35.840926216216218</v>
      </c>
      <c r="I825" s="670">
        <v>0</v>
      </c>
      <c r="J825" s="88">
        <v>0</v>
      </c>
    </row>
    <row r="826" spans="1:10" s="488" customFormat="1" ht="12.75" customHeight="1" x14ac:dyDescent="0.2">
      <c r="A826" s="965"/>
      <c r="B826" s="1139" t="s">
        <v>1809</v>
      </c>
      <c r="C826" s="972">
        <f>SUM(C827:C828)</f>
        <v>3270000</v>
      </c>
      <c r="D826" s="972">
        <f>SUM(D827:D828)</f>
        <v>3380000</v>
      </c>
      <c r="E826" s="972">
        <v>1636913.22</v>
      </c>
      <c r="F826" s="951">
        <f>SUM(E827:E828)</f>
        <v>1636913.22</v>
      </c>
      <c r="G826" s="1131">
        <f t="shared" si="90"/>
        <v>50.058508256880728</v>
      </c>
      <c r="H826" s="1132">
        <f t="shared" si="86"/>
        <v>48.429385207100587</v>
      </c>
      <c r="I826" s="1133">
        <v>0</v>
      </c>
      <c r="J826" s="1140">
        <v>808425.21</v>
      </c>
    </row>
    <row r="827" spans="1:10" s="488" customFormat="1" ht="12.75" customHeight="1" x14ac:dyDescent="0.2">
      <c r="A827" s="965"/>
      <c r="B827" s="990" t="s">
        <v>921</v>
      </c>
      <c r="C827" s="652">
        <v>1000000</v>
      </c>
      <c r="D827" s="652">
        <v>1000000</v>
      </c>
      <c r="E827" s="652">
        <v>757329.88</v>
      </c>
      <c r="F827" s="652"/>
      <c r="G827" s="1051">
        <f t="shared" si="90"/>
        <v>75.732988000000006</v>
      </c>
      <c r="H827" s="1055">
        <f t="shared" si="86"/>
        <v>75.732988000000006</v>
      </c>
      <c r="I827" s="670">
        <f t="shared" si="89"/>
        <v>103.22005375981146</v>
      </c>
      <c r="J827" s="88">
        <v>733704.21</v>
      </c>
    </row>
    <row r="828" spans="1:10" s="488" customFormat="1" ht="12.75" customHeight="1" x14ac:dyDescent="0.2">
      <c r="A828" s="965"/>
      <c r="B828" s="990" t="s">
        <v>1810</v>
      </c>
      <c r="C828" s="652">
        <f>SUM(C829:C833)</f>
        <v>2270000</v>
      </c>
      <c r="D828" s="652">
        <f>SUM(D829:D834)</f>
        <v>2380000</v>
      </c>
      <c r="E828" s="652">
        <v>879583.34</v>
      </c>
      <c r="F828" s="652">
        <f>SUM(E829:E834)</f>
        <v>879583.34000000008</v>
      </c>
      <c r="G828" s="1051">
        <f t="shared" si="90"/>
        <v>38.748164757709247</v>
      </c>
      <c r="H828" s="1055">
        <f t="shared" si="86"/>
        <v>36.957283193277306</v>
      </c>
      <c r="I828" s="670">
        <f t="shared" si="89"/>
        <v>1209.5314145845077</v>
      </c>
      <c r="J828" s="88">
        <v>72721</v>
      </c>
    </row>
    <row r="829" spans="1:10" s="488" customFormat="1" ht="12.75" customHeight="1" x14ac:dyDescent="0.2">
      <c r="A829" s="628"/>
      <c r="B829" s="672" t="s">
        <v>926</v>
      </c>
      <c r="C829" s="652">
        <v>100000</v>
      </c>
      <c r="D829" s="652">
        <v>100000</v>
      </c>
      <c r="E829" s="652">
        <v>0</v>
      </c>
      <c r="F829" s="652"/>
      <c r="G829" s="1051">
        <f t="shared" si="90"/>
        <v>0</v>
      </c>
      <c r="H829" s="1055">
        <f t="shared" si="86"/>
        <v>0</v>
      </c>
      <c r="I829" s="670">
        <v>0</v>
      </c>
      <c r="J829" s="88">
        <v>0</v>
      </c>
    </row>
    <row r="830" spans="1:10" s="488" customFormat="1" ht="12.75" customHeight="1" x14ac:dyDescent="0.2">
      <c r="A830" s="628"/>
      <c r="B830" s="672" t="s">
        <v>2139</v>
      </c>
      <c r="C830" s="652">
        <v>850000</v>
      </c>
      <c r="D830" s="652">
        <v>850000</v>
      </c>
      <c r="E830" s="652">
        <v>690862.06</v>
      </c>
      <c r="F830" s="652"/>
      <c r="G830" s="1051">
        <f t="shared" si="90"/>
        <v>81.277889411764718</v>
      </c>
      <c r="H830" s="1055">
        <f t="shared" si="86"/>
        <v>81.277889411764718</v>
      </c>
      <c r="I830" s="670">
        <v>0</v>
      </c>
      <c r="J830" s="88">
        <v>0</v>
      </c>
    </row>
    <row r="831" spans="1:10" ht="12.75" customHeight="1" x14ac:dyDescent="0.2">
      <c r="A831" s="965"/>
      <c r="B831" s="981" t="s">
        <v>1813</v>
      </c>
      <c r="C831" s="652">
        <v>620000</v>
      </c>
      <c r="D831" s="652">
        <v>620000</v>
      </c>
      <c r="E831" s="652">
        <v>0</v>
      </c>
      <c r="F831" s="652"/>
      <c r="G831" s="1051">
        <f t="shared" si="90"/>
        <v>0</v>
      </c>
      <c r="H831" s="1055">
        <f t="shared" si="86"/>
        <v>0</v>
      </c>
      <c r="I831" s="670">
        <v>0</v>
      </c>
      <c r="J831" s="88">
        <v>0</v>
      </c>
    </row>
    <row r="832" spans="1:10" s="488" customFormat="1" ht="12.75" customHeight="1" x14ac:dyDescent="0.2">
      <c r="A832" s="965"/>
      <c r="B832" s="981" t="s">
        <v>1814</v>
      </c>
      <c r="C832" s="652">
        <v>500000</v>
      </c>
      <c r="D832" s="652">
        <v>500000</v>
      </c>
      <c r="E832" s="652">
        <v>0</v>
      </c>
      <c r="F832" s="652"/>
      <c r="G832" s="1051">
        <f t="shared" si="90"/>
        <v>0</v>
      </c>
      <c r="H832" s="1055">
        <f t="shared" si="86"/>
        <v>0</v>
      </c>
      <c r="I832" s="670">
        <v>0</v>
      </c>
      <c r="J832" s="88">
        <v>0</v>
      </c>
    </row>
    <row r="833" spans="1:10" s="488" customFormat="1" ht="12.75" customHeight="1" x14ac:dyDescent="0.2">
      <c r="A833" s="965"/>
      <c r="B833" s="668" t="s">
        <v>1815</v>
      </c>
      <c r="C833" s="652">
        <v>200000</v>
      </c>
      <c r="D833" s="652">
        <v>200000</v>
      </c>
      <c r="E833" s="652">
        <v>103113.78</v>
      </c>
      <c r="F833" s="652"/>
      <c r="G833" s="1051">
        <f t="shared" si="90"/>
        <v>51.556890000000003</v>
      </c>
      <c r="H833" s="1055">
        <f t="shared" ref="H833:H895" si="92">E833/D833*100</f>
        <v>51.556890000000003</v>
      </c>
      <c r="I833" s="670">
        <v>0</v>
      </c>
      <c r="J833" s="88">
        <v>0</v>
      </c>
    </row>
    <row r="834" spans="1:10" s="488" customFormat="1" ht="12.75" customHeight="1" x14ac:dyDescent="0.2">
      <c r="A834" s="965"/>
      <c r="B834" s="958" t="s">
        <v>2140</v>
      </c>
      <c r="C834" s="652">
        <v>0</v>
      </c>
      <c r="D834" s="652">
        <f>100000+10000</f>
        <v>110000</v>
      </c>
      <c r="E834" s="652">
        <v>85607.5</v>
      </c>
      <c r="F834" s="652"/>
      <c r="G834" s="1051">
        <v>0</v>
      </c>
      <c r="H834" s="1055">
        <f t="shared" si="92"/>
        <v>77.825000000000003</v>
      </c>
      <c r="I834" s="670">
        <v>0</v>
      </c>
      <c r="J834" s="88">
        <v>0</v>
      </c>
    </row>
    <row r="835" spans="1:10" s="488" customFormat="1" ht="12.75" customHeight="1" x14ac:dyDescent="0.2">
      <c r="A835" s="965"/>
      <c r="B835" s="991" t="s">
        <v>1816</v>
      </c>
      <c r="C835" s="951">
        <f>SUM(C836:C840)</f>
        <v>2500000</v>
      </c>
      <c r="D835" s="951">
        <f>SUM(D836:D840)</f>
        <v>1800000</v>
      </c>
      <c r="E835" s="951">
        <v>913903.83</v>
      </c>
      <c r="F835" s="951">
        <f>SUM(E836:E840)</f>
        <v>913903.83</v>
      </c>
      <c r="G835" s="1134">
        <f t="shared" si="90"/>
        <v>36.556153199999997</v>
      </c>
      <c r="H835" s="1135">
        <f t="shared" si="92"/>
        <v>50.772434999999994</v>
      </c>
      <c r="I835" s="670">
        <f t="shared" si="89"/>
        <v>122.0596365472186</v>
      </c>
      <c r="J835" s="88">
        <v>748735.5</v>
      </c>
    </row>
    <row r="836" spans="1:10" s="488" customFormat="1" ht="12.75" customHeight="1" x14ac:dyDescent="0.2">
      <c r="A836" s="965"/>
      <c r="B836" s="981" t="s">
        <v>1817</v>
      </c>
      <c r="C836" s="644">
        <v>700000</v>
      </c>
      <c r="D836" s="644">
        <v>700000</v>
      </c>
      <c r="E836" s="644">
        <v>206677.78</v>
      </c>
      <c r="F836" s="644"/>
      <c r="G836" s="1051">
        <f t="shared" si="90"/>
        <v>29.525397142857141</v>
      </c>
      <c r="H836" s="1055">
        <f t="shared" si="92"/>
        <v>29.525397142857141</v>
      </c>
      <c r="I836" s="670">
        <f t="shared" si="89"/>
        <v>204.51361690590178</v>
      </c>
      <c r="J836" s="88">
        <v>101058.2</v>
      </c>
    </row>
    <row r="837" spans="1:10" s="488" customFormat="1" x14ac:dyDescent="0.2">
      <c r="A837" s="965"/>
      <c r="B837" s="981" t="s">
        <v>1818</v>
      </c>
      <c r="C837" s="652">
        <v>700000</v>
      </c>
      <c r="D837" s="652">
        <f>700000-700000</f>
        <v>0</v>
      </c>
      <c r="E837" s="652">
        <v>0</v>
      </c>
      <c r="F837" s="652"/>
      <c r="G837" s="1051">
        <f t="shared" si="90"/>
        <v>0</v>
      </c>
      <c r="H837" s="1055">
        <v>0</v>
      </c>
      <c r="I837" s="670">
        <f t="shared" si="89"/>
        <v>0</v>
      </c>
      <c r="J837" s="88">
        <v>297563.2</v>
      </c>
    </row>
    <row r="838" spans="1:10" s="488" customFormat="1" ht="12.75" customHeight="1" x14ac:dyDescent="0.2">
      <c r="A838" s="965"/>
      <c r="B838" s="980" t="s">
        <v>1819</v>
      </c>
      <c r="C838" s="644">
        <v>200000</v>
      </c>
      <c r="D838" s="644">
        <v>200000</v>
      </c>
      <c r="E838" s="644">
        <v>7393.1</v>
      </c>
      <c r="F838" s="644"/>
      <c r="G838" s="1051">
        <f t="shared" si="90"/>
        <v>3.6965499999999998</v>
      </c>
      <c r="H838" s="1055">
        <f t="shared" si="92"/>
        <v>3.6965499999999998</v>
      </c>
      <c r="I838" s="670">
        <v>0</v>
      </c>
      <c r="J838" s="88">
        <v>0</v>
      </c>
    </row>
    <row r="839" spans="1:10" s="488" customFormat="1" ht="12.75" customHeight="1" x14ac:dyDescent="0.2">
      <c r="A839" s="965"/>
      <c r="B839" s="987" t="s">
        <v>1820</v>
      </c>
      <c r="C839" s="975">
        <v>200000</v>
      </c>
      <c r="D839" s="975">
        <v>200000</v>
      </c>
      <c r="E839" s="975">
        <v>0</v>
      </c>
      <c r="F839" s="975"/>
      <c r="G839" s="1051">
        <f t="shared" si="90"/>
        <v>0</v>
      </c>
      <c r="H839" s="1055">
        <f t="shared" si="92"/>
        <v>0</v>
      </c>
      <c r="I839" s="670">
        <v>0</v>
      </c>
      <c r="J839" s="88">
        <v>69479.31</v>
      </c>
    </row>
    <row r="840" spans="1:10" s="488" customFormat="1" ht="12.75" customHeight="1" x14ac:dyDescent="0.2">
      <c r="A840" s="628"/>
      <c r="B840" s="979" t="s">
        <v>1821</v>
      </c>
      <c r="C840" s="644">
        <v>700000</v>
      </c>
      <c r="D840" s="644">
        <v>700000</v>
      </c>
      <c r="E840" s="644">
        <v>699832.95</v>
      </c>
      <c r="F840" s="644"/>
      <c r="G840" s="1051">
        <f t="shared" si="90"/>
        <v>99.976135714285704</v>
      </c>
      <c r="H840" s="1055">
        <f t="shared" si="92"/>
        <v>99.976135714285704</v>
      </c>
      <c r="I840" s="670">
        <v>0</v>
      </c>
      <c r="J840" s="88">
        <v>280636.78999999998</v>
      </c>
    </row>
    <row r="841" spans="1:10" s="992" customFormat="1" ht="12.75" customHeight="1" x14ac:dyDescent="0.2">
      <c r="A841" s="628">
        <v>3634</v>
      </c>
      <c r="B841" s="993" t="s">
        <v>1822</v>
      </c>
      <c r="C841" s="637">
        <f>SUM(C842:C846)</f>
        <v>4450000</v>
      </c>
      <c r="D841" s="637">
        <f>SUM(D842:D846)</f>
        <v>5450000</v>
      </c>
      <c r="E841" s="637">
        <v>5028566.8600000003</v>
      </c>
      <c r="F841" s="644">
        <f>SUM(E842:E846)</f>
        <v>5028566.8599999994</v>
      </c>
      <c r="G841" s="630">
        <f t="shared" si="90"/>
        <v>113.00150247191011</v>
      </c>
      <c r="H841" s="1052">
        <f t="shared" si="92"/>
        <v>92.267281834862388</v>
      </c>
      <c r="I841" s="639">
        <f t="shared" ref="I841:I899" si="93">E841/J841*100</f>
        <v>126.76646307918188</v>
      </c>
      <c r="J841" s="88">
        <v>3966795.9</v>
      </c>
    </row>
    <row r="842" spans="1:10" s="488" customFormat="1" ht="12.75" customHeight="1" x14ac:dyDescent="0.2">
      <c r="A842" s="628"/>
      <c r="B842" s="981" t="s">
        <v>1823</v>
      </c>
      <c r="C842" s="644">
        <v>350000</v>
      </c>
      <c r="D842" s="644">
        <v>350000</v>
      </c>
      <c r="E842" s="644">
        <v>124486.01</v>
      </c>
      <c r="F842" s="644"/>
      <c r="G842" s="1051">
        <f t="shared" si="90"/>
        <v>35.567431428571425</v>
      </c>
      <c r="H842" s="1055">
        <f t="shared" si="92"/>
        <v>35.567431428571425</v>
      </c>
      <c r="I842" s="670">
        <f t="shared" si="93"/>
        <v>49.795023450091712</v>
      </c>
      <c r="J842" s="88">
        <v>249996.89</v>
      </c>
    </row>
    <row r="843" spans="1:10" s="488" customFormat="1" ht="12.75" customHeight="1" x14ac:dyDescent="0.2">
      <c r="A843" s="628"/>
      <c r="B843" s="981" t="s">
        <v>1824</v>
      </c>
      <c r="C843" s="644">
        <v>1000000</v>
      </c>
      <c r="D843" s="644">
        <f>1000000+1000000+1100000</f>
        <v>3100000</v>
      </c>
      <c r="E843" s="644">
        <v>2949753.4</v>
      </c>
      <c r="F843" s="644"/>
      <c r="G843" s="1051">
        <f t="shared" si="90"/>
        <v>294.97534000000002</v>
      </c>
      <c r="H843" s="1055">
        <f t="shared" si="92"/>
        <v>95.153335483870961</v>
      </c>
      <c r="I843" s="670">
        <f t="shared" si="93"/>
        <v>590.16313872994272</v>
      </c>
      <c r="J843" s="88">
        <v>499820</v>
      </c>
    </row>
    <row r="844" spans="1:10" ht="12.75" customHeight="1" x14ac:dyDescent="0.2">
      <c r="A844" s="1141"/>
      <c r="B844" s="1142" t="s">
        <v>943</v>
      </c>
      <c r="C844" s="678">
        <v>500000</v>
      </c>
      <c r="D844" s="678">
        <v>500000</v>
      </c>
      <c r="E844" s="678">
        <v>485082.1</v>
      </c>
      <c r="F844" s="678"/>
      <c r="G844" s="1051">
        <f t="shared" si="90"/>
        <v>97.016419999999997</v>
      </c>
      <c r="H844" s="1055">
        <f t="shared" si="92"/>
        <v>97.016419999999997</v>
      </c>
      <c r="I844" s="670">
        <v>0</v>
      </c>
      <c r="J844" s="88">
        <v>558155.05000000005</v>
      </c>
    </row>
    <row r="845" spans="1:10" ht="12.75" customHeight="1" x14ac:dyDescent="0.2">
      <c r="A845" s="1143"/>
      <c r="B845" s="1144" t="s">
        <v>1825</v>
      </c>
      <c r="C845" s="1073">
        <v>500000</v>
      </c>
      <c r="D845" s="1073">
        <v>500000</v>
      </c>
      <c r="E845" s="1073">
        <v>482530.35</v>
      </c>
      <c r="F845" s="1073"/>
      <c r="G845" s="1051">
        <f t="shared" si="90"/>
        <v>96.506069999999994</v>
      </c>
      <c r="H845" s="1055">
        <f t="shared" si="92"/>
        <v>96.506069999999994</v>
      </c>
      <c r="I845" s="670">
        <f t="shared" si="93"/>
        <v>110.30798108628581</v>
      </c>
      <c r="J845" s="88">
        <v>437439.2</v>
      </c>
    </row>
    <row r="846" spans="1:10" ht="12.75" customHeight="1" x14ac:dyDescent="0.2">
      <c r="A846" s="625"/>
      <c r="B846" s="995" t="s">
        <v>945</v>
      </c>
      <c r="C846" s="961">
        <f>SUM(C847:C848)</f>
        <v>2100000</v>
      </c>
      <c r="D846" s="961">
        <f>SUM(D847:D848)</f>
        <v>1000000</v>
      </c>
      <c r="E846" s="961">
        <v>986715</v>
      </c>
      <c r="F846" s="961"/>
      <c r="G846" s="1134">
        <f t="shared" si="90"/>
        <v>46.986428571428576</v>
      </c>
      <c r="H846" s="1135">
        <f t="shared" si="92"/>
        <v>98.671499999999995</v>
      </c>
      <c r="I846" s="1136">
        <f t="shared" si="93"/>
        <v>44.418914623327119</v>
      </c>
      <c r="J846" s="88">
        <v>2221384.7599999998</v>
      </c>
    </row>
    <row r="847" spans="1:10" s="2" customFormat="1" ht="12.75" customHeight="1" x14ac:dyDescent="0.2">
      <c r="A847" s="649"/>
      <c r="B847" s="997" t="s">
        <v>1831</v>
      </c>
      <c r="C847" s="652">
        <v>600000</v>
      </c>
      <c r="D847" s="652">
        <f>600000-600000</f>
        <v>0</v>
      </c>
      <c r="E847" s="652">
        <v>0</v>
      </c>
      <c r="F847" s="652"/>
      <c r="G847" s="1051">
        <f t="shared" si="90"/>
        <v>0</v>
      </c>
      <c r="H847" s="1055">
        <v>0</v>
      </c>
      <c r="I847" s="670">
        <v>0</v>
      </c>
      <c r="J847" s="88">
        <v>0</v>
      </c>
    </row>
    <row r="848" spans="1:10" s="2" customFormat="1" ht="12.75" customHeight="1" x14ac:dyDescent="0.2">
      <c r="A848" s="649"/>
      <c r="B848" s="997" t="s">
        <v>1833</v>
      </c>
      <c r="C848" s="644">
        <v>1500000</v>
      </c>
      <c r="D848" s="644">
        <f>1500000-500000</f>
        <v>1000000</v>
      </c>
      <c r="E848" s="644">
        <v>986715</v>
      </c>
      <c r="F848" s="644"/>
      <c r="G848" s="1051">
        <f t="shared" si="90"/>
        <v>65.781000000000006</v>
      </c>
      <c r="H848" s="1055">
        <f t="shared" si="92"/>
        <v>98.671499999999995</v>
      </c>
      <c r="I848" s="670">
        <v>0</v>
      </c>
      <c r="J848" s="88">
        <v>0</v>
      </c>
    </row>
    <row r="849" spans="1:253" s="2" customFormat="1" ht="12.75" customHeight="1" x14ac:dyDescent="0.2">
      <c r="A849" s="628">
        <v>4351</v>
      </c>
      <c r="B849" s="998" t="s">
        <v>1834</v>
      </c>
      <c r="C849" s="635">
        <v>10000</v>
      </c>
      <c r="D849" s="635">
        <f>10000+2500</f>
        <v>12500</v>
      </c>
      <c r="E849" s="635">
        <v>12443.97</v>
      </c>
      <c r="F849" s="652"/>
      <c r="G849" s="630">
        <f t="shared" si="90"/>
        <v>124.4397</v>
      </c>
      <c r="H849" s="1052">
        <f t="shared" si="92"/>
        <v>99.551760000000002</v>
      </c>
      <c r="I849" s="639">
        <f t="shared" si="93"/>
        <v>176.70471327304949</v>
      </c>
      <c r="J849" s="88">
        <v>7042.24</v>
      </c>
    </row>
    <row r="850" spans="1:253" s="2" customFormat="1" ht="12.75" customHeight="1" x14ac:dyDescent="0.2">
      <c r="A850" s="628">
        <v>4374</v>
      </c>
      <c r="B850" s="998" t="s">
        <v>753</v>
      </c>
      <c r="C850" s="635">
        <f>C851</f>
        <v>1140000</v>
      </c>
      <c r="D850" s="635">
        <f>D851</f>
        <v>1140000</v>
      </c>
      <c r="E850" s="635">
        <v>405468.63</v>
      </c>
      <c r="F850" s="652"/>
      <c r="G850" s="630">
        <f t="shared" si="90"/>
        <v>35.567423684210524</v>
      </c>
      <c r="H850" s="1052">
        <f t="shared" si="92"/>
        <v>35.567423684210524</v>
      </c>
      <c r="I850" s="639">
        <f t="shared" si="93"/>
        <v>52.75191129561874</v>
      </c>
      <c r="J850" s="88">
        <v>768633.06</v>
      </c>
    </row>
    <row r="851" spans="1:253" s="2" customFormat="1" ht="12" customHeight="1" x14ac:dyDescent="0.2">
      <c r="A851" s="649"/>
      <c r="B851" s="997" t="s">
        <v>1835</v>
      </c>
      <c r="C851" s="652">
        <f>C852+C853</f>
        <v>1140000</v>
      </c>
      <c r="D851" s="652">
        <f>D852+D853</f>
        <v>1140000</v>
      </c>
      <c r="E851" s="652">
        <v>405468.63</v>
      </c>
      <c r="F851" s="652">
        <f>SUM(E852:E853)</f>
        <v>405468.63</v>
      </c>
      <c r="G851" s="1051">
        <f t="shared" si="90"/>
        <v>35.567423684210524</v>
      </c>
      <c r="H851" s="1055">
        <f t="shared" si="92"/>
        <v>35.567423684210524</v>
      </c>
      <c r="I851" s="670">
        <f t="shared" si="93"/>
        <v>54.894458558503779</v>
      </c>
      <c r="J851" s="88">
        <v>738633.08</v>
      </c>
    </row>
    <row r="852" spans="1:253" s="2" customFormat="1" ht="24" customHeight="1" x14ac:dyDescent="0.2">
      <c r="A852" s="649"/>
      <c r="B852" s="997" t="s">
        <v>1836</v>
      </c>
      <c r="C852" s="644">
        <v>1000000</v>
      </c>
      <c r="D852" s="644">
        <v>1000000</v>
      </c>
      <c r="E852" s="644">
        <v>405468.63</v>
      </c>
      <c r="F852" s="644"/>
      <c r="G852" s="1051">
        <f t="shared" si="90"/>
        <v>40.546863000000002</v>
      </c>
      <c r="H852" s="1055">
        <f t="shared" si="92"/>
        <v>40.546863000000002</v>
      </c>
      <c r="I852" s="670">
        <f t="shared" si="93"/>
        <v>73.599948521429639</v>
      </c>
      <c r="J852" s="32">
        <v>550908.85</v>
      </c>
    </row>
    <row r="853" spans="1:253" s="2" customFormat="1" ht="12.75" customHeight="1" x14ac:dyDescent="0.2">
      <c r="A853" s="628"/>
      <c r="B853" s="679" t="s">
        <v>1837</v>
      </c>
      <c r="C853" s="652">
        <v>140000</v>
      </c>
      <c r="D853" s="652">
        <v>140000</v>
      </c>
      <c r="E853" s="652">
        <v>0</v>
      </c>
      <c r="F853" s="652"/>
      <c r="G853" s="1051">
        <f t="shared" si="90"/>
        <v>0</v>
      </c>
      <c r="H853" s="1055">
        <f t="shared" si="92"/>
        <v>0</v>
      </c>
      <c r="I853" s="670">
        <f t="shared" si="93"/>
        <v>0</v>
      </c>
      <c r="J853" s="88">
        <v>217724.21</v>
      </c>
    </row>
    <row r="854" spans="1:253" s="2" customFormat="1" ht="12.75" customHeight="1" x14ac:dyDescent="0.2">
      <c r="A854" s="628">
        <v>6171</v>
      </c>
      <c r="B854" s="999" t="s">
        <v>969</v>
      </c>
      <c r="C854" s="637">
        <f>SUM(C855:C859)</f>
        <v>1500000</v>
      </c>
      <c r="D854" s="637">
        <f>SUM(D855:D859)</f>
        <v>800000</v>
      </c>
      <c r="E854" s="637">
        <v>338507</v>
      </c>
      <c r="F854" s="644">
        <f>SUM(E855:E859)</f>
        <v>338507</v>
      </c>
      <c r="G854" s="630">
        <f t="shared" si="90"/>
        <v>22.567133333333334</v>
      </c>
      <c r="H854" s="1052">
        <f t="shared" si="92"/>
        <v>42.313375000000001</v>
      </c>
      <c r="I854" s="639">
        <f t="shared" si="93"/>
        <v>51.975505103558937</v>
      </c>
      <c r="J854" s="88">
        <v>651281.79</v>
      </c>
    </row>
    <row r="855" spans="1:253" s="2" customFormat="1" ht="12.75" customHeight="1" x14ac:dyDescent="0.2">
      <c r="A855" s="628"/>
      <c r="B855" s="679" t="s">
        <v>970</v>
      </c>
      <c r="C855" s="652">
        <v>50000</v>
      </c>
      <c r="D855" s="652">
        <v>50000</v>
      </c>
      <c r="E855" s="652">
        <v>0</v>
      </c>
      <c r="F855" s="652"/>
      <c r="G855" s="1051">
        <f t="shared" si="90"/>
        <v>0</v>
      </c>
      <c r="H855" s="1055">
        <f t="shared" si="92"/>
        <v>0</v>
      </c>
      <c r="I855" s="670">
        <v>0</v>
      </c>
      <c r="J855" s="88">
        <v>45865</v>
      </c>
    </row>
    <row r="856" spans="1:253" ht="12.75" customHeight="1" x14ac:dyDescent="0.2">
      <c r="A856" s="1000"/>
      <c r="B856" s="1001" t="s">
        <v>1997</v>
      </c>
      <c r="C856" s="652">
        <v>820000</v>
      </c>
      <c r="D856" s="652">
        <f>820000-500000</f>
        <v>320000</v>
      </c>
      <c r="E856" s="652">
        <v>165598</v>
      </c>
      <c r="F856" s="652"/>
      <c r="G856" s="1051">
        <f t="shared" si="90"/>
        <v>20.194878048780488</v>
      </c>
      <c r="H856" s="1055">
        <f t="shared" si="92"/>
        <v>51.749375000000001</v>
      </c>
      <c r="I856" s="670">
        <v>0</v>
      </c>
      <c r="J856" s="88">
        <v>0</v>
      </c>
    </row>
    <row r="857" spans="1:253" ht="12.75" customHeight="1" x14ac:dyDescent="0.2">
      <c r="A857" s="1000"/>
      <c r="B857" s="1001" t="s">
        <v>1839</v>
      </c>
      <c r="C857" s="652">
        <v>180000</v>
      </c>
      <c r="D857" s="652">
        <v>180000</v>
      </c>
      <c r="E857" s="652">
        <v>172909</v>
      </c>
      <c r="F857" s="652"/>
      <c r="G857" s="1051">
        <f t="shared" si="90"/>
        <v>96.060555555555567</v>
      </c>
      <c r="H857" s="1055">
        <f t="shared" si="92"/>
        <v>96.060555555555567</v>
      </c>
      <c r="I857" s="670">
        <v>0</v>
      </c>
      <c r="J857" s="88">
        <v>0</v>
      </c>
    </row>
    <row r="858" spans="1:253" ht="12.75" customHeight="1" x14ac:dyDescent="0.2">
      <c r="A858" s="649"/>
      <c r="B858" s="679" t="s">
        <v>1841</v>
      </c>
      <c r="C858" s="652">
        <v>200000</v>
      </c>
      <c r="D858" s="652">
        <f>200000-200000</f>
        <v>0</v>
      </c>
      <c r="E858" s="652">
        <v>0</v>
      </c>
      <c r="F858" s="652"/>
      <c r="G858" s="1051">
        <f t="shared" si="90"/>
        <v>0</v>
      </c>
      <c r="H858" s="1055">
        <v>0</v>
      </c>
      <c r="I858" s="670">
        <f t="shared" si="93"/>
        <v>0</v>
      </c>
      <c r="J858" s="88">
        <v>300000</v>
      </c>
    </row>
    <row r="859" spans="1:253" ht="12.75" customHeight="1" x14ac:dyDescent="0.2">
      <c r="A859" s="1145"/>
      <c r="B859" s="1146" t="s">
        <v>1842</v>
      </c>
      <c r="C859" s="678">
        <v>250000</v>
      </c>
      <c r="D859" s="678">
        <v>250000</v>
      </c>
      <c r="E859" s="678">
        <v>0</v>
      </c>
      <c r="F859" s="678"/>
      <c r="G859" s="1051">
        <f t="shared" si="90"/>
        <v>0</v>
      </c>
      <c r="H859" s="1055">
        <f t="shared" si="92"/>
        <v>0</v>
      </c>
      <c r="I859" s="670">
        <f t="shared" si="93"/>
        <v>0</v>
      </c>
      <c r="J859" s="88">
        <v>55416.79</v>
      </c>
    </row>
    <row r="860" spans="1:253" ht="12.75" customHeight="1" x14ac:dyDescent="0.2">
      <c r="A860" s="1147"/>
      <c r="B860" s="1148"/>
      <c r="C860" s="1020"/>
      <c r="D860" s="1020"/>
      <c r="E860" s="1020"/>
      <c r="F860" s="1020"/>
      <c r="G860" s="1020"/>
      <c r="H860" s="1020"/>
      <c r="I860" s="1008"/>
      <c r="J860" s="88"/>
    </row>
    <row r="861" spans="1:253" s="1009" customFormat="1" ht="20.25" x14ac:dyDescent="0.3">
      <c r="A861" s="734"/>
      <c r="B861" s="757" t="s">
        <v>1872</v>
      </c>
      <c r="C861" s="859">
        <f>SUM(C862+C867+C869)</f>
        <v>1145000</v>
      </c>
      <c r="D861" s="859">
        <f>SUM(D862+D867+D869)</f>
        <v>1145000</v>
      </c>
      <c r="E861" s="859">
        <v>763550</v>
      </c>
      <c r="F861" s="758">
        <f>SUM(E862,E867,E869)</f>
        <v>763550</v>
      </c>
      <c r="G861" s="735">
        <f t="shared" si="90"/>
        <v>66.685589519650662</v>
      </c>
      <c r="H861" s="735">
        <f t="shared" si="92"/>
        <v>66.685589519650662</v>
      </c>
      <c r="I861" s="1083">
        <v>0</v>
      </c>
      <c r="J861" s="1150">
        <v>663000</v>
      </c>
      <c r="IM861" s="558"/>
      <c r="IN861" s="558"/>
      <c r="IO861" s="558"/>
      <c r="IP861" s="558"/>
      <c r="IQ861" s="558"/>
      <c r="IR861" s="558"/>
      <c r="IS861" s="558"/>
    </row>
    <row r="862" spans="1:253" s="545" customFormat="1" x14ac:dyDescent="0.2">
      <c r="A862" s="660">
        <v>2169</v>
      </c>
      <c r="B862" s="626" t="s">
        <v>1844</v>
      </c>
      <c r="C862" s="637">
        <f t="shared" ref="C862:D862" si="94">SUM(C863:C866)</f>
        <v>250000</v>
      </c>
      <c r="D862" s="637">
        <f t="shared" si="94"/>
        <v>250000</v>
      </c>
      <c r="E862" s="637">
        <v>21000</v>
      </c>
      <c r="F862" s="644">
        <f>SUM(E863:E866)</f>
        <v>21000</v>
      </c>
      <c r="G862" s="630">
        <f t="shared" si="90"/>
        <v>8.4</v>
      </c>
      <c r="H862" s="1052">
        <f t="shared" si="92"/>
        <v>8.4</v>
      </c>
      <c r="I862" s="639">
        <v>0</v>
      </c>
      <c r="J862" s="1150">
        <v>0</v>
      </c>
      <c r="IM862" s="98"/>
      <c r="IN862" s="98"/>
      <c r="IO862" s="98"/>
      <c r="IP862" s="98"/>
      <c r="IQ862" s="98"/>
      <c r="IR862" s="98"/>
      <c r="IS862" s="98"/>
    </row>
    <row r="863" spans="1:253" s="545" customFormat="1" x14ac:dyDescent="0.2">
      <c r="A863" s="660"/>
      <c r="B863" s="679" t="s">
        <v>976</v>
      </c>
      <c r="C863" s="644">
        <v>47000</v>
      </c>
      <c r="D863" s="644">
        <v>47000</v>
      </c>
      <c r="E863" s="644">
        <v>0</v>
      </c>
      <c r="F863" s="644"/>
      <c r="G863" s="1051">
        <f t="shared" si="90"/>
        <v>0</v>
      </c>
      <c r="H863" s="1055">
        <f t="shared" si="92"/>
        <v>0</v>
      </c>
      <c r="I863" s="670">
        <v>0</v>
      </c>
      <c r="J863" s="1150">
        <v>0</v>
      </c>
      <c r="IM863" s="98"/>
      <c r="IN863" s="98"/>
      <c r="IO863" s="98"/>
      <c r="IP863" s="98"/>
      <c r="IQ863" s="98"/>
      <c r="IR863" s="98"/>
      <c r="IS863" s="98"/>
    </row>
    <row r="864" spans="1:253" s="545" customFormat="1" x14ac:dyDescent="0.2">
      <c r="A864" s="660"/>
      <c r="B864" s="679" t="s">
        <v>977</v>
      </c>
      <c r="C864" s="644">
        <v>200000</v>
      </c>
      <c r="D864" s="644">
        <v>200000</v>
      </c>
      <c r="E864" s="644">
        <v>0</v>
      </c>
      <c r="F864" s="644"/>
      <c r="G864" s="1051">
        <f t="shared" si="90"/>
        <v>0</v>
      </c>
      <c r="H864" s="1055">
        <f t="shared" si="92"/>
        <v>0</v>
      </c>
      <c r="I864" s="670">
        <v>0</v>
      </c>
      <c r="J864" s="1150">
        <v>0</v>
      </c>
      <c r="IM864" s="98"/>
      <c r="IN864" s="98"/>
      <c r="IO864" s="98"/>
      <c r="IP864" s="98"/>
      <c r="IQ864" s="98"/>
      <c r="IR864" s="98"/>
      <c r="IS864" s="98"/>
    </row>
    <row r="865" spans="1:253" s="545" customFormat="1" x14ac:dyDescent="0.2">
      <c r="A865" s="660"/>
      <c r="B865" s="679" t="s">
        <v>978</v>
      </c>
      <c r="C865" s="644">
        <v>3000</v>
      </c>
      <c r="D865" s="644">
        <v>3000</v>
      </c>
      <c r="E865" s="644">
        <v>0</v>
      </c>
      <c r="F865" s="644"/>
      <c r="G865" s="1051">
        <f t="shared" si="90"/>
        <v>0</v>
      </c>
      <c r="H865" s="1055">
        <f t="shared" si="92"/>
        <v>0</v>
      </c>
      <c r="I865" s="670">
        <v>0</v>
      </c>
      <c r="J865" s="1150">
        <v>0</v>
      </c>
      <c r="IM865" s="98"/>
      <c r="IN865" s="98"/>
      <c r="IO865" s="98"/>
      <c r="IP865" s="98"/>
      <c r="IQ865" s="98"/>
      <c r="IR865" s="98"/>
      <c r="IS865" s="98"/>
    </row>
    <row r="866" spans="1:253" s="545" customFormat="1" x14ac:dyDescent="0.2">
      <c r="A866" s="660"/>
      <c r="B866" s="679" t="s">
        <v>2141</v>
      </c>
      <c r="C866" s="644">
        <v>0</v>
      </c>
      <c r="D866" s="644">
        <v>0</v>
      </c>
      <c r="E866" s="644">
        <v>21000</v>
      </c>
      <c r="F866" s="644"/>
      <c r="G866" s="1051">
        <v>0</v>
      </c>
      <c r="H866" s="1055">
        <v>0</v>
      </c>
      <c r="I866" s="670">
        <v>0</v>
      </c>
      <c r="J866" s="1150">
        <v>0</v>
      </c>
      <c r="IM866" s="98"/>
      <c r="IN866" s="98"/>
      <c r="IO866" s="98"/>
      <c r="IP866" s="98"/>
      <c r="IQ866" s="98"/>
      <c r="IR866" s="98"/>
      <c r="IS866" s="98"/>
    </row>
    <row r="867" spans="1:253" s="545" customFormat="1" x14ac:dyDescent="0.2">
      <c r="A867" s="663">
        <v>3635</v>
      </c>
      <c r="B867" s="629" t="s">
        <v>980</v>
      </c>
      <c r="C867" s="635">
        <f>SUM(C868:C868)</f>
        <v>300000</v>
      </c>
      <c r="D867" s="635">
        <f>SUM(D868:D868)</f>
        <v>300000</v>
      </c>
      <c r="E867" s="635">
        <v>199650</v>
      </c>
      <c r="F867" s="652"/>
      <c r="G867" s="630">
        <f t="shared" si="90"/>
        <v>66.55</v>
      </c>
      <c r="H867" s="1052">
        <f t="shared" si="92"/>
        <v>66.55</v>
      </c>
      <c r="I867" s="639">
        <v>0</v>
      </c>
      <c r="J867" s="1150">
        <v>363000</v>
      </c>
      <c r="IM867" s="98"/>
      <c r="IN867" s="98"/>
      <c r="IO867" s="98"/>
      <c r="IP867" s="98"/>
      <c r="IQ867" s="98"/>
      <c r="IR867" s="98"/>
      <c r="IS867" s="98"/>
    </row>
    <row r="868" spans="1:253" s="545" customFormat="1" x14ac:dyDescent="0.2">
      <c r="A868" s="664"/>
      <c r="B868" s="643" t="s">
        <v>1845</v>
      </c>
      <c r="C868" s="644">
        <v>300000</v>
      </c>
      <c r="D868" s="644">
        <v>300000</v>
      </c>
      <c r="E868" s="644">
        <v>199650</v>
      </c>
      <c r="F868" s="644"/>
      <c r="G868" s="1051">
        <f t="shared" si="90"/>
        <v>66.55</v>
      </c>
      <c r="H868" s="1055">
        <f t="shared" si="92"/>
        <v>66.55</v>
      </c>
      <c r="I868" s="670">
        <v>0</v>
      </c>
      <c r="J868" s="1150">
        <v>48400</v>
      </c>
      <c r="IM868" s="98"/>
      <c r="IN868" s="98"/>
      <c r="IO868" s="98"/>
      <c r="IP868" s="98"/>
      <c r="IQ868" s="98"/>
      <c r="IR868" s="98"/>
      <c r="IS868" s="98"/>
    </row>
    <row r="869" spans="1:253" s="545" customFormat="1" ht="15.75" x14ac:dyDescent="0.25">
      <c r="A869" s="1010"/>
      <c r="B869" s="657" t="s">
        <v>985</v>
      </c>
      <c r="C869" s="764">
        <v>595000</v>
      </c>
      <c r="D869" s="764">
        <v>595000</v>
      </c>
      <c r="E869" s="764">
        <v>542900</v>
      </c>
      <c r="F869" s="1102"/>
      <c r="G869" s="623">
        <f t="shared" si="90"/>
        <v>91.243697478991592</v>
      </c>
      <c r="H869" s="623">
        <f t="shared" si="92"/>
        <v>91.243697478991592</v>
      </c>
      <c r="I869" s="741">
        <v>0</v>
      </c>
      <c r="J869" s="1150">
        <v>300000</v>
      </c>
      <c r="IM869" s="98"/>
      <c r="IN869" s="98"/>
      <c r="IO869" s="98"/>
      <c r="IP869" s="98"/>
      <c r="IQ869" s="98"/>
      <c r="IR869" s="98"/>
      <c r="IS869" s="98"/>
    </row>
    <row r="870" spans="1:253" s="545" customFormat="1" x14ac:dyDescent="0.2">
      <c r="A870" s="699">
        <v>3699</v>
      </c>
      <c r="B870" s="626" t="s">
        <v>1846</v>
      </c>
      <c r="C870" s="637">
        <v>595000</v>
      </c>
      <c r="D870" s="637">
        <v>595000</v>
      </c>
      <c r="E870" s="637">
        <v>542900</v>
      </c>
      <c r="F870" s="644"/>
      <c r="G870" s="630">
        <f t="shared" si="90"/>
        <v>91.243697478991592</v>
      </c>
      <c r="H870" s="1052">
        <f t="shared" si="92"/>
        <v>91.243697478991592</v>
      </c>
      <c r="I870" s="639">
        <v>0</v>
      </c>
      <c r="J870" s="1150">
        <v>300000</v>
      </c>
      <c r="IM870" s="98"/>
      <c r="IN870" s="98"/>
      <c r="IO870" s="98"/>
      <c r="IP870" s="98"/>
      <c r="IQ870" s="98"/>
      <c r="IR870" s="98"/>
      <c r="IS870" s="98"/>
    </row>
    <row r="871" spans="1:253" s="550" customFormat="1" x14ac:dyDescent="0.2">
      <c r="A871" s="692"/>
      <c r="B871" s="1013"/>
      <c r="C871" s="785"/>
      <c r="D871" s="785"/>
      <c r="E871" s="785"/>
      <c r="F871" s="785"/>
      <c r="G871" s="785"/>
      <c r="H871" s="785"/>
      <c r="I871" s="1014"/>
      <c r="J871" s="1150"/>
      <c r="IM871" s="1"/>
      <c r="IN871" s="1"/>
      <c r="IO871" s="1"/>
      <c r="IP871" s="1"/>
      <c r="IQ871" s="1"/>
      <c r="IR871" s="1"/>
      <c r="IS871" s="1"/>
    </row>
    <row r="872" spans="1:253" s="558" customFormat="1" ht="20.25" x14ac:dyDescent="0.3">
      <c r="A872" s="1015"/>
      <c r="B872" s="787" t="s">
        <v>54</v>
      </c>
      <c r="C872" s="871">
        <f>SUM(C873:C879,C880,C881,C885,C893)-C875</f>
        <v>85052500</v>
      </c>
      <c r="D872" s="871">
        <f>SUM(D873:D879,D880,D881,D885,D893)-D875</f>
        <v>156989114.43999997</v>
      </c>
      <c r="E872" s="871">
        <v>70903600.329999998</v>
      </c>
      <c r="F872" s="1068">
        <f>SUM(E873:E874,E876:E881,E885,E893)</f>
        <v>70903600.329999998</v>
      </c>
      <c r="G872" s="735">
        <f t="shared" si="90"/>
        <v>83.364510543487853</v>
      </c>
      <c r="H872" s="735">
        <f t="shared" si="92"/>
        <v>45.164660354268584</v>
      </c>
      <c r="I872" s="1091">
        <f t="shared" si="93"/>
        <v>44.16967144478857</v>
      </c>
      <c r="J872" s="29">
        <v>160525532.59</v>
      </c>
    </row>
    <row r="873" spans="1:253" s="553" customFormat="1" ht="12.75" customHeight="1" x14ac:dyDescent="0.2">
      <c r="A873" s="1194">
        <v>2321</v>
      </c>
      <c r="B873" s="688" t="s">
        <v>1848</v>
      </c>
      <c r="C873" s="637">
        <v>242500</v>
      </c>
      <c r="D873" s="637">
        <f>242500-242500</f>
        <v>0</v>
      </c>
      <c r="E873" s="637">
        <v>0</v>
      </c>
      <c r="F873" s="644">
        <f>E872-F872</f>
        <v>0</v>
      </c>
      <c r="G873" s="630">
        <f t="shared" si="90"/>
        <v>0</v>
      </c>
      <c r="H873" s="1052">
        <v>0</v>
      </c>
      <c r="I873" s="639">
        <v>0</v>
      </c>
      <c r="J873" s="1037">
        <v>243432.51</v>
      </c>
    </row>
    <row r="874" spans="1:253" s="98" customFormat="1" ht="12.75" customHeight="1" x14ac:dyDescent="0.3">
      <c r="A874" s="628" t="s">
        <v>1949</v>
      </c>
      <c r="B874" s="629" t="s">
        <v>1849</v>
      </c>
      <c r="C874" s="637">
        <f>C875</f>
        <v>0</v>
      </c>
      <c r="D874" s="637">
        <f>D875</f>
        <v>858339.22</v>
      </c>
      <c r="E874" s="637">
        <v>858339.22</v>
      </c>
      <c r="F874" s="644"/>
      <c r="G874" s="630">
        <v>0</v>
      </c>
      <c r="H874" s="1052">
        <f t="shared" si="92"/>
        <v>100</v>
      </c>
      <c r="I874" s="639">
        <f t="shared" si="93"/>
        <v>489.78461987933696</v>
      </c>
      <c r="J874" s="29">
        <v>175248.3</v>
      </c>
      <c r="K874" s="557"/>
    </row>
    <row r="875" spans="1:253" s="98" customFormat="1" ht="12.75" customHeight="1" x14ac:dyDescent="0.3">
      <c r="A875" s="663"/>
      <c r="B875" s="672" t="s">
        <v>1998</v>
      </c>
      <c r="C875" s="644">
        <v>0</v>
      </c>
      <c r="D875" s="644">
        <f>(15614.79+57246.53+130295.27+210485.42+444697.21)</f>
        <v>858339.22</v>
      </c>
      <c r="E875" s="644">
        <v>858339.22</v>
      </c>
      <c r="F875" s="644"/>
      <c r="G875" s="1051">
        <v>0</v>
      </c>
      <c r="H875" s="1055">
        <f t="shared" si="92"/>
        <v>100</v>
      </c>
      <c r="I875" s="670">
        <f t="shared" si="93"/>
        <v>489.78461987933696</v>
      </c>
      <c r="J875" s="29">
        <v>175248.3</v>
      </c>
      <c r="K875" s="557"/>
    </row>
    <row r="876" spans="1:253" s="98" customFormat="1" ht="12.75" customHeight="1" x14ac:dyDescent="0.3">
      <c r="A876" s="663">
        <v>3612</v>
      </c>
      <c r="B876" s="629" t="s">
        <v>1999</v>
      </c>
      <c r="C876" s="637">
        <v>0</v>
      </c>
      <c r="D876" s="637">
        <v>1000000</v>
      </c>
      <c r="E876" s="637">
        <v>878924.22</v>
      </c>
      <c r="F876" s="644"/>
      <c r="G876" s="630">
        <v>0</v>
      </c>
      <c r="H876" s="1052">
        <f t="shared" si="92"/>
        <v>87.892421999999996</v>
      </c>
      <c r="I876" s="639">
        <v>0</v>
      </c>
      <c r="J876" s="29">
        <v>0</v>
      </c>
      <c r="K876" s="558"/>
    </row>
    <row r="877" spans="1:253" s="98" customFormat="1" ht="12.75" customHeight="1" x14ac:dyDescent="0.3">
      <c r="A877" s="663">
        <v>3634</v>
      </c>
      <c r="B877" s="629" t="s">
        <v>1851</v>
      </c>
      <c r="C877" s="637">
        <v>8000000</v>
      </c>
      <c r="D877" s="637">
        <f>8000000-285281</f>
        <v>7714719</v>
      </c>
      <c r="E877" s="637">
        <v>7714719</v>
      </c>
      <c r="F877" s="644"/>
      <c r="G877" s="630">
        <f t="shared" si="90"/>
        <v>96.433987500000001</v>
      </c>
      <c r="H877" s="1052">
        <f t="shared" si="92"/>
        <v>100</v>
      </c>
      <c r="I877" s="639">
        <f t="shared" si="93"/>
        <v>94.827654447486793</v>
      </c>
      <c r="J877" s="29">
        <v>8135516</v>
      </c>
      <c r="K877" s="558"/>
    </row>
    <row r="878" spans="1:253" s="553" customFormat="1" ht="12.75" customHeight="1" x14ac:dyDescent="0.2">
      <c r="A878" s="660">
        <v>3639</v>
      </c>
      <c r="B878" s="626" t="s">
        <v>1852</v>
      </c>
      <c r="C878" s="637">
        <v>200000</v>
      </c>
      <c r="D878" s="637">
        <f>200000+300000</f>
        <v>500000</v>
      </c>
      <c r="E878" s="637">
        <v>418275.54</v>
      </c>
      <c r="F878" s="644"/>
      <c r="G878" s="630">
        <f t="shared" si="90"/>
        <v>209.13776999999999</v>
      </c>
      <c r="H878" s="1052">
        <f t="shared" si="92"/>
        <v>83.655107999999998</v>
      </c>
      <c r="I878" s="639">
        <f t="shared" si="93"/>
        <v>1680.9690953663144</v>
      </c>
      <c r="J878" s="1037">
        <v>24883</v>
      </c>
    </row>
    <row r="879" spans="1:253" ht="25.5" x14ac:dyDescent="0.2">
      <c r="A879" s="663">
        <v>6171</v>
      </c>
      <c r="B879" s="1017" t="s">
        <v>1853</v>
      </c>
      <c r="C879" s="637">
        <v>100000</v>
      </c>
      <c r="D879" s="637">
        <v>100000</v>
      </c>
      <c r="E879" s="637">
        <v>112951</v>
      </c>
      <c r="F879" s="644"/>
      <c r="G879" s="630">
        <f t="shared" si="90"/>
        <v>112.95100000000001</v>
      </c>
      <c r="H879" s="1052">
        <f t="shared" si="92"/>
        <v>112.95100000000001</v>
      </c>
      <c r="I879" s="639">
        <f t="shared" si="93"/>
        <v>165.82397416134478</v>
      </c>
      <c r="J879" s="1037">
        <v>68115</v>
      </c>
    </row>
    <row r="880" spans="1:253" x14ac:dyDescent="0.2">
      <c r="A880" s="663">
        <v>6310</v>
      </c>
      <c r="B880" s="629" t="s">
        <v>1856</v>
      </c>
      <c r="C880" s="637">
        <v>200000</v>
      </c>
      <c r="D880" s="637">
        <f>200000+50000+(50000+50000)+100000+10000</f>
        <v>460000</v>
      </c>
      <c r="E880" s="637">
        <v>459723.5</v>
      </c>
      <c r="F880" s="644"/>
      <c r="G880" s="630">
        <f t="shared" si="90"/>
        <v>229.86175000000003</v>
      </c>
      <c r="H880" s="1052">
        <f t="shared" si="92"/>
        <v>99.939891304347825</v>
      </c>
      <c r="I880" s="639">
        <f t="shared" si="93"/>
        <v>116.12940888706551</v>
      </c>
      <c r="J880" s="29">
        <v>395871.73</v>
      </c>
    </row>
    <row r="881" spans="1:11" x14ac:dyDescent="0.2">
      <c r="A881" s="663">
        <v>6399</v>
      </c>
      <c r="B881" s="629" t="s">
        <v>999</v>
      </c>
      <c r="C881" s="635">
        <f t="shared" ref="C881:D881" si="95">SUM(C882:C884)</f>
        <v>73000000</v>
      </c>
      <c r="D881" s="635">
        <f t="shared" si="95"/>
        <v>64949700</v>
      </c>
      <c r="E881" s="635">
        <v>57747838</v>
      </c>
      <c r="F881" s="652">
        <f>SUM(E882:E884)</f>
        <v>57747838</v>
      </c>
      <c r="G881" s="630">
        <f t="shared" si="90"/>
        <v>79.106627397260283</v>
      </c>
      <c r="H881" s="1052">
        <f t="shared" si="92"/>
        <v>88.911631616466281</v>
      </c>
      <c r="I881" s="639">
        <f t="shared" si="93"/>
        <v>118.57607857040395</v>
      </c>
      <c r="J881" s="29">
        <v>48701086</v>
      </c>
    </row>
    <row r="882" spans="1:11" x14ac:dyDescent="0.2">
      <c r="A882" s="664"/>
      <c r="B882" s="643" t="s">
        <v>1857</v>
      </c>
      <c r="C882" s="712">
        <v>40000000</v>
      </c>
      <c r="D882" s="712">
        <f>40000000-10050300</f>
        <v>29949700</v>
      </c>
      <c r="E882" s="712">
        <v>29949700</v>
      </c>
      <c r="F882" s="712"/>
      <c r="G882" s="1051">
        <f t="shared" ref="G882:G899" si="96">E882/C882*100</f>
        <v>74.874250000000004</v>
      </c>
      <c r="H882" s="1055">
        <f t="shared" si="92"/>
        <v>100</v>
      </c>
      <c r="I882" s="670">
        <f t="shared" si="93"/>
        <v>79.606286487687612</v>
      </c>
      <c r="J882" s="29">
        <v>37622280</v>
      </c>
    </row>
    <row r="883" spans="1:11" x14ac:dyDescent="0.2">
      <c r="A883" s="664"/>
      <c r="B883" s="643" t="s">
        <v>1858</v>
      </c>
      <c r="C883" s="644">
        <v>33000000</v>
      </c>
      <c r="D883" s="644">
        <f>33000000-3000000+5000000</f>
        <v>35000000</v>
      </c>
      <c r="E883" s="644">
        <v>27797138</v>
      </c>
      <c r="F883" s="644"/>
      <c r="G883" s="1051">
        <f t="shared" si="96"/>
        <v>84.233751515151511</v>
      </c>
      <c r="H883" s="1055">
        <f t="shared" si="92"/>
        <v>79.420394285714295</v>
      </c>
      <c r="I883" s="670">
        <f t="shared" si="93"/>
        <v>250.90373457211905</v>
      </c>
      <c r="J883" s="29">
        <v>11078806</v>
      </c>
    </row>
    <row r="884" spans="1:11" x14ac:dyDescent="0.2">
      <c r="A884" s="664"/>
      <c r="B884" s="643" t="s">
        <v>2142</v>
      </c>
      <c r="C884" s="644">
        <v>0</v>
      </c>
      <c r="D884" s="644">
        <v>0</v>
      </c>
      <c r="E884" s="644">
        <v>1000</v>
      </c>
      <c r="F884" s="644"/>
      <c r="G884" s="1051">
        <v>0</v>
      </c>
      <c r="H884" s="1055">
        <v>0</v>
      </c>
      <c r="I884" s="670">
        <v>0</v>
      </c>
      <c r="J884" s="29">
        <v>0</v>
      </c>
    </row>
    <row r="885" spans="1:11" s="98" customFormat="1" ht="12.75" customHeight="1" x14ac:dyDescent="0.3">
      <c r="A885" s="663">
        <v>6402</v>
      </c>
      <c r="B885" s="629" t="s">
        <v>1002</v>
      </c>
      <c r="C885" s="635">
        <f>SUM(C887:C892)</f>
        <v>0</v>
      </c>
      <c r="D885" s="635">
        <f>SUM(D886:D892)</f>
        <v>2200418.75</v>
      </c>
      <c r="E885" s="635">
        <v>2200418.75</v>
      </c>
      <c r="F885" s="652">
        <f>SUM(E886:E892)</f>
        <v>2200418.75</v>
      </c>
      <c r="G885" s="630">
        <v>0</v>
      </c>
      <c r="H885" s="1052">
        <f t="shared" si="92"/>
        <v>100</v>
      </c>
      <c r="I885" s="639">
        <f t="shared" si="93"/>
        <v>1320.8276063343001</v>
      </c>
      <c r="J885" s="29">
        <v>166593.94</v>
      </c>
      <c r="K885" s="558"/>
    </row>
    <row r="886" spans="1:11" s="2" customFormat="1" ht="12.75" customHeight="1" x14ac:dyDescent="0.3">
      <c r="A886" s="715"/>
      <c r="B886" s="1151" t="s">
        <v>2143</v>
      </c>
      <c r="C886" s="644">
        <v>0</v>
      </c>
      <c r="D886" s="816">
        <v>76493.02</v>
      </c>
      <c r="E886" s="644">
        <v>76493.02</v>
      </c>
      <c r="F886" s="644"/>
      <c r="G886" s="1051">
        <v>0</v>
      </c>
      <c r="H886" s="1055">
        <f t="shared" si="92"/>
        <v>100</v>
      </c>
      <c r="I886" s="670">
        <v>0</v>
      </c>
      <c r="J886" s="88">
        <v>0</v>
      </c>
      <c r="K886" s="558"/>
    </row>
    <row r="887" spans="1:11" s="2" customFormat="1" ht="12.75" customHeight="1" x14ac:dyDescent="0.3">
      <c r="A887" s="715"/>
      <c r="B887" s="1151" t="s">
        <v>2144</v>
      </c>
      <c r="C887" s="644">
        <v>0</v>
      </c>
      <c r="D887" s="816">
        <f>(1784.32+10111.13)</f>
        <v>11895.449999999999</v>
      </c>
      <c r="E887" s="644">
        <v>11895.45</v>
      </c>
      <c r="F887" s="644"/>
      <c r="G887" s="1051">
        <v>0</v>
      </c>
      <c r="H887" s="1055">
        <f t="shared" si="92"/>
        <v>100.00000000000003</v>
      </c>
      <c r="I887" s="670">
        <v>0</v>
      </c>
      <c r="J887" s="88">
        <v>0</v>
      </c>
      <c r="K887" s="558"/>
    </row>
    <row r="888" spans="1:11" s="2" customFormat="1" ht="12.75" customHeight="1" x14ac:dyDescent="0.3">
      <c r="A888" s="715"/>
      <c r="B888" s="1151" t="s">
        <v>2000</v>
      </c>
      <c r="C888" s="644">
        <v>0</v>
      </c>
      <c r="D888" s="816">
        <v>8015</v>
      </c>
      <c r="E888" s="644">
        <v>8015</v>
      </c>
      <c r="F888" s="644"/>
      <c r="G888" s="1051">
        <v>0</v>
      </c>
      <c r="H888" s="1055">
        <f t="shared" si="92"/>
        <v>100</v>
      </c>
      <c r="I888" s="670">
        <v>0</v>
      </c>
      <c r="J888" s="88">
        <v>0</v>
      </c>
      <c r="K888" s="558"/>
    </row>
    <row r="889" spans="1:11" s="2" customFormat="1" ht="12.75" customHeight="1" x14ac:dyDescent="0.3">
      <c r="A889" s="715"/>
      <c r="B889" s="1151" t="s">
        <v>2001</v>
      </c>
      <c r="C889" s="644">
        <v>0</v>
      </c>
      <c r="D889" s="816">
        <v>33210</v>
      </c>
      <c r="E889" s="644">
        <v>33210</v>
      </c>
      <c r="F889" s="644"/>
      <c r="G889" s="1051">
        <v>0</v>
      </c>
      <c r="H889" s="1055">
        <f t="shared" si="92"/>
        <v>100</v>
      </c>
      <c r="I889" s="670">
        <v>0</v>
      </c>
      <c r="J889" s="88">
        <v>0</v>
      </c>
      <c r="K889" s="558"/>
    </row>
    <row r="890" spans="1:11" s="2" customFormat="1" ht="12.75" customHeight="1" x14ac:dyDescent="0.3">
      <c r="A890" s="715"/>
      <c r="B890" s="1151" t="s">
        <v>2002</v>
      </c>
      <c r="C890" s="644">
        <v>0</v>
      </c>
      <c r="D890" s="816">
        <v>1449005.28</v>
      </c>
      <c r="E890" s="644">
        <v>1449005.28</v>
      </c>
      <c r="F890" s="644"/>
      <c r="G890" s="1051">
        <v>0</v>
      </c>
      <c r="H890" s="1055">
        <f t="shared" si="92"/>
        <v>100</v>
      </c>
      <c r="I890" s="670">
        <v>0</v>
      </c>
      <c r="J890" s="88">
        <v>0</v>
      </c>
      <c r="K890" s="558"/>
    </row>
    <row r="891" spans="1:11" s="2" customFormat="1" ht="12.75" customHeight="1" x14ac:dyDescent="0.3">
      <c r="A891" s="715"/>
      <c r="B891" s="1151" t="s">
        <v>2004</v>
      </c>
      <c r="C891" s="644">
        <v>0</v>
      </c>
      <c r="D891" s="816">
        <v>221800</v>
      </c>
      <c r="E891" s="644">
        <v>221800</v>
      </c>
      <c r="F891" s="644"/>
      <c r="G891" s="1051">
        <v>0</v>
      </c>
      <c r="H891" s="1055">
        <f t="shared" si="92"/>
        <v>100</v>
      </c>
      <c r="I891" s="670">
        <v>0</v>
      </c>
      <c r="J891" s="88">
        <v>0</v>
      </c>
      <c r="K891" s="558"/>
    </row>
    <row r="892" spans="1:11" s="2" customFormat="1" ht="12.75" customHeight="1" x14ac:dyDescent="0.3">
      <c r="A892" s="715"/>
      <c r="B892" s="1151" t="s">
        <v>2005</v>
      </c>
      <c r="C892" s="644">
        <v>0</v>
      </c>
      <c r="D892" s="816">
        <v>400000</v>
      </c>
      <c r="E892" s="644">
        <v>400000</v>
      </c>
      <c r="F892" s="644"/>
      <c r="G892" s="1051">
        <v>0</v>
      </c>
      <c r="H892" s="1055">
        <f t="shared" si="92"/>
        <v>100</v>
      </c>
      <c r="I892" s="670">
        <v>0</v>
      </c>
      <c r="J892" s="88">
        <v>0</v>
      </c>
      <c r="K892" s="558"/>
    </row>
    <row r="893" spans="1:11" s="244" customFormat="1" ht="12.75" customHeight="1" x14ac:dyDescent="0.25">
      <c r="A893" s="663">
        <v>6409</v>
      </c>
      <c r="B893" s="629" t="s">
        <v>1008</v>
      </c>
      <c r="C893" s="635">
        <f>SUM(C894:C897)</f>
        <v>3310000</v>
      </c>
      <c r="D893" s="635">
        <f>SUM(D894:D897)</f>
        <v>79205937.469999984</v>
      </c>
      <c r="E893" s="635">
        <v>512411.1</v>
      </c>
      <c r="F893" s="652">
        <f>SUM(E894:E897)</f>
        <v>512411.1</v>
      </c>
      <c r="G893" s="630">
        <f t="shared" si="96"/>
        <v>15.480697885196374</v>
      </c>
      <c r="H893" s="1052">
        <f t="shared" si="92"/>
        <v>0.64693521264624965</v>
      </c>
      <c r="I893" s="639">
        <f t="shared" si="93"/>
        <v>0.50179912187057896</v>
      </c>
      <c r="J893" s="29">
        <v>102114786.11</v>
      </c>
    </row>
    <row r="894" spans="1:11" s="98" customFormat="1" x14ac:dyDescent="0.2">
      <c r="A894" s="1019"/>
      <c r="B894" s="690" t="s">
        <v>1009</v>
      </c>
      <c r="C894" s="694">
        <v>3000000</v>
      </c>
      <c r="D894" s="694">
        <f>3000000-508200+45455-2500000+2499800-1812000-76493.01-33698-3663880-120860.71-221800+50161+14000000+14055.43-1700000-300000-1938178.27-436000-175000+5706845.54+285281-7381538+384+80676.71+248308.32-1750000+43797-84940+3705.41-231000-50000+270+2989.27+(1200000-96800)+921600+(-89825-296450-213204)-5500000-1000000+(20000+76497+20200+36600+156589.67+5360+147136+87410+265673.13+2870000)-147136-176-1449005.28+23330000+160000-280000-300000-150000-49000-1163197.81-500000-5000000-300000+9703265.68-86815.98-500000+700000+3074.21+275000-300000+2277799.35+412445+7050000+(300000+1060000+1000000+6690000+7500000+500000+1800000+3930000+800000)+1000000+98187+500000+(4330000+700000)+114563.55-76493.02+1650000+28572-300000+62.46+70122+155095.79+82921.96+200000+(48744+15613.03+1.16+100000+350000+280000+300000+600000+10163-300000+20000+20000)+(370088+175000+10637000+26810+686470.59+30000+115000+162566+32630+110347.82+594.97)+500000+484000+700000+500000+1550000+2200000+4011-52695.5+300000+2180699.34+217373.47-100000+3337434+(-117496-2869843.8-287980-101945.85-5103000-8281000+323.86)+(1600000+900000)-100000</f>
        <v>78679121.48999998</v>
      </c>
      <c r="E894" s="694">
        <v>0</v>
      </c>
      <c r="F894" s="694"/>
      <c r="G894" s="1051">
        <f t="shared" si="96"/>
        <v>0</v>
      </c>
      <c r="H894" s="1055">
        <f t="shared" si="92"/>
        <v>0</v>
      </c>
      <c r="I894" s="670">
        <v>0</v>
      </c>
      <c r="J894" s="29">
        <v>0</v>
      </c>
    </row>
    <row r="895" spans="1:11" s="98" customFormat="1" ht="38.25" x14ac:dyDescent="0.2">
      <c r="A895" s="832"/>
      <c r="B895" s="884" t="s">
        <v>1862</v>
      </c>
      <c r="C895" s="695">
        <f>80000+90000+85000+55000</f>
        <v>310000</v>
      </c>
      <c r="D895" s="695">
        <f>310000+40000+10000+80000</f>
        <v>440000</v>
      </c>
      <c r="E895" s="695">
        <v>425355.12</v>
      </c>
      <c r="F895" s="695"/>
      <c r="G895" s="1051">
        <f t="shared" si="96"/>
        <v>137.21132903225805</v>
      </c>
      <c r="H895" s="1055">
        <f t="shared" si="92"/>
        <v>96.671618181818175</v>
      </c>
      <c r="I895" s="670">
        <f t="shared" si="93"/>
        <v>145.04092843081006</v>
      </c>
      <c r="J895" s="1037">
        <v>293265.58</v>
      </c>
    </row>
    <row r="896" spans="1:11" s="98" customFormat="1" x14ac:dyDescent="0.2">
      <c r="A896" s="832"/>
      <c r="B896" s="884" t="s">
        <v>2006</v>
      </c>
      <c r="C896" s="695">
        <v>0</v>
      </c>
      <c r="D896" s="695">
        <v>86815.98</v>
      </c>
      <c r="E896" s="695">
        <v>86815.98</v>
      </c>
      <c r="F896" s="695"/>
      <c r="G896" s="1051">
        <v>0</v>
      </c>
      <c r="H896" s="1055">
        <v>0</v>
      </c>
      <c r="I896" s="670">
        <v>0</v>
      </c>
      <c r="J896" s="29">
        <v>0</v>
      </c>
    </row>
    <row r="897" spans="1:10" s="98" customFormat="1" x14ac:dyDescent="0.2">
      <c r="A897" s="832"/>
      <c r="B897" s="884" t="s">
        <v>2007</v>
      </c>
      <c r="C897" s="695">
        <v>0</v>
      </c>
      <c r="D897" s="695">
        <v>0</v>
      </c>
      <c r="E897" s="695">
        <v>240</v>
      </c>
      <c r="F897" s="695"/>
      <c r="G897" s="1051">
        <v>0</v>
      </c>
      <c r="H897" s="1055">
        <v>0</v>
      </c>
      <c r="I897" s="670">
        <v>0</v>
      </c>
      <c r="J897" s="29">
        <v>0</v>
      </c>
    </row>
    <row r="898" spans="1:10" s="98" customFormat="1" x14ac:dyDescent="0.2">
      <c r="A898" s="749"/>
      <c r="B898" s="727"/>
      <c r="C898" s="682"/>
      <c r="D898" s="682"/>
      <c r="E898" s="682"/>
      <c r="F898" s="682"/>
      <c r="G898" s="682"/>
      <c r="H898" s="682"/>
      <c r="I898" s="1020"/>
      <c r="J898" s="29"/>
    </row>
    <row r="899" spans="1:10" s="98" customFormat="1" ht="23.25" x14ac:dyDescent="0.35">
      <c r="A899" s="613"/>
      <c r="B899" s="1021" t="s">
        <v>55</v>
      </c>
      <c r="C899" s="1022">
        <f>SUM(C245+C349+C515+C518+C524+C533+C537+C540+C631+C635+C654+C663+C695+C702+C726+C861+C872)</f>
        <v>1000477597.2</v>
      </c>
      <c r="D899" s="1022">
        <f>SUM(D245+D349+D515+D518+D524+D533+D537+D540+D631+D635+D654+D663+D695+D702+D726+D861+D872)</f>
        <v>1016142286.4899999</v>
      </c>
      <c r="E899" s="1022">
        <v>852539368.99000001</v>
      </c>
      <c r="F899" s="1152"/>
      <c r="G899" s="735">
        <f t="shared" si="96"/>
        <v>85.213239294510018</v>
      </c>
      <c r="H899" s="735">
        <f t="shared" ref="H899" si="97">E899/D899*100</f>
        <v>83.899605431723174</v>
      </c>
      <c r="I899" s="1083">
        <f t="shared" si="93"/>
        <v>85.977464450141753</v>
      </c>
      <c r="J899" s="29">
        <v>991584683.77999997</v>
      </c>
    </row>
    <row r="900" spans="1:10" ht="23.25" x14ac:dyDescent="0.35">
      <c r="B900" s="1024"/>
    </row>
    <row r="901" spans="1:10" x14ac:dyDescent="0.2">
      <c r="B901" s="564"/>
    </row>
    <row r="902" spans="1:10" s="98" customFormat="1" x14ac:dyDescent="0.2">
      <c r="A902" s="1"/>
      <c r="B902" s="1"/>
      <c r="C902" s="29"/>
      <c r="D902" s="29"/>
      <c r="E902" s="29"/>
      <c r="F902" s="29"/>
      <c r="G902" s="29"/>
      <c r="H902" s="29"/>
      <c r="I902" s="29"/>
      <c r="J902" s="29"/>
    </row>
    <row r="903" spans="1:10" s="98" customFormat="1" x14ac:dyDescent="0.2">
      <c r="A903" s="1"/>
      <c r="B903" s="1"/>
      <c r="C903" s="1"/>
      <c r="D903" s="1"/>
      <c r="E903" s="1"/>
      <c r="F903" s="1"/>
      <c r="G903" s="1"/>
      <c r="H903" s="1"/>
      <c r="J903" s="29"/>
    </row>
  </sheetData>
  <sheetProtection selectLockedCells="1" selectUnlockedCells="1"/>
  <printOptions horizontalCentered="1"/>
  <pageMargins left="0" right="0" top="0.39370078740157483" bottom="0.39370078740157483" header="0.51181102362204722" footer="0.19685039370078741"/>
  <pageSetup paperSize="9" scale="65" firstPageNumber="0" orientation="landscape" horizontalDpi="300" verticalDpi="300" r:id="rId1"/>
  <headerFooter>
    <oddFooter>&amp;C&amp;P</oddFooter>
  </headerFooter>
  <rowBreaks count="2" manualBreakCount="2">
    <brk id="30" max="16383" man="1"/>
    <brk id="243" max="16383" man="1"/>
  </row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IU903"/>
  <sheetViews>
    <sheetView workbookViewId="0">
      <selection activeCell="E597" sqref="E597"/>
    </sheetView>
  </sheetViews>
  <sheetFormatPr defaultColWidth="9.5703125" defaultRowHeight="12.75" x14ac:dyDescent="0.2"/>
  <cols>
    <col min="1" max="1" width="11.85546875" style="1" customWidth="1"/>
    <col min="2" max="2" width="91.85546875" style="1" customWidth="1"/>
    <col min="3" max="5" width="26.85546875" style="1" customWidth="1"/>
    <col min="6" max="6" width="22" style="1" customWidth="1"/>
    <col min="7" max="8" width="10.5703125" style="1" customWidth="1"/>
    <col min="9" max="9" width="12.140625" style="1" customWidth="1"/>
    <col min="10" max="10" width="14.7109375" style="29" customWidth="1"/>
    <col min="11" max="11" width="15.7109375" style="1" customWidth="1"/>
    <col min="12" max="13" width="14.85546875" style="1" customWidth="1"/>
    <col min="14" max="16384" width="9.5703125" style="1"/>
  </cols>
  <sheetData>
    <row r="1" spans="1:13" ht="49.5" customHeight="1" x14ac:dyDescent="0.2">
      <c r="A1" s="565" t="s">
        <v>1</v>
      </c>
      <c r="B1" s="566" t="s">
        <v>2085</v>
      </c>
      <c r="C1" s="567" t="s">
        <v>2086</v>
      </c>
      <c r="D1" s="567" t="s">
        <v>2087</v>
      </c>
      <c r="E1" s="567" t="s">
        <v>2088</v>
      </c>
      <c r="F1" s="1025"/>
      <c r="G1" s="567" t="s">
        <v>1014</v>
      </c>
      <c r="H1" s="567" t="s">
        <v>1015</v>
      </c>
      <c r="I1" s="567" t="s">
        <v>1016</v>
      </c>
      <c r="J1" s="1026" t="s">
        <v>2089</v>
      </c>
    </row>
    <row r="2" spans="1:13" ht="27" customHeight="1" x14ac:dyDescent="0.3">
      <c r="A2" s="568"/>
      <c r="B2" s="569" t="s">
        <v>56</v>
      </c>
      <c r="C2" s="570"/>
      <c r="D2" s="570"/>
      <c r="E2" s="571"/>
      <c r="F2" s="1027"/>
      <c r="G2" s="572"/>
      <c r="H2" s="573"/>
      <c r="I2" s="570"/>
      <c r="J2" s="1028"/>
    </row>
    <row r="3" spans="1:13" s="98" customFormat="1" ht="27" customHeight="1" x14ac:dyDescent="0.25">
      <c r="A3" s="575"/>
      <c r="B3" s="576" t="s">
        <v>57</v>
      </c>
      <c r="C3" s="577">
        <f>C32</f>
        <v>517842400</v>
      </c>
      <c r="D3" s="577">
        <f>D32</f>
        <v>512579980.12</v>
      </c>
      <c r="E3" s="577"/>
      <c r="F3" s="1029"/>
      <c r="G3" s="577"/>
      <c r="H3" s="577"/>
      <c r="I3" s="577"/>
      <c r="J3" s="88"/>
    </row>
    <row r="4" spans="1:13" s="98" customFormat="1" ht="27" customHeight="1" x14ac:dyDescent="0.25">
      <c r="A4" s="579"/>
      <c r="B4" s="575" t="s">
        <v>10</v>
      </c>
      <c r="C4" s="577">
        <f>C64</f>
        <v>153980616.31999999</v>
      </c>
      <c r="D4" s="577">
        <f>D64</f>
        <v>151716896.54000002</v>
      </c>
      <c r="E4" s="577"/>
      <c r="F4" s="1029"/>
      <c r="G4" s="577"/>
      <c r="H4" s="577"/>
      <c r="I4" s="577"/>
      <c r="J4" s="29"/>
    </row>
    <row r="5" spans="1:13" s="98" customFormat="1" ht="27" customHeight="1" x14ac:dyDescent="0.25">
      <c r="A5" s="579"/>
      <c r="B5" s="575" t="s">
        <v>11</v>
      </c>
      <c r="C5" s="577">
        <f>C160</f>
        <v>87239000</v>
      </c>
      <c r="D5" s="577">
        <f>D160</f>
        <v>71196111</v>
      </c>
      <c r="E5" s="577"/>
      <c r="F5" s="1029"/>
      <c r="G5" s="577"/>
      <c r="H5" s="577"/>
      <c r="I5" s="577"/>
      <c r="J5" s="29"/>
    </row>
    <row r="6" spans="1:13" s="98" customFormat="1" ht="27" customHeight="1" x14ac:dyDescent="0.25">
      <c r="A6" s="579"/>
      <c r="B6" s="575" t="s">
        <v>196</v>
      </c>
      <c r="C6" s="577">
        <f>C175</f>
        <v>66897844.799999997</v>
      </c>
      <c r="D6" s="577">
        <f>D175</f>
        <v>105572217.61</v>
      </c>
      <c r="E6" s="577"/>
      <c r="F6" s="1029"/>
      <c r="G6" s="577"/>
      <c r="H6" s="577"/>
      <c r="I6" s="577"/>
      <c r="J6" s="29"/>
    </row>
    <row r="7" spans="1:13" s="98" customFormat="1" ht="27" customHeight="1" x14ac:dyDescent="0.3">
      <c r="A7" s="581"/>
      <c r="B7" s="581" t="s">
        <v>13</v>
      </c>
      <c r="C7" s="582">
        <f>C233</f>
        <v>825959861.11999989</v>
      </c>
      <c r="D7" s="582">
        <f>D233</f>
        <v>841065205.2700001</v>
      </c>
      <c r="E7" s="582"/>
      <c r="F7" s="1030"/>
      <c r="G7" s="582"/>
      <c r="H7" s="582"/>
      <c r="I7" s="582"/>
      <c r="J7" s="29"/>
    </row>
    <row r="8" spans="1:13" s="98" customFormat="1" ht="27" customHeight="1" x14ac:dyDescent="0.25">
      <c r="A8" s="583"/>
      <c r="B8" s="584" t="s">
        <v>14</v>
      </c>
      <c r="C8" s="585">
        <f>C235</f>
        <v>172017736.07999998</v>
      </c>
      <c r="D8" s="585">
        <f>D235</f>
        <v>172017736.07999998</v>
      </c>
      <c r="E8" s="585"/>
      <c r="F8" s="1031"/>
      <c r="G8" s="585"/>
      <c r="H8" s="585"/>
      <c r="I8" s="585"/>
      <c r="J8" s="29"/>
    </row>
    <row r="9" spans="1:13" s="85" customFormat="1" ht="27" customHeight="1" x14ac:dyDescent="0.4">
      <c r="A9" s="586"/>
      <c r="B9" s="587" t="s">
        <v>15</v>
      </c>
      <c r="C9" s="588">
        <f>C242</f>
        <v>997977597.19999981</v>
      </c>
      <c r="D9" s="588">
        <f>D242</f>
        <v>1013082941.3500001</v>
      </c>
      <c r="E9" s="588"/>
      <c r="F9" s="1032"/>
      <c r="G9" s="588"/>
      <c r="H9" s="588"/>
      <c r="I9" s="588"/>
      <c r="J9" s="1195"/>
      <c r="K9" s="1196"/>
      <c r="L9" s="1196"/>
    </row>
    <row r="10" spans="1:13" s="98" customFormat="1" ht="27" customHeight="1" x14ac:dyDescent="0.3">
      <c r="A10" s="589"/>
      <c r="B10" s="590" t="s">
        <v>257</v>
      </c>
      <c r="C10" s="591"/>
      <c r="D10" s="591"/>
      <c r="E10" s="592"/>
      <c r="F10" s="592"/>
      <c r="G10" s="591"/>
      <c r="H10" s="591"/>
      <c r="I10" s="591"/>
      <c r="J10" s="1034" t="s">
        <v>1868</v>
      </c>
      <c r="K10" s="1035" t="s">
        <v>1869</v>
      </c>
      <c r="L10" s="1035" t="s">
        <v>1870</v>
      </c>
    </row>
    <row r="11" spans="1:13" s="593" customFormat="1" ht="27" customHeight="1" x14ac:dyDescent="0.2">
      <c r="A11" s="594"/>
      <c r="B11" s="594" t="s">
        <v>17</v>
      </c>
      <c r="C11" s="595">
        <f>C30-C12</f>
        <v>760881693</v>
      </c>
      <c r="D11" s="595">
        <f>D30-D12</f>
        <v>786250359.1099999</v>
      </c>
      <c r="E11" s="595"/>
      <c r="F11" s="595"/>
      <c r="G11" s="595"/>
      <c r="H11" s="595"/>
      <c r="I11" s="595"/>
      <c r="J11" s="1036">
        <v>428479719.06999999</v>
      </c>
      <c r="K11" s="1037">
        <f>K13-K12</f>
        <v>781504610.48000002</v>
      </c>
      <c r="L11" s="1037">
        <f>L13-L12</f>
        <v>353002033.44000006</v>
      </c>
      <c r="M11" s="1038"/>
    </row>
    <row r="12" spans="1:13" s="593" customFormat="1" ht="27" customHeight="1" x14ac:dyDescent="0.2">
      <c r="A12" s="596"/>
      <c r="B12" s="597" t="s">
        <v>18</v>
      </c>
      <c r="C12" s="598">
        <v>239595904.19999999</v>
      </c>
      <c r="D12" s="598">
        <v>229891927.38</v>
      </c>
      <c r="E12" s="598"/>
      <c r="F12" s="598"/>
      <c r="G12" s="595"/>
      <c r="H12" s="595"/>
      <c r="I12" s="595"/>
      <c r="J12" s="1036">
        <v>45676891.219999999</v>
      </c>
      <c r="K12" s="32">
        <v>229891927.38</v>
      </c>
      <c r="L12" s="32">
        <v>23411946</v>
      </c>
      <c r="M12" s="1038"/>
    </row>
    <row r="13" spans="1:13" s="12" customFormat="1" ht="27" customHeight="1" x14ac:dyDescent="0.25">
      <c r="A13" s="599"/>
      <c r="B13" s="600" t="s">
        <v>258</v>
      </c>
      <c r="C13" s="601">
        <f>C244</f>
        <v>75934044.200000003</v>
      </c>
      <c r="D13" s="601">
        <f>D244</f>
        <v>60951276.200000003</v>
      </c>
      <c r="E13" s="601"/>
      <c r="F13" s="1039"/>
      <c r="G13" s="601"/>
      <c r="H13" s="601"/>
      <c r="I13" s="601"/>
      <c r="J13" s="1040"/>
      <c r="K13" s="32">
        <f>1011396537.86</f>
        <v>1011396537.86</v>
      </c>
      <c r="L13" s="32">
        <f>889840053.6-513160401.03-265673.13</f>
        <v>376413979.44000006</v>
      </c>
      <c r="M13" s="98"/>
    </row>
    <row r="14" spans="1:13" s="12" customFormat="1" ht="27" customHeight="1" x14ac:dyDescent="0.25">
      <c r="A14" s="599"/>
      <c r="B14" s="600" t="s">
        <v>1017</v>
      </c>
      <c r="C14" s="601">
        <f>C349</f>
        <v>196635250</v>
      </c>
      <c r="D14" s="601">
        <f>D349</f>
        <v>146703272.44999999</v>
      </c>
      <c r="E14" s="601"/>
      <c r="F14" s="1039"/>
      <c r="G14" s="601"/>
      <c r="H14" s="601"/>
      <c r="I14" s="601"/>
      <c r="J14" s="1040"/>
    </row>
    <row r="15" spans="1:13" s="12" customFormat="1" ht="27" customHeight="1" x14ac:dyDescent="0.25">
      <c r="A15" s="602"/>
      <c r="B15" s="600" t="s">
        <v>31</v>
      </c>
      <c r="C15" s="601">
        <f>C515</f>
        <v>15000</v>
      </c>
      <c r="D15" s="601">
        <f>D515</f>
        <v>15000</v>
      </c>
      <c r="E15" s="601"/>
      <c r="F15" s="1039"/>
      <c r="G15" s="601"/>
      <c r="H15" s="601"/>
      <c r="I15" s="601"/>
      <c r="J15" s="1040"/>
    </row>
    <row r="16" spans="1:13" s="603" customFormat="1" ht="27" customHeight="1" x14ac:dyDescent="0.25">
      <c r="A16" s="600"/>
      <c r="B16" s="600" t="s">
        <v>1018</v>
      </c>
      <c r="C16" s="604">
        <f>C518</f>
        <v>13200772</v>
      </c>
      <c r="D16" s="604">
        <f>D518</f>
        <v>13584681.83</v>
      </c>
      <c r="E16" s="604"/>
      <c r="F16" s="1041"/>
      <c r="G16" s="604"/>
      <c r="H16" s="604"/>
      <c r="I16" s="604"/>
      <c r="J16" s="1040"/>
    </row>
    <row r="17" spans="1:255" s="603" customFormat="1" ht="27" customHeight="1" x14ac:dyDescent="0.25">
      <c r="A17" s="602"/>
      <c r="B17" s="600" t="s">
        <v>33</v>
      </c>
      <c r="C17" s="601">
        <f>C524</f>
        <v>10220291</v>
      </c>
      <c r="D17" s="601">
        <f>D524</f>
        <v>10451291</v>
      </c>
      <c r="E17" s="601"/>
      <c r="F17" s="1039"/>
      <c r="G17" s="601"/>
      <c r="H17" s="601"/>
      <c r="I17" s="601"/>
      <c r="J17" s="1040"/>
    </row>
    <row r="18" spans="1:255" s="603" customFormat="1" ht="27" customHeight="1" x14ac:dyDescent="0.25">
      <c r="A18" s="602"/>
      <c r="B18" s="600" t="s">
        <v>34</v>
      </c>
      <c r="C18" s="601">
        <f>C533</f>
        <v>162000</v>
      </c>
      <c r="D18" s="601">
        <f>D533</f>
        <v>162000</v>
      </c>
      <c r="E18" s="601"/>
      <c r="F18" s="1039"/>
      <c r="G18" s="601"/>
      <c r="H18" s="601"/>
      <c r="I18" s="601"/>
      <c r="J18" s="1040"/>
    </row>
    <row r="19" spans="1:255" s="603" customFormat="1" ht="27" customHeight="1" x14ac:dyDescent="0.25">
      <c r="A19" s="605"/>
      <c r="B19" s="600" t="s">
        <v>624</v>
      </c>
      <c r="C19" s="601">
        <f>C537</f>
        <v>250000</v>
      </c>
      <c r="D19" s="601">
        <f>D537</f>
        <v>1114200</v>
      </c>
      <c r="E19" s="601"/>
      <c r="F19" s="1039"/>
      <c r="G19" s="601"/>
      <c r="H19" s="601"/>
      <c r="I19" s="601"/>
      <c r="J19" s="1040"/>
    </row>
    <row r="20" spans="1:255" s="606" customFormat="1" ht="27" customHeight="1" x14ac:dyDescent="0.25">
      <c r="A20" s="607"/>
      <c r="B20" s="608" t="s">
        <v>36</v>
      </c>
      <c r="C20" s="601">
        <f>C540</f>
        <v>117668120</v>
      </c>
      <c r="D20" s="601">
        <f>D540</f>
        <v>133072098.18000001</v>
      </c>
      <c r="E20" s="601"/>
      <c r="F20" s="1039"/>
      <c r="G20" s="601"/>
      <c r="H20" s="601"/>
      <c r="I20" s="601"/>
      <c r="J20" s="1042"/>
    </row>
    <row r="21" spans="1:255" s="12" customFormat="1" ht="27" customHeight="1" x14ac:dyDescent="0.25">
      <c r="A21" s="600"/>
      <c r="B21" s="600" t="s">
        <v>710</v>
      </c>
      <c r="C21" s="604">
        <f>C631</f>
        <v>28556700</v>
      </c>
      <c r="D21" s="604">
        <f>D631</f>
        <v>28556700</v>
      </c>
      <c r="E21" s="604"/>
      <c r="F21" s="1041"/>
      <c r="G21" s="604"/>
      <c r="H21" s="604"/>
      <c r="I21" s="604"/>
      <c r="J21" s="1040"/>
    </row>
    <row r="22" spans="1:255" s="12" customFormat="1" ht="27" customHeight="1" x14ac:dyDescent="0.25">
      <c r="A22" s="600"/>
      <c r="B22" s="600" t="s">
        <v>713</v>
      </c>
      <c r="C22" s="601">
        <f>C635</f>
        <v>31499210</v>
      </c>
      <c r="D22" s="601">
        <f>D635</f>
        <v>33962356.909999996</v>
      </c>
      <c r="E22" s="601"/>
      <c r="F22" s="1039"/>
      <c r="G22" s="601"/>
      <c r="H22" s="601"/>
      <c r="I22" s="601"/>
      <c r="J22" s="1040"/>
    </row>
    <row r="23" spans="1:255" s="12" customFormat="1" ht="27" customHeight="1" x14ac:dyDescent="0.25">
      <c r="A23" s="600"/>
      <c r="B23" s="600" t="s">
        <v>729</v>
      </c>
      <c r="C23" s="609">
        <f>C654</f>
        <v>166253060</v>
      </c>
      <c r="D23" s="609">
        <f>D654</f>
        <v>168024227.20999998</v>
      </c>
      <c r="E23" s="609"/>
      <c r="F23" s="1043"/>
      <c r="G23" s="609"/>
      <c r="H23" s="609"/>
      <c r="I23" s="609"/>
      <c r="J23" s="1040"/>
    </row>
    <row r="24" spans="1:255" s="12" customFormat="1" ht="27" customHeight="1" x14ac:dyDescent="0.25">
      <c r="A24" s="600"/>
      <c r="B24" s="600" t="s">
        <v>43</v>
      </c>
      <c r="C24" s="609">
        <f>C662</f>
        <v>15923250</v>
      </c>
      <c r="D24" s="609">
        <f>D662</f>
        <v>13923250</v>
      </c>
      <c r="E24" s="609"/>
      <c r="F24" s="1043"/>
      <c r="G24" s="609"/>
      <c r="H24" s="609"/>
      <c r="I24" s="609"/>
      <c r="J24" s="1040"/>
    </row>
    <row r="25" spans="1:255" s="12" customFormat="1" ht="27" customHeight="1" x14ac:dyDescent="0.25">
      <c r="A25" s="600"/>
      <c r="B25" s="600" t="s">
        <v>771</v>
      </c>
      <c r="C25" s="601">
        <f>C694</f>
        <v>18717400</v>
      </c>
      <c r="D25" s="601">
        <f>D694</f>
        <v>20225199.300000001</v>
      </c>
      <c r="E25" s="601"/>
      <c r="F25" s="1039"/>
      <c r="G25" s="601"/>
      <c r="H25" s="601"/>
      <c r="I25" s="601"/>
      <c r="J25" s="1040"/>
    </row>
    <row r="26" spans="1:255" s="12" customFormat="1" ht="27" customHeight="1" x14ac:dyDescent="0.25">
      <c r="A26" s="600"/>
      <c r="B26" s="600" t="s">
        <v>1871</v>
      </c>
      <c r="C26" s="604">
        <f>C702</f>
        <v>87547000</v>
      </c>
      <c r="D26" s="604">
        <f>D702</f>
        <v>86794109.460000008</v>
      </c>
      <c r="E26" s="604"/>
      <c r="F26" s="1041"/>
      <c r="G26" s="604"/>
      <c r="H26" s="604"/>
      <c r="I26" s="604"/>
      <c r="J26" s="1040"/>
    </row>
    <row r="27" spans="1:255" s="12" customFormat="1" ht="27" customHeight="1" x14ac:dyDescent="0.25">
      <c r="A27" s="600"/>
      <c r="B27" s="600" t="s">
        <v>797</v>
      </c>
      <c r="C27" s="601">
        <f>C726</f>
        <v>151698000</v>
      </c>
      <c r="D27" s="601">
        <f>D726</f>
        <v>140468509.50999999</v>
      </c>
      <c r="E27" s="601"/>
      <c r="F27" s="1039"/>
      <c r="G27" s="601"/>
      <c r="H27" s="601"/>
      <c r="I27" s="601"/>
      <c r="J27" s="1040"/>
    </row>
    <row r="28" spans="1:255" s="610" customFormat="1" ht="27" customHeight="1" x14ac:dyDescent="0.25">
      <c r="A28" s="600"/>
      <c r="B28" s="600" t="s">
        <v>1872</v>
      </c>
      <c r="C28" s="604">
        <f>C861</f>
        <v>1145000</v>
      </c>
      <c r="D28" s="604">
        <f>D861</f>
        <v>1145000</v>
      </c>
      <c r="E28" s="604"/>
      <c r="F28" s="1041"/>
      <c r="G28" s="604"/>
      <c r="H28" s="604"/>
      <c r="I28" s="604"/>
      <c r="J28" s="1044"/>
      <c r="IO28" s="603"/>
      <c r="IP28" s="603"/>
      <c r="IQ28" s="603"/>
      <c r="IR28" s="603"/>
      <c r="IS28" s="603"/>
      <c r="IT28" s="603"/>
      <c r="IU28" s="603"/>
    </row>
    <row r="29" spans="1:255" s="603" customFormat="1" ht="27" customHeight="1" x14ac:dyDescent="0.25">
      <c r="A29" s="611"/>
      <c r="B29" s="611" t="s">
        <v>54</v>
      </c>
      <c r="C29" s="612">
        <f>C872</f>
        <v>85052500</v>
      </c>
      <c r="D29" s="612">
        <f>D872</f>
        <v>156989114.43999997</v>
      </c>
      <c r="E29" s="612"/>
      <c r="F29" s="1045"/>
      <c r="G29" s="612"/>
      <c r="H29" s="612"/>
      <c r="I29" s="612"/>
      <c r="J29" s="1040"/>
    </row>
    <row r="30" spans="1:255" s="98" customFormat="1" ht="27" customHeight="1" x14ac:dyDescent="0.35">
      <c r="A30" s="613"/>
      <c r="B30" s="613" t="s">
        <v>55</v>
      </c>
      <c r="C30" s="614">
        <f>C899</f>
        <v>1000477597.2</v>
      </c>
      <c r="D30" s="614">
        <f>D899</f>
        <v>1016142286.4899999</v>
      </c>
      <c r="E30" s="614"/>
      <c r="F30" s="1046"/>
      <c r="G30" s="614"/>
      <c r="H30" s="614"/>
      <c r="I30" s="614"/>
      <c r="J30" s="29"/>
    </row>
    <row r="31" spans="1:255" ht="30" customHeight="1" x14ac:dyDescent="0.3">
      <c r="A31" s="617"/>
      <c r="B31" s="618" t="s">
        <v>56</v>
      </c>
      <c r="C31" s="619"/>
      <c r="D31" s="619"/>
      <c r="E31" s="619"/>
      <c r="F31" s="1047"/>
      <c r="G31" s="619"/>
      <c r="H31" s="619"/>
      <c r="I31" s="620"/>
      <c r="J31" s="1197"/>
    </row>
    <row r="32" spans="1:255" s="244" customFormat="1" ht="30" customHeight="1" x14ac:dyDescent="0.25">
      <c r="A32" s="621"/>
      <c r="B32" s="622" t="s">
        <v>57</v>
      </c>
      <c r="C32" s="623">
        <f>SUM(C33:C44,C48:C52,C60:C62)</f>
        <v>517842400</v>
      </c>
      <c r="D32" s="623">
        <f>SUM(D33:D44,D48:D52,D60:D62)</f>
        <v>512579980.12</v>
      </c>
      <c r="E32" s="623">
        <v>552417130.99000001</v>
      </c>
      <c r="F32" s="1048">
        <f>SUM(E33:E44,E48:E52,E59:E62)</f>
        <v>552417130.99000001</v>
      </c>
      <c r="G32" s="623"/>
      <c r="H32" s="623"/>
      <c r="I32" s="624"/>
      <c r="J32" s="29">
        <v>251415871.68000001</v>
      </c>
    </row>
    <row r="33" spans="1:10" s="98" customFormat="1" ht="30" customHeight="1" x14ac:dyDescent="0.2">
      <c r="A33" s="625">
        <v>1111</v>
      </c>
      <c r="B33" s="626" t="s">
        <v>1021</v>
      </c>
      <c r="C33" s="572">
        <f>(42800000*0.161362/100)*1000-4062936</f>
        <v>65000000</v>
      </c>
      <c r="D33" s="572">
        <f>(42800000*0.161362/100)*1000-4062936</f>
        <v>65000000</v>
      </c>
      <c r="E33" s="572">
        <v>71418764.799999997</v>
      </c>
      <c r="F33" s="573"/>
      <c r="G33" s="1049"/>
      <c r="H33" s="1050"/>
      <c r="I33" s="627"/>
      <c r="J33" s="29">
        <v>27258632.100000001</v>
      </c>
    </row>
    <row r="34" spans="1:10" s="98" customFormat="1" ht="30" customHeight="1" x14ac:dyDescent="0.2">
      <c r="A34" s="628">
        <v>1111</v>
      </c>
      <c r="B34" s="629" t="s">
        <v>1022</v>
      </c>
      <c r="C34" s="630">
        <f>(2500000*0.24754/100)*1000-188500</f>
        <v>6000000</v>
      </c>
      <c r="D34" s="630">
        <f>(2500000*0.24754/100)*1000-188500</f>
        <v>6000000</v>
      </c>
      <c r="E34" s="630">
        <v>6710044.5300000003</v>
      </c>
      <c r="F34" s="1051"/>
      <c r="G34" s="630"/>
      <c r="H34" s="1052"/>
      <c r="I34" s="631"/>
      <c r="J34" s="29">
        <v>2519618.54</v>
      </c>
    </row>
    <row r="35" spans="1:10" s="98" customFormat="1" ht="30" customHeight="1" x14ac:dyDescent="0.2">
      <c r="A35" s="628">
        <v>1112</v>
      </c>
      <c r="B35" s="629" t="s">
        <v>1023</v>
      </c>
      <c r="C35" s="632">
        <f>(2800000*0.161362/100)*1000-518136</f>
        <v>4000000</v>
      </c>
      <c r="D35" s="632">
        <f>(2800000*0.161362/100)*1000-518136</f>
        <v>4000000</v>
      </c>
      <c r="E35" s="632">
        <v>6097619.04</v>
      </c>
      <c r="F35" s="1053"/>
      <c r="G35" s="630"/>
      <c r="H35" s="1052"/>
      <c r="I35" s="631"/>
      <c r="J35" s="29">
        <v>1077942.93</v>
      </c>
    </row>
    <row r="36" spans="1:10" s="98" customFormat="1" ht="30" customHeight="1" x14ac:dyDescent="0.2">
      <c r="A36" s="628">
        <v>1113</v>
      </c>
      <c r="B36" s="629" t="s">
        <v>1024</v>
      </c>
      <c r="C36" s="632">
        <f>(9000000*0.161362/100)*1000-1522580</f>
        <v>13000000</v>
      </c>
      <c r="D36" s="632">
        <f>(9000000*0.161362/100)*1000-1522580</f>
        <v>13000000</v>
      </c>
      <c r="E36" s="632">
        <v>17598482.949999999</v>
      </c>
      <c r="F36" s="1053"/>
      <c r="G36" s="630"/>
      <c r="H36" s="1052"/>
      <c r="I36" s="631"/>
      <c r="J36" s="29">
        <v>5360026.38</v>
      </c>
    </row>
    <row r="37" spans="1:10" s="98" customFormat="1" ht="30" customHeight="1" x14ac:dyDescent="0.2">
      <c r="A37" s="628">
        <v>1121</v>
      </c>
      <c r="B37" s="629" t="s">
        <v>1025</v>
      </c>
      <c r="C37" s="632">
        <f>(63100000*0.161362/100)*1000-1819422</f>
        <v>100000000</v>
      </c>
      <c r="D37" s="632">
        <f>(63100000*0.161362/100)*1000-1819422</f>
        <v>100000000</v>
      </c>
      <c r="E37" s="632">
        <v>127564024.18000001</v>
      </c>
      <c r="F37" s="1053"/>
      <c r="G37" s="630"/>
      <c r="H37" s="1052"/>
      <c r="I37" s="631"/>
      <c r="J37" s="29">
        <v>37857824.100000001</v>
      </c>
    </row>
    <row r="38" spans="1:10" s="98" customFormat="1" ht="30" customHeight="1" x14ac:dyDescent="0.2">
      <c r="A38" s="628">
        <v>1122</v>
      </c>
      <c r="B38" s="634" t="s">
        <v>1026</v>
      </c>
      <c r="C38" s="635">
        <v>40000000</v>
      </c>
      <c r="D38" s="635">
        <f>40000000-10050300</f>
        <v>29949700</v>
      </c>
      <c r="E38" s="635">
        <v>29949700</v>
      </c>
      <c r="F38" s="652"/>
      <c r="G38" s="630"/>
      <c r="H38" s="1052"/>
      <c r="I38" s="639"/>
      <c r="J38" s="1037">
        <v>37622280</v>
      </c>
    </row>
    <row r="39" spans="1:10" s="98" customFormat="1" ht="30" customHeight="1" x14ac:dyDescent="0.2">
      <c r="A39" s="628">
        <v>1211</v>
      </c>
      <c r="B39" s="629" t="s">
        <v>1027</v>
      </c>
      <c r="C39" s="632">
        <f>(152800000*0.161362/100)*1000-1561136</f>
        <v>245000000.00000003</v>
      </c>
      <c r="D39" s="632">
        <f>(152800000*0.161362/100)*1000-1561136</f>
        <v>245000000.00000003</v>
      </c>
      <c r="E39" s="632">
        <v>229713528.34999999</v>
      </c>
      <c r="F39" s="1053"/>
      <c r="G39" s="630"/>
      <c r="H39" s="1052"/>
      <c r="I39" s="631"/>
      <c r="J39" s="29">
        <v>102333973.64</v>
      </c>
    </row>
    <row r="40" spans="1:10" s="98" customFormat="1" ht="30" customHeight="1" x14ac:dyDescent="0.2">
      <c r="A40" s="628">
        <v>1334</v>
      </c>
      <c r="B40" s="634" t="s">
        <v>1028</v>
      </c>
      <c r="C40" s="637">
        <v>50000</v>
      </c>
      <c r="D40" s="637">
        <f>50000+20000</f>
        <v>70000</v>
      </c>
      <c r="E40" s="637">
        <v>102260.8</v>
      </c>
      <c r="F40" s="644"/>
      <c r="G40" s="630"/>
      <c r="H40" s="1052"/>
      <c r="I40" s="639"/>
      <c r="J40" s="1037">
        <v>8254.7999999999993</v>
      </c>
    </row>
    <row r="41" spans="1:10" s="98" customFormat="1" ht="30" customHeight="1" x14ac:dyDescent="0.2">
      <c r="A41" s="628">
        <v>1335</v>
      </c>
      <c r="B41" s="629" t="s">
        <v>1029</v>
      </c>
      <c r="C41" s="637">
        <v>5000</v>
      </c>
      <c r="D41" s="637">
        <f>5000-3221.96</f>
        <v>1778.04</v>
      </c>
      <c r="E41" s="637">
        <v>1778.04</v>
      </c>
      <c r="F41" s="644"/>
      <c r="G41" s="630"/>
      <c r="H41" s="1052"/>
      <c r="I41" s="631"/>
      <c r="J41" s="29">
        <v>2693.04</v>
      </c>
    </row>
    <row r="42" spans="1:10" s="98" customFormat="1" ht="30" customHeight="1" x14ac:dyDescent="0.2">
      <c r="A42" s="628">
        <v>1336</v>
      </c>
      <c r="B42" s="629" t="s">
        <v>1030</v>
      </c>
      <c r="C42" s="637">
        <v>8400</v>
      </c>
      <c r="D42" s="637">
        <v>8400</v>
      </c>
      <c r="E42" s="637">
        <v>8400</v>
      </c>
      <c r="F42" s="644"/>
      <c r="G42" s="630"/>
      <c r="H42" s="1052"/>
      <c r="I42" s="631"/>
      <c r="J42" s="29">
        <v>8400</v>
      </c>
    </row>
    <row r="43" spans="1:10" s="98" customFormat="1" ht="30" customHeight="1" x14ac:dyDescent="0.2">
      <c r="A43" s="628">
        <v>1341</v>
      </c>
      <c r="B43" s="629" t="s">
        <v>1031</v>
      </c>
      <c r="C43" s="637">
        <v>600000</v>
      </c>
      <c r="D43" s="637">
        <v>600000</v>
      </c>
      <c r="E43" s="637">
        <v>619252.68000000005</v>
      </c>
      <c r="F43" s="644"/>
      <c r="G43" s="630"/>
      <c r="H43" s="1052"/>
      <c r="I43" s="631"/>
      <c r="J43" s="29">
        <v>516510.5</v>
      </c>
    </row>
    <row r="44" spans="1:10" s="98" customFormat="1" ht="30" customHeight="1" x14ac:dyDescent="0.2">
      <c r="A44" s="628">
        <v>1343</v>
      </c>
      <c r="B44" s="629" t="s">
        <v>1032</v>
      </c>
      <c r="C44" s="640">
        <f t="shared" ref="C44:D44" si="0">SUM(C45:C47)</f>
        <v>270000</v>
      </c>
      <c r="D44" s="640">
        <f t="shared" si="0"/>
        <v>532272</v>
      </c>
      <c r="E44" s="640">
        <v>958890</v>
      </c>
      <c r="F44" s="1054">
        <f>SUM(E45:E47)</f>
        <v>958890</v>
      </c>
      <c r="G44" s="630"/>
      <c r="H44" s="1052"/>
      <c r="I44" s="631"/>
      <c r="J44" s="29">
        <v>364666</v>
      </c>
    </row>
    <row r="45" spans="1:10" ht="30" customHeight="1" x14ac:dyDescent="0.2">
      <c r="A45" s="642"/>
      <c r="B45" s="643" t="s">
        <v>1034</v>
      </c>
      <c r="C45" s="644">
        <v>120000</v>
      </c>
      <c r="D45" s="644">
        <f>120000+76497+92417+24118</f>
        <v>313032</v>
      </c>
      <c r="E45" s="644">
        <v>412389</v>
      </c>
      <c r="F45" s="644"/>
      <c r="G45" s="1051"/>
      <c r="H45" s="1055"/>
      <c r="I45" s="1056"/>
      <c r="J45" s="29">
        <v>201426</v>
      </c>
    </row>
    <row r="46" spans="1:10" ht="30" customHeight="1" x14ac:dyDescent="0.2">
      <c r="A46" s="646"/>
      <c r="B46" s="643" t="s">
        <v>1035</v>
      </c>
      <c r="C46" s="644">
        <v>65000</v>
      </c>
      <c r="D46" s="644">
        <f>65000+36700</f>
        <v>101700</v>
      </c>
      <c r="E46" s="644">
        <v>367961</v>
      </c>
      <c r="F46" s="644"/>
      <c r="G46" s="1051"/>
      <c r="H46" s="1055"/>
      <c r="I46" s="1056"/>
      <c r="J46" s="29">
        <v>133130</v>
      </c>
    </row>
    <row r="47" spans="1:10" ht="30" customHeight="1" x14ac:dyDescent="0.2">
      <c r="A47" s="646"/>
      <c r="B47" s="643" t="s">
        <v>1036</v>
      </c>
      <c r="C47" s="644">
        <v>85000</v>
      </c>
      <c r="D47" s="644">
        <f>85000+32540</f>
        <v>117540</v>
      </c>
      <c r="E47" s="644">
        <v>178540</v>
      </c>
      <c r="F47" s="644"/>
      <c r="G47" s="1051"/>
      <c r="H47" s="1055"/>
      <c r="I47" s="1056"/>
      <c r="J47" s="29">
        <v>30110</v>
      </c>
    </row>
    <row r="48" spans="1:10" ht="30" customHeight="1" x14ac:dyDescent="0.2">
      <c r="A48" s="648">
        <v>1345</v>
      </c>
      <c r="B48" s="634" t="s">
        <v>1037</v>
      </c>
      <c r="C48" s="637">
        <v>12500000</v>
      </c>
      <c r="D48" s="637">
        <f>12500000+10674.12</f>
        <v>12510674.119999999</v>
      </c>
      <c r="E48" s="637">
        <v>12792365.57</v>
      </c>
      <c r="F48" s="644"/>
      <c r="G48" s="630"/>
      <c r="H48" s="1052"/>
      <c r="I48" s="639"/>
      <c r="J48" s="1037">
        <v>10620490.970000001</v>
      </c>
    </row>
    <row r="49" spans="1:10" s="98" customFormat="1" ht="30" customHeight="1" x14ac:dyDescent="0.2">
      <c r="A49" s="628">
        <v>1346</v>
      </c>
      <c r="B49" s="634" t="s">
        <v>1038</v>
      </c>
      <c r="C49" s="637">
        <v>121000</v>
      </c>
      <c r="D49" s="637">
        <f>121000+33700+20200+8100</f>
        <v>183000</v>
      </c>
      <c r="E49" s="637">
        <v>261000</v>
      </c>
      <c r="F49" s="644"/>
      <c r="G49" s="630"/>
      <c r="H49" s="1052"/>
      <c r="I49" s="639"/>
      <c r="J49" s="1037">
        <v>115900</v>
      </c>
    </row>
    <row r="50" spans="1:10" s="98" customFormat="1" ht="30" customHeight="1" x14ac:dyDescent="0.2">
      <c r="A50" s="628">
        <v>1353</v>
      </c>
      <c r="B50" s="629" t="s">
        <v>1039</v>
      </c>
      <c r="C50" s="637">
        <v>550000</v>
      </c>
      <c r="D50" s="637">
        <f>550000+78700</f>
        <v>628700</v>
      </c>
      <c r="E50" s="637">
        <v>849700</v>
      </c>
      <c r="F50" s="644"/>
      <c r="G50" s="630"/>
      <c r="H50" s="1052"/>
      <c r="I50" s="631"/>
      <c r="J50" s="29">
        <v>364700</v>
      </c>
    </row>
    <row r="51" spans="1:10" s="98" customFormat="1" ht="30" customHeight="1" x14ac:dyDescent="0.2">
      <c r="A51" s="628">
        <v>1356</v>
      </c>
      <c r="B51" s="629" t="s">
        <v>1040</v>
      </c>
      <c r="C51" s="635">
        <v>250000</v>
      </c>
      <c r="D51" s="635">
        <f>250000-7452.16</f>
        <v>242547.84</v>
      </c>
      <c r="E51" s="635">
        <v>242547.84</v>
      </c>
      <c r="F51" s="652"/>
      <c r="G51" s="630"/>
      <c r="H51" s="1052"/>
      <c r="I51" s="631"/>
      <c r="J51" s="29">
        <v>242547.84</v>
      </c>
    </row>
    <row r="52" spans="1:10" s="98" customFormat="1" ht="30" customHeight="1" x14ac:dyDescent="0.2">
      <c r="A52" s="628">
        <v>1361</v>
      </c>
      <c r="B52" s="629" t="s">
        <v>1042</v>
      </c>
      <c r="C52" s="640">
        <f>SUM(C53:C58)</f>
        <v>8488000</v>
      </c>
      <c r="D52" s="640">
        <f>SUM(D53:D58)</f>
        <v>8884670</v>
      </c>
      <c r="E52" s="640">
        <v>11040615</v>
      </c>
      <c r="F52" s="1054">
        <f>SUM(E53:E58)</f>
        <v>11040615</v>
      </c>
      <c r="G52" s="630"/>
      <c r="H52" s="1052"/>
      <c r="I52" s="631"/>
      <c r="J52" s="29">
        <v>6167740</v>
      </c>
    </row>
    <row r="53" spans="1:10" ht="30" customHeight="1" x14ac:dyDescent="0.2">
      <c r="A53" s="649"/>
      <c r="B53" s="650" t="s">
        <v>1873</v>
      </c>
      <c r="C53" s="644">
        <v>400000</v>
      </c>
      <c r="D53" s="644">
        <v>400000</v>
      </c>
      <c r="E53" s="644">
        <v>485010</v>
      </c>
      <c r="F53" s="644"/>
      <c r="G53" s="1051"/>
      <c r="H53" s="1055"/>
      <c r="I53" s="639"/>
      <c r="J53" s="1037">
        <v>239955</v>
      </c>
    </row>
    <row r="54" spans="1:10" ht="30" customHeight="1" x14ac:dyDescent="0.2">
      <c r="A54" s="646"/>
      <c r="B54" s="643" t="s">
        <v>1874</v>
      </c>
      <c r="C54" s="644">
        <v>5400000</v>
      </c>
      <c r="D54" s="644">
        <f>5400000+396670</f>
        <v>5796670</v>
      </c>
      <c r="E54" s="644">
        <v>6580350</v>
      </c>
      <c r="F54" s="644"/>
      <c r="G54" s="1051"/>
      <c r="H54" s="1055"/>
      <c r="I54" s="631"/>
      <c r="J54" s="29">
        <v>3237610</v>
      </c>
    </row>
    <row r="55" spans="1:10" ht="30" customHeight="1" x14ac:dyDescent="0.2">
      <c r="A55" s="642"/>
      <c r="B55" s="643" t="s">
        <v>1048</v>
      </c>
      <c r="C55" s="652">
        <v>1500000</v>
      </c>
      <c r="D55" s="652">
        <v>1500000</v>
      </c>
      <c r="E55" s="652">
        <v>2505255</v>
      </c>
      <c r="F55" s="652"/>
      <c r="G55" s="1051"/>
      <c r="H55" s="1055"/>
      <c r="I55" s="631"/>
      <c r="J55" s="29">
        <v>1849525</v>
      </c>
    </row>
    <row r="56" spans="1:10" ht="30" customHeight="1" x14ac:dyDescent="0.2">
      <c r="A56" s="646"/>
      <c r="B56" s="643" t="s">
        <v>1049</v>
      </c>
      <c r="C56" s="652">
        <v>182000</v>
      </c>
      <c r="D56" s="652">
        <v>182000</v>
      </c>
      <c r="E56" s="652">
        <v>236500</v>
      </c>
      <c r="F56" s="652"/>
      <c r="G56" s="1051"/>
      <c r="H56" s="1055"/>
      <c r="I56" s="631"/>
      <c r="J56" s="29">
        <v>114200</v>
      </c>
    </row>
    <row r="57" spans="1:10" ht="30" customHeight="1" x14ac:dyDescent="0.2">
      <c r="A57" s="646"/>
      <c r="B57" s="643" t="s">
        <v>1046</v>
      </c>
      <c r="C57" s="644">
        <v>1000000</v>
      </c>
      <c r="D57" s="644">
        <v>1000000</v>
      </c>
      <c r="E57" s="644">
        <v>1229100</v>
      </c>
      <c r="F57" s="644"/>
      <c r="G57" s="1051"/>
      <c r="H57" s="1055"/>
      <c r="I57" s="631"/>
      <c r="J57" s="29">
        <v>722050</v>
      </c>
    </row>
    <row r="58" spans="1:10" ht="30" customHeight="1" x14ac:dyDescent="0.2">
      <c r="A58" s="646"/>
      <c r="B58" s="643" t="s">
        <v>1050</v>
      </c>
      <c r="C58" s="644">
        <v>6000</v>
      </c>
      <c r="D58" s="644">
        <v>6000</v>
      </c>
      <c r="E58" s="644">
        <v>4400</v>
      </c>
      <c r="F58" s="644"/>
      <c r="G58" s="1051"/>
      <c r="H58" s="1055"/>
      <c r="I58" s="631"/>
      <c r="J58" s="29">
        <v>4400</v>
      </c>
    </row>
    <row r="59" spans="1:10" ht="30" customHeight="1" x14ac:dyDescent="0.2">
      <c r="A59" s="1057">
        <v>1381</v>
      </c>
      <c r="B59" s="629" t="s">
        <v>1052</v>
      </c>
      <c r="C59" s="637">
        <v>2500000</v>
      </c>
      <c r="D59" s="637">
        <f>2500000+559345.14</f>
        <v>3059345.14</v>
      </c>
      <c r="E59" s="637">
        <v>3256084.21</v>
      </c>
      <c r="F59" s="644"/>
      <c r="G59" s="630"/>
      <c r="H59" s="1052"/>
      <c r="I59" s="631"/>
      <c r="J59" s="29">
        <v>1630343.68</v>
      </c>
    </row>
    <row r="60" spans="1:10" ht="30" customHeight="1" x14ac:dyDescent="0.2">
      <c r="A60" s="1057">
        <v>1382</v>
      </c>
      <c r="B60" s="629" t="s">
        <v>2091</v>
      </c>
      <c r="C60" s="637">
        <v>0</v>
      </c>
      <c r="D60" s="637">
        <v>0</v>
      </c>
      <c r="E60" s="637">
        <v>37.590000000000003</v>
      </c>
      <c r="F60" s="644"/>
      <c r="G60" s="630"/>
      <c r="H60" s="1052"/>
      <c r="I60" s="631"/>
      <c r="J60" s="29">
        <v>1630343.68</v>
      </c>
    </row>
    <row r="61" spans="1:10" ht="30" customHeight="1" x14ac:dyDescent="0.2">
      <c r="A61" s="1057">
        <v>1385</v>
      </c>
      <c r="B61" s="629" t="s">
        <v>1056</v>
      </c>
      <c r="C61" s="637">
        <v>11000000</v>
      </c>
      <c r="D61" s="637">
        <f>11000000+3968238.12</f>
        <v>14968238.120000001</v>
      </c>
      <c r="E61" s="637">
        <v>20273951.399999999</v>
      </c>
      <c r="F61" s="644"/>
      <c r="G61" s="630"/>
      <c r="H61" s="1052"/>
      <c r="I61" s="631"/>
      <c r="J61" s="29">
        <v>8685691.1999999993</v>
      </c>
    </row>
    <row r="62" spans="1:10" s="98" customFormat="1" ht="30" customHeight="1" x14ac:dyDescent="0.2">
      <c r="A62" s="628">
        <v>1511</v>
      </c>
      <c r="B62" s="629" t="s">
        <v>1057</v>
      </c>
      <c r="C62" s="635">
        <v>11000000</v>
      </c>
      <c r="D62" s="635">
        <v>11000000</v>
      </c>
      <c r="E62" s="635">
        <v>12958084.01</v>
      </c>
      <c r="F62" s="652"/>
      <c r="G62" s="630"/>
      <c r="H62" s="1052"/>
      <c r="I62" s="631"/>
      <c r="J62" s="29">
        <v>8599475.7300000004</v>
      </c>
    </row>
    <row r="63" spans="1:10" s="98" customFormat="1" ht="30" customHeight="1" x14ac:dyDescent="0.2">
      <c r="A63" s="653"/>
      <c r="B63" s="654"/>
      <c r="C63" s="655"/>
      <c r="D63" s="655"/>
      <c r="E63" s="655"/>
      <c r="F63" s="682"/>
      <c r="G63" s="655"/>
      <c r="H63" s="655"/>
      <c r="I63" s="656"/>
      <c r="J63" s="29"/>
    </row>
    <row r="64" spans="1:10" s="244" customFormat="1" ht="30" customHeight="1" x14ac:dyDescent="0.25">
      <c r="A64" s="621"/>
      <c r="B64" s="657" t="s">
        <v>10</v>
      </c>
      <c r="C64" s="658">
        <f>SUM(C65,C78:C81,C93:C94,C109:C109,C123:C125,C144:C144)</f>
        <v>153980616.31999999</v>
      </c>
      <c r="D64" s="658">
        <f>SUM(D65,D78:D81,D93:D94,D109:D109,D123:D125,D144:D144)</f>
        <v>151716896.54000002</v>
      </c>
      <c r="E64" s="658">
        <v>166973128.58000001</v>
      </c>
      <c r="F64" s="1058">
        <f>SUM(E65,E78:E81,E93:E94,E109,E123:E125,E144)</f>
        <v>166945122.38000003</v>
      </c>
      <c r="G64" s="623"/>
      <c r="H64" s="623"/>
      <c r="I64" s="741"/>
      <c r="J64" s="29">
        <v>83102966.629999995</v>
      </c>
    </row>
    <row r="65" spans="1:60" s="98" customFormat="1" ht="30" customHeight="1" x14ac:dyDescent="0.2">
      <c r="A65" s="660">
        <v>2111</v>
      </c>
      <c r="B65" s="626" t="s">
        <v>1058</v>
      </c>
      <c r="C65" s="661">
        <f>SUM(C66:C77)</f>
        <v>14425500</v>
      </c>
      <c r="D65" s="661">
        <f>SUM(D66:D77)</f>
        <v>16237591.67</v>
      </c>
      <c r="E65" s="661">
        <v>19340538.010000002</v>
      </c>
      <c r="F65" s="1059">
        <f>SUM(E66:E77)</f>
        <v>19340538.010000002</v>
      </c>
      <c r="G65" s="630"/>
      <c r="H65" s="1052"/>
      <c r="I65" s="631"/>
      <c r="J65" s="29">
        <v>7239909.79</v>
      </c>
    </row>
    <row r="66" spans="1:60" ht="30" customHeight="1" x14ac:dyDescent="0.2">
      <c r="A66" s="663"/>
      <c r="B66" s="643" t="s">
        <v>1875</v>
      </c>
      <c r="C66" s="644">
        <v>0</v>
      </c>
      <c r="D66" s="644">
        <v>0</v>
      </c>
      <c r="E66" s="644">
        <v>360</v>
      </c>
      <c r="F66" s="644"/>
      <c r="G66" s="1051"/>
      <c r="H66" s="1055"/>
      <c r="I66" s="1056"/>
      <c r="J66" s="29">
        <v>0</v>
      </c>
    </row>
    <row r="67" spans="1:60" ht="30" customHeight="1" x14ac:dyDescent="0.2">
      <c r="A67" s="663"/>
      <c r="B67" s="643" t="s">
        <v>1059</v>
      </c>
      <c r="C67" s="644">
        <v>800000</v>
      </c>
      <c r="D67" s="644">
        <v>800000</v>
      </c>
      <c r="E67" s="644">
        <v>822240.89</v>
      </c>
      <c r="F67" s="644"/>
      <c r="G67" s="1051"/>
      <c r="H67" s="1055"/>
      <c r="I67" s="1056"/>
      <c r="J67" s="29">
        <v>333502.05</v>
      </c>
    </row>
    <row r="68" spans="1:60" ht="30" customHeight="1" x14ac:dyDescent="0.2">
      <c r="A68" s="664"/>
      <c r="B68" s="643" t="s">
        <v>1060</v>
      </c>
      <c r="C68" s="644">
        <v>869000</v>
      </c>
      <c r="D68" s="644">
        <v>869000</v>
      </c>
      <c r="E68" s="644">
        <v>1391590.51</v>
      </c>
      <c r="F68" s="644"/>
      <c r="G68" s="1051"/>
      <c r="H68" s="1055"/>
      <c r="I68" s="1056"/>
      <c r="J68" s="29">
        <v>354013.25</v>
      </c>
    </row>
    <row r="69" spans="1:60" s="665" customFormat="1" ht="30" customHeight="1" x14ac:dyDescent="0.2">
      <c r="A69" s="664"/>
      <c r="B69" s="643" t="s">
        <v>2092</v>
      </c>
      <c r="C69" s="644">
        <v>0</v>
      </c>
      <c r="D69" s="644">
        <v>0</v>
      </c>
      <c r="E69" s="644">
        <v>37377.89</v>
      </c>
      <c r="F69" s="644"/>
      <c r="G69" s="1051">
        <v>0</v>
      </c>
      <c r="H69" s="1055" t="e">
        <f>E69/D69*100</f>
        <v>#DIV/0!</v>
      </c>
      <c r="I69" s="1056">
        <v>0</v>
      </c>
      <c r="J69" s="29">
        <v>0</v>
      </c>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row>
    <row r="70" spans="1:60" s="665" customFormat="1" ht="30" customHeight="1" x14ac:dyDescent="0.2">
      <c r="A70" s="664"/>
      <c r="B70" s="643" t="s">
        <v>1876</v>
      </c>
      <c r="C70" s="644">
        <v>0</v>
      </c>
      <c r="D70" s="644">
        <v>20000</v>
      </c>
      <c r="E70" s="644">
        <v>20000</v>
      </c>
      <c r="F70" s="644"/>
      <c r="G70" s="1051"/>
      <c r="H70" s="1055"/>
      <c r="I70" s="1056"/>
      <c r="J70" s="29">
        <v>0</v>
      </c>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row>
    <row r="71" spans="1:60" s="665" customFormat="1" ht="30" customHeight="1" x14ac:dyDescent="0.2">
      <c r="A71" s="664"/>
      <c r="B71" s="643" t="s">
        <v>1877</v>
      </c>
      <c r="C71" s="644">
        <v>0</v>
      </c>
      <c r="D71" s="644">
        <v>87410</v>
      </c>
      <c r="E71" s="644">
        <v>92570</v>
      </c>
      <c r="F71" s="644"/>
      <c r="G71" s="1051"/>
      <c r="H71" s="1055"/>
      <c r="I71" s="1056"/>
      <c r="J71" s="29">
        <v>0</v>
      </c>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row>
    <row r="72" spans="1:60" s="665" customFormat="1" ht="30" customHeight="1" x14ac:dyDescent="0.2">
      <c r="A72" s="664"/>
      <c r="B72" s="643" t="s">
        <v>1061</v>
      </c>
      <c r="C72" s="644">
        <v>5555000</v>
      </c>
      <c r="D72" s="644">
        <f>5555000+1404681.67</f>
        <v>6959681.6699999999</v>
      </c>
      <c r="E72" s="644">
        <v>8569561.5800000001</v>
      </c>
      <c r="F72" s="644"/>
      <c r="G72" s="1051"/>
      <c r="H72" s="1055"/>
      <c r="I72" s="1056"/>
      <c r="J72" s="29">
        <v>2905809.97</v>
      </c>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row>
    <row r="73" spans="1:60" s="665" customFormat="1" ht="30" customHeight="1" x14ac:dyDescent="0.2">
      <c r="A73" s="664"/>
      <c r="B73" s="643" t="s">
        <v>1062</v>
      </c>
      <c r="C73" s="644">
        <v>1850000</v>
      </c>
      <c r="D73" s="644">
        <v>1850000</v>
      </c>
      <c r="E73" s="644">
        <v>1778560.14</v>
      </c>
      <c r="F73" s="644"/>
      <c r="G73" s="1051"/>
      <c r="H73" s="1055"/>
      <c r="I73" s="1056"/>
      <c r="J73" s="29">
        <v>961435.52</v>
      </c>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row>
    <row r="74" spans="1:60" s="665" customFormat="1" ht="30" customHeight="1" x14ac:dyDescent="0.2">
      <c r="A74" s="664"/>
      <c r="B74" s="643" t="s">
        <v>1063</v>
      </c>
      <c r="C74" s="644">
        <v>2600000</v>
      </c>
      <c r="D74" s="644">
        <v>2600000</v>
      </c>
      <c r="E74" s="644">
        <v>2685436</v>
      </c>
      <c r="F74" s="644"/>
      <c r="G74" s="1051"/>
      <c r="H74" s="1055"/>
      <c r="I74" s="1056"/>
      <c r="J74" s="29">
        <v>1279584</v>
      </c>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row>
    <row r="75" spans="1:60" ht="30" customHeight="1" x14ac:dyDescent="0.2">
      <c r="A75" s="664"/>
      <c r="B75" s="643" t="s">
        <v>1064</v>
      </c>
      <c r="C75" s="644">
        <v>2700000</v>
      </c>
      <c r="D75" s="644">
        <f>2700000+300000</f>
        <v>3000000</v>
      </c>
      <c r="E75" s="644">
        <v>3878384</v>
      </c>
      <c r="F75" s="644"/>
      <c r="G75" s="1051"/>
      <c r="H75" s="1055"/>
      <c r="I75" s="1056"/>
      <c r="J75" s="29">
        <v>1377054</v>
      </c>
    </row>
    <row r="76" spans="1:60" ht="30" customHeight="1" x14ac:dyDescent="0.2">
      <c r="A76" s="664"/>
      <c r="B76" s="643" t="s">
        <v>1065</v>
      </c>
      <c r="C76" s="644">
        <v>51000</v>
      </c>
      <c r="D76" s="644">
        <v>51000</v>
      </c>
      <c r="E76" s="644">
        <v>60200</v>
      </c>
      <c r="F76" s="644"/>
      <c r="G76" s="1051"/>
      <c r="H76" s="1055"/>
      <c r="I76" s="1056"/>
      <c r="J76" s="29">
        <v>26400</v>
      </c>
    </row>
    <row r="77" spans="1:60" ht="30" customHeight="1" x14ac:dyDescent="0.2">
      <c r="A77" s="664"/>
      <c r="B77" s="643" t="s">
        <v>1066</v>
      </c>
      <c r="C77" s="644">
        <v>500</v>
      </c>
      <c r="D77" s="644">
        <v>500</v>
      </c>
      <c r="E77" s="644">
        <v>4257</v>
      </c>
      <c r="F77" s="644"/>
      <c r="G77" s="1051"/>
      <c r="H77" s="1055"/>
      <c r="I77" s="1056"/>
      <c r="J77" s="29">
        <v>2111</v>
      </c>
    </row>
    <row r="78" spans="1:60" s="666" customFormat="1" ht="30" customHeight="1" x14ac:dyDescent="0.2">
      <c r="A78" s="663">
        <v>2119</v>
      </c>
      <c r="B78" s="634" t="s">
        <v>1067</v>
      </c>
      <c r="C78" s="637">
        <v>4041000</v>
      </c>
      <c r="D78" s="637">
        <v>4041000</v>
      </c>
      <c r="E78" s="637">
        <v>2327590.84</v>
      </c>
      <c r="F78" s="644"/>
      <c r="G78" s="630"/>
      <c r="H78" s="1052"/>
      <c r="I78" s="631"/>
      <c r="J78" s="29">
        <v>702922.68</v>
      </c>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c r="AL78" s="98"/>
      <c r="AM78" s="98"/>
      <c r="AN78" s="98"/>
      <c r="AO78" s="98"/>
      <c r="AP78" s="98"/>
      <c r="AQ78" s="98"/>
      <c r="AR78" s="98"/>
      <c r="AS78" s="98"/>
      <c r="AT78" s="98"/>
      <c r="AU78" s="98"/>
      <c r="AV78" s="98"/>
      <c r="AW78" s="98"/>
      <c r="AX78" s="98"/>
      <c r="AY78" s="98"/>
      <c r="AZ78" s="98"/>
      <c r="BA78" s="98"/>
      <c r="BB78" s="98"/>
      <c r="BC78" s="98"/>
      <c r="BD78" s="98"/>
      <c r="BE78" s="98"/>
      <c r="BF78" s="98"/>
      <c r="BG78" s="98"/>
      <c r="BH78" s="98"/>
    </row>
    <row r="79" spans="1:60" s="98" customFormat="1" ht="30" customHeight="1" x14ac:dyDescent="0.2">
      <c r="A79" s="663">
        <v>2122</v>
      </c>
      <c r="B79" s="629" t="s">
        <v>1068</v>
      </c>
      <c r="C79" s="667">
        <f>3482748.36+196380+4788</f>
        <v>3683916.36</v>
      </c>
      <c r="D79" s="667">
        <f>3482748.36+196380+4788+384+43797+270-3504+262743</f>
        <v>3987606.36</v>
      </c>
      <c r="E79" s="1184">
        <v>3967606.36</v>
      </c>
      <c r="F79" s="1060"/>
      <c r="G79" s="630"/>
      <c r="H79" s="1052"/>
      <c r="I79" s="631"/>
      <c r="J79" s="29">
        <v>1337575.1200000001</v>
      </c>
    </row>
    <row r="80" spans="1:60" s="98" customFormat="1" ht="30" customHeight="1" x14ac:dyDescent="0.2">
      <c r="A80" s="663">
        <v>2131</v>
      </c>
      <c r="B80" s="634" t="s">
        <v>1069</v>
      </c>
      <c r="C80" s="637">
        <v>1150000</v>
      </c>
      <c r="D80" s="637">
        <v>1150000</v>
      </c>
      <c r="E80" s="637">
        <v>1420119.04</v>
      </c>
      <c r="F80" s="644"/>
      <c r="G80" s="630"/>
      <c r="H80" s="1052"/>
      <c r="I80" s="639"/>
      <c r="J80" s="29">
        <v>1004538.64</v>
      </c>
    </row>
    <row r="81" spans="1:60" s="98" customFormat="1" ht="30" customHeight="1" x14ac:dyDescent="0.2">
      <c r="A81" s="663">
        <v>2132</v>
      </c>
      <c r="B81" s="629" t="s">
        <v>1070</v>
      </c>
      <c r="C81" s="635">
        <f>SUM(C82:C92)</f>
        <v>98533661.960000008</v>
      </c>
      <c r="D81" s="635">
        <f>SUM(D82:D92)</f>
        <v>91161123.960000008</v>
      </c>
      <c r="E81" s="635">
        <v>102691372</v>
      </c>
      <c r="F81" s="652">
        <f>SUM(E82:E92)</f>
        <v>102691372</v>
      </c>
      <c r="G81" s="630"/>
      <c r="H81" s="1052"/>
      <c r="I81" s="631"/>
      <c r="J81" s="29">
        <v>54065962.700000003</v>
      </c>
    </row>
    <row r="82" spans="1:60" ht="30" customHeight="1" x14ac:dyDescent="0.2">
      <c r="A82" s="664"/>
      <c r="B82" s="643" t="s">
        <v>1071</v>
      </c>
      <c r="C82" s="644">
        <v>750000</v>
      </c>
      <c r="D82" s="644">
        <v>750000</v>
      </c>
      <c r="E82" s="644">
        <v>771392.5</v>
      </c>
      <c r="F82" s="644"/>
      <c r="G82" s="1051"/>
      <c r="H82" s="1055"/>
      <c r="I82" s="1056"/>
      <c r="J82" s="29">
        <v>634260</v>
      </c>
    </row>
    <row r="83" spans="1:60" ht="30" customHeight="1" x14ac:dyDescent="0.2">
      <c r="A83" s="664"/>
      <c r="B83" s="643" t="s">
        <v>1072</v>
      </c>
      <c r="C83" s="644">
        <v>0</v>
      </c>
      <c r="D83" s="644">
        <v>0</v>
      </c>
      <c r="E83" s="644">
        <v>5481</v>
      </c>
      <c r="F83" s="644"/>
      <c r="G83" s="1051"/>
      <c r="H83" s="1055"/>
      <c r="I83" s="1056"/>
      <c r="J83" s="29">
        <v>425.71</v>
      </c>
    </row>
    <row r="84" spans="1:60" ht="30" customHeight="1" x14ac:dyDescent="0.2">
      <c r="A84" s="664"/>
      <c r="B84" s="643" t="s">
        <v>1073</v>
      </c>
      <c r="C84" s="644">
        <v>600000</v>
      </c>
      <c r="D84" s="644">
        <v>600000</v>
      </c>
      <c r="E84" s="644">
        <v>723683.48</v>
      </c>
      <c r="F84" s="644"/>
      <c r="G84" s="1051"/>
      <c r="H84" s="1055"/>
      <c r="I84" s="1056"/>
      <c r="J84" s="29">
        <v>456199.6</v>
      </c>
    </row>
    <row r="85" spans="1:60" s="665" customFormat="1" ht="30" customHeight="1" x14ac:dyDescent="0.2">
      <c r="A85" s="664"/>
      <c r="B85" s="643" t="s">
        <v>1074</v>
      </c>
      <c r="C85" s="644">
        <v>300000</v>
      </c>
      <c r="D85" s="644">
        <f>300000+9000</f>
        <v>309000</v>
      </c>
      <c r="E85" s="644">
        <v>308993.67</v>
      </c>
      <c r="F85" s="644"/>
      <c r="G85" s="1051"/>
      <c r="H85" s="1055"/>
      <c r="I85" s="1056"/>
      <c r="J85" s="29">
        <v>0</v>
      </c>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row>
    <row r="86" spans="1:60" s="665" customFormat="1" ht="30" customHeight="1" x14ac:dyDescent="0.2">
      <c r="A86" s="664"/>
      <c r="B86" s="650" t="s">
        <v>1075</v>
      </c>
      <c r="C86" s="644">
        <v>60721000</v>
      </c>
      <c r="D86" s="644">
        <v>60721000</v>
      </c>
      <c r="E86" s="644">
        <v>70360493.269999996</v>
      </c>
      <c r="F86" s="644"/>
      <c r="G86" s="1051"/>
      <c r="H86" s="1055"/>
      <c r="I86" s="670"/>
      <c r="J86" s="1037">
        <v>25280215.57</v>
      </c>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row>
    <row r="87" spans="1:60" ht="30" customHeight="1" x14ac:dyDescent="0.2">
      <c r="A87" s="664"/>
      <c r="B87" s="650" t="s">
        <v>1076</v>
      </c>
      <c r="C87" s="644">
        <v>110123.96</v>
      </c>
      <c r="D87" s="644">
        <v>110123.96</v>
      </c>
      <c r="E87" s="644">
        <v>116249.88</v>
      </c>
      <c r="F87" s="644"/>
      <c r="G87" s="1051"/>
      <c r="H87" s="1055"/>
      <c r="I87" s="1056"/>
      <c r="J87" s="29">
        <v>68108.899999999994</v>
      </c>
    </row>
    <row r="88" spans="1:60" ht="30" customHeight="1" x14ac:dyDescent="0.2">
      <c r="A88" s="664"/>
      <c r="B88" s="643" t="s">
        <v>1077</v>
      </c>
      <c r="C88" s="644">
        <v>470000</v>
      </c>
      <c r="D88" s="644">
        <v>470000</v>
      </c>
      <c r="E88" s="644">
        <v>536860.14</v>
      </c>
      <c r="F88" s="644"/>
      <c r="G88" s="1051"/>
      <c r="H88" s="1055"/>
      <c r="I88" s="1056"/>
      <c r="J88" s="29">
        <v>340073.15</v>
      </c>
    </row>
    <row r="89" spans="1:60" s="665" customFormat="1" ht="30" customHeight="1" x14ac:dyDescent="0.2">
      <c r="A89" s="664"/>
      <c r="B89" s="668" t="s">
        <v>1078</v>
      </c>
      <c r="C89" s="644">
        <v>16666000</v>
      </c>
      <c r="D89" s="644">
        <v>16666000</v>
      </c>
      <c r="E89" s="644">
        <v>18310830.059999999</v>
      </c>
      <c r="F89" s="644"/>
      <c r="G89" s="1051"/>
      <c r="H89" s="1055"/>
      <c r="I89" s="670"/>
      <c r="J89" s="1037">
        <v>27265685.77</v>
      </c>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row>
    <row r="90" spans="1:60" s="665" customFormat="1" ht="30" customHeight="1" x14ac:dyDescent="0.2">
      <c r="A90" s="664"/>
      <c r="B90" s="643" t="s">
        <v>1079</v>
      </c>
      <c r="C90" s="644">
        <v>18881538</v>
      </c>
      <c r="D90" s="644">
        <f>18881538-7381538</f>
        <v>11500000</v>
      </c>
      <c r="E90" s="644">
        <v>11500000</v>
      </c>
      <c r="F90" s="644"/>
      <c r="G90" s="1051"/>
      <c r="H90" s="1055"/>
      <c r="I90" s="1056"/>
      <c r="J90" s="29">
        <v>0</v>
      </c>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row>
    <row r="91" spans="1:60" s="665" customFormat="1" ht="30" customHeight="1" x14ac:dyDescent="0.2">
      <c r="A91" s="664"/>
      <c r="B91" s="643" t="s">
        <v>1080</v>
      </c>
      <c r="C91" s="644">
        <v>20000</v>
      </c>
      <c r="D91" s="644">
        <v>20000</v>
      </c>
      <c r="E91" s="644">
        <v>28300</v>
      </c>
      <c r="F91" s="644"/>
      <c r="G91" s="1051"/>
      <c r="H91" s="1055"/>
      <c r="I91" s="1056"/>
      <c r="J91" s="29">
        <v>10600</v>
      </c>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row>
    <row r="92" spans="1:60" ht="30" customHeight="1" x14ac:dyDescent="0.2">
      <c r="A92" s="664"/>
      <c r="B92" s="643" t="s">
        <v>1081</v>
      </c>
      <c r="C92" s="644">
        <v>15000</v>
      </c>
      <c r="D92" s="644">
        <v>15000</v>
      </c>
      <c r="E92" s="644">
        <v>29088</v>
      </c>
      <c r="F92" s="644"/>
      <c r="G92" s="1051"/>
      <c r="H92" s="1055"/>
      <c r="I92" s="1056"/>
      <c r="J92" s="29">
        <v>10394</v>
      </c>
    </row>
    <row r="93" spans="1:60" s="98" customFormat="1" ht="30" customHeight="1" x14ac:dyDescent="0.2">
      <c r="A93" s="663">
        <v>2141</v>
      </c>
      <c r="B93" s="629" t="s">
        <v>118</v>
      </c>
      <c r="C93" s="637">
        <v>10000</v>
      </c>
      <c r="D93" s="637">
        <v>10000</v>
      </c>
      <c r="E93" s="637">
        <v>3170.62</v>
      </c>
      <c r="F93" s="644"/>
      <c r="G93" s="630"/>
      <c r="H93" s="1052"/>
      <c r="I93" s="631"/>
      <c r="J93" s="29">
        <v>1172335.06</v>
      </c>
    </row>
    <row r="94" spans="1:60" s="98" customFormat="1" ht="30" customHeight="1" x14ac:dyDescent="0.2">
      <c r="A94" s="663">
        <v>2212</v>
      </c>
      <c r="B94" s="629" t="s">
        <v>1082</v>
      </c>
      <c r="C94" s="635">
        <f>SUM(C95:C108)</f>
        <v>11537000</v>
      </c>
      <c r="D94" s="635">
        <f>SUM(D95:D108)</f>
        <v>11889514.35</v>
      </c>
      <c r="E94" s="635">
        <v>13301812.58</v>
      </c>
      <c r="F94" s="652">
        <f>SUM(E95:E108)</f>
        <v>13301812.58</v>
      </c>
      <c r="G94" s="630"/>
      <c r="H94" s="1052"/>
      <c r="I94" s="631"/>
      <c r="J94" s="29">
        <v>4856758.91</v>
      </c>
    </row>
    <row r="95" spans="1:60" ht="30" customHeight="1" x14ac:dyDescent="0.2">
      <c r="A95" s="642"/>
      <c r="B95" s="643" t="s">
        <v>1084</v>
      </c>
      <c r="C95" s="644">
        <v>12000</v>
      </c>
      <c r="D95" s="644">
        <v>12000</v>
      </c>
      <c r="E95" s="644">
        <v>33900</v>
      </c>
      <c r="F95" s="644"/>
      <c r="G95" s="1051"/>
      <c r="H95" s="1055"/>
      <c r="I95" s="1056"/>
      <c r="J95" s="29">
        <v>4000</v>
      </c>
    </row>
    <row r="96" spans="1:60" ht="30" customHeight="1" x14ac:dyDescent="0.2">
      <c r="A96" s="664"/>
      <c r="B96" s="643" t="s">
        <v>121</v>
      </c>
      <c r="C96" s="644">
        <v>55000</v>
      </c>
      <c r="D96" s="644">
        <f>55000+36600</f>
        <v>91600</v>
      </c>
      <c r="E96" s="644">
        <v>120825</v>
      </c>
      <c r="F96" s="644"/>
      <c r="G96" s="1051"/>
      <c r="H96" s="1055"/>
      <c r="I96" s="1056"/>
      <c r="J96" s="29">
        <v>43600</v>
      </c>
    </row>
    <row r="97" spans="1:60" ht="30" customHeight="1" x14ac:dyDescent="0.2">
      <c r="A97" s="664"/>
      <c r="B97" s="643" t="s">
        <v>1878</v>
      </c>
      <c r="C97" s="669">
        <v>0</v>
      </c>
      <c r="D97" s="669">
        <f>(144589.67+12000)</f>
        <v>156589.67000000001</v>
      </c>
      <c r="E97" s="669">
        <v>168589.67</v>
      </c>
      <c r="F97" s="669"/>
      <c r="G97" s="1051"/>
      <c r="H97" s="1055"/>
      <c r="I97" s="1056"/>
      <c r="J97" s="29">
        <v>0</v>
      </c>
    </row>
    <row r="98" spans="1:60" ht="30" customHeight="1" x14ac:dyDescent="0.2">
      <c r="A98" s="664"/>
      <c r="B98" s="643" t="s">
        <v>1085</v>
      </c>
      <c r="C98" s="669">
        <v>2500000</v>
      </c>
      <c r="D98" s="669">
        <v>2500000</v>
      </c>
      <c r="E98" s="669">
        <f>2207653.52+1000+95600</f>
        <v>2304253.52</v>
      </c>
      <c r="F98" s="669"/>
      <c r="G98" s="1051"/>
      <c r="H98" s="1055"/>
      <c r="I98" s="1056"/>
      <c r="J98" s="29">
        <v>1412815.65</v>
      </c>
    </row>
    <row r="99" spans="1:60" ht="30" customHeight="1" x14ac:dyDescent="0.2">
      <c r="A99" s="664"/>
      <c r="B99" s="643" t="s">
        <v>1086</v>
      </c>
      <c r="C99" s="669">
        <v>7500000</v>
      </c>
      <c r="D99" s="669">
        <v>7500000</v>
      </c>
      <c r="E99" s="669">
        <f>1402450+6497660.87+1352554.39+4000-301000</f>
        <v>8955665.2599999998</v>
      </c>
      <c r="F99" s="669"/>
      <c r="G99" s="1051"/>
      <c r="H99" s="1055"/>
      <c r="I99" s="1056"/>
      <c r="J99" s="29">
        <v>2434360</v>
      </c>
    </row>
    <row r="100" spans="1:60" ht="30" customHeight="1" x14ac:dyDescent="0.2">
      <c r="A100" s="664"/>
      <c r="B100" s="643" t="s">
        <v>1879</v>
      </c>
      <c r="C100" s="669">
        <v>0</v>
      </c>
      <c r="D100" s="669">
        <v>0</v>
      </c>
      <c r="E100" s="669">
        <v>186900</v>
      </c>
      <c r="F100" s="669"/>
      <c r="G100" s="1051"/>
      <c r="H100" s="1055"/>
      <c r="I100" s="1056"/>
      <c r="J100" s="29">
        <v>0</v>
      </c>
    </row>
    <row r="101" spans="1:60" s="665" customFormat="1" ht="30" customHeight="1" x14ac:dyDescent="0.2">
      <c r="A101" s="664"/>
      <c r="B101" s="643" t="s">
        <v>1880</v>
      </c>
      <c r="C101" s="644">
        <v>400000</v>
      </c>
      <c r="D101" s="644">
        <v>400000</v>
      </c>
      <c r="E101" s="644">
        <v>39372.800000000003</v>
      </c>
      <c r="F101" s="644"/>
      <c r="G101" s="1051"/>
      <c r="H101" s="1055"/>
      <c r="I101" s="1056"/>
      <c r="J101" s="29">
        <v>354269.55</v>
      </c>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row>
    <row r="102" spans="1:60" s="665" customFormat="1" ht="30" customHeight="1" x14ac:dyDescent="0.2">
      <c r="A102" s="664"/>
      <c r="B102" s="643" t="s">
        <v>1881</v>
      </c>
      <c r="C102" s="644">
        <v>50000</v>
      </c>
      <c r="D102" s="644">
        <f>50000+65755.68</f>
        <v>115755.68</v>
      </c>
      <c r="E102" s="644">
        <v>115755.68</v>
      </c>
      <c r="F102" s="644"/>
      <c r="G102" s="1051"/>
      <c r="H102" s="1055"/>
      <c r="I102" s="1056"/>
      <c r="J102" s="29">
        <v>0</v>
      </c>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row>
    <row r="103" spans="1:60" ht="30" customHeight="1" x14ac:dyDescent="0.2">
      <c r="A103" s="664"/>
      <c r="B103" s="643" t="s">
        <v>126</v>
      </c>
      <c r="C103" s="644">
        <v>0</v>
      </c>
      <c r="D103" s="644">
        <v>28500</v>
      </c>
      <c r="E103" s="644">
        <v>36500</v>
      </c>
      <c r="F103" s="644"/>
      <c r="G103" s="1051"/>
      <c r="H103" s="1055"/>
      <c r="I103" s="1056"/>
      <c r="J103" s="29">
        <v>11500</v>
      </c>
    </row>
    <row r="104" spans="1:60" ht="30" customHeight="1" x14ac:dyDescent="0.2">
      <c r="A104" s="664"/>
      <c r="B104" s="643" t="s">
        <v>1089</v>
      </c>
      <c r="C104" s="644">
        <v>650000</v>
      </c>
      <c r="D104" s="644">
        <v>650000</v>
      </c>
      <c r="E104" s="644">
        <v>655460.4</v>
      </c>
      <c r="F104" s="644"/>
      <c r="G104" s="1051"/>
      <c r="H104" s="1055"/>
      <c r="I104" s="1056"/>
      <c r="J104" s="29">
        <v>391413.54</v>
      </c>
    </row>
    <row r="105" spans="1:60" ht="30" customHeight="1" x14ac:dyDescent="0.2">
      <c r="A105" s="664"/>
      <c r="B105" s="643" t="s">
        <v>2093</v>
      </c>
      <c r="C105" s="644">
        <v>0</v>
      </c>
      <c r="D105" s="644">
        <v>0</v>
      </c>
      <c r="E105" s="644">
        <v>240752</v>
      </c>
      <c r="F105" s="644"/>
      <c r="G105" s="1051" t="e">
        <f t="shared" ref="G105:G131" si="1">E105/C105*100</f>
        <v>#DIV/0!</v>
      </c>
      <c r="H105" s="1055" t="e">
        <f t="shared" ref="H105:H131" si="2">E105/D105*100</f>
        <v>#DIV/0!</v>
      </c>
      <c r="I105" s="1056">
        <f t="shared" ref="I105:I131" si="3">E105/J105*100</f>
        <v>151.20514998892426</v>
      </c>
      <c r="J105" s="29">
        <v>159222.09</v>
      </c>
    </row>
    <row r="106" spans="1:60" ht="30" customHeight="1" x14ac:dyDescent="0.2">
      <c r="A106" s="664"/>
      <c r="B106" s="643" t="s">
        <v>1090</v>
      </c>
      <c r="C106" s="644">
        <v>350000</v>
      </c>
      <c r="D106" s="644">
        <v>350000</v>
      </c>
      <c r="E106" s="644">
        <v>361469.25</v>
      </c>
      <c r="F106" s="644"/>
      <c r="G106" s="1051"/>
      <c r="H106" s="1055"/>
      <c r="I106" s="1056"/>
      <c r="J106" s="29">
        <v>159222.09</v>
      </c>
    </row>
    <row r="107" spans="1:60" s="126" customFormat="1" ht="30" customHeight="1" x14ac:dyDescent="0.2">
      <c r="A107" s="642"/>
      <c r="B107" s="643" t="s">
        <v>1091</v>
      </c>
      <c r="C107" s="644">
        <v>20000</v>
      </c>
      <c r="D107" s="644">
        <v>20000</v>
      </c>
      <c r="E107" s="644">
        <v>15100</v>
      </c>
      <c r="F107" s="644"/>
      <c r="G107" s="1051"/>
      <c r="H107" s="1055"/>
      <c r="I107" s="1056"/>
      <c r="J107" s="29">
        <v>15150</v>
      </c>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row>
    <row r="108" spans="1:60" s="126" customFormat="1" ht="30" customHeight="1" x14ac:dyDescent="0.2">
      <c r="A108" s="642"/>
      <c r="B108" s="643" t="s">
        <v>1882</v>
      </c>
      <c r="C108" s="644">
        <v>0</v>
      </c>
      <c r="D108" s="644">
        <v>65069</v>
      </c>
      <c r="E108" s="644">
        <v>67269</v>
      </c>
      <c r="F108" s="644"/>
      <c r="G108" s="1051"/>
      <c r="H108" s="1055"/>
      <c r="I108" s="1056"/>
      <c r="J108" s="29">
        <v>30428.080000000002</v>
      </c>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row>
    <row r="109" spans="1:60" ht="30" customHeight="1" x14ac:dyDescent="0.2">
      <c r="A109" s="663">
        <v>2229</v>
      </c>
      <c r="B109" s="629" t="s">
        <v>1093</v>
      </c>
      <c r="C109" s="635">
        <f>SUM(C110:C122)</f>
        <v>1000000</v>
      </c>
      <c r="D109" s="635">
        <f>SUM(D110:D122)</f>
        <v>8472639.0500000007</v>
      </c>
      <c r="E109" s="635">
        <v>9742837.3200000003</v>
      </c>
      <c r="F109" s="724">
        <f>SUM(E110:E122)</f>
        <v>9742837.3199999984</v>
      </c>
      <c r="G109" s="630"/>
      <c r="H109" s="1052"/>
      <c r="I109" s="631"/>
      <c r="J109" s="29">
        <v>9954116.1899999995</v>
      </c>
      <c r="K109" s="150"/>
    </row>
    <row r="110" spans="1:60" ht="30" customHeight="1" x14ac:dyDescent="0.2">
      <c r="A110" s="664"/>
      <c r="B110" s="643" t="s">
        <v>1883</v>
      </c>
      <c r="C110" s="644">
        <v>0</v>
      </c>
      <c r="D110" s="644">
        <f>(91051.59+159661.95)</f>
        <v>250713.54</v>
      </c>
      <c r="E110" s="644">
        <v>250713.54</v>
      </c>
      <c r="F110" s="644"/>
      <c r="G110" s="1051"/>
      <c r="H110" s="1055"/>
      <c r="I110" s="1056"/>
      <c r="J110" s="29">
        <v>139226.70000000001</v>
      </c>
      <c r="K110" s="150"/>
    </row>
    <row r="111" spans="1:60" ht="30" customHeight="1" x14ac:dyDescent="0.2">
      <c r="A111" s="664"/>
      <c r="B111" s="643" t="s">
        <v>1096</v>
      </c>
      <c r="C111" s="644">
        <v>0</v>
      </c>
      <c r="D111" s="644">
        <v>29886.84</v>
      </c>
      <c r="E111" s="644">
        <v>29886.84</v>
      </c>
      <c r="F111" s="644"/>
      <c r="G111" s="1051"/>
      <c r="H111" s="1055"/>
      <c r="I111" s="1056"/>
      <c r="J111" s="29">
        <v>126882.81</v>
      </c>
      <c r="K111" s="150"/>
    </row>
    <row r="112" spans="1:60" ht="30" customHeight="1" x14ac:dyDescent="0.2">
      <c r="A112" s="664"/>
      <c r="B112" s="643" t="s">
        <v>1097</v>
      </c>
      <c r="C112" s="644">
        <v>0</v>
      </c>
      <c r="D112" s="644">
        <v>305600.84999999998</v>
      </c>
      <c r="E112" s="644">
        <v>305600.84999999998</v>
      </c>
      <c r="F112" s="644"/>
      <c r="G112" s="1051"/>
      <c r="H112" s="1055"/>
      <c r="I112" s="1056"/>
      <c r="J112" s="29">
        <v>222108.03</v>
      </c>
      <c r="K112" s="150"/>
    </row>
    <row r="113" spans="1:60" ht="30" customHeight="1" x14ac:dyDescent="0.2">
      <c r="A113" s="664"/>
      <c r="B113" s="643" t="s">
        <v>1098</v>
      </c>
      <c r="C113" s="644">
        <v>0</v>
      </c>
      <c r="D113" s="644">
        <v>151277.28</v>
      </c>
      <c r="E113" s="644">
        <v>151277.28</v>
      </c>
      <c r="F113" s="644"/>
      <c r="G113" s="1051"/>
      <c r="H113" s="1055"/>
      <c r="I113" s="1056"/>
      <c r="J113" s="29">
        <v>233812</v>
      </c>
      <c r="K113" s="150"/>
    </row>
    <row r="114" spans="1:60" ht="30" customHeight="1" x14ac:dyDescent="0.2">
      <c r="A114" s="664"/>
      <c r="B114" s="643" t="s">
        <v>1099</v>
      </c>
      <c r="C114" s="644">
        <v>1000000</v>
      </c>
      <c r="D114" s="644">
        <f>1000000+5706845.54-1000000</f>
        <v>5706845.54</v>
      </c>
      <c r="E114" s="644">
        <v>5706845.54</v>
      </c>
      <c r="F114" s="644"/>
      <c r="G114" s="1051"/>
      <c r="H114" s="1055"/>
      <c r="I114" s="1056"/>
      <c r="J114" s="29">
        <v>8659062.2200000007</v>
      </c>
      <c r="K114" s="150"/>
    </row>
    <row r="115" spans="1:60" ht="30" customHeight="1" x14ac:dyDescent="0.2">
      <c r="A115" s="664"/>
      <c r="B115" s="643" t="s">
        <v>1884</v>
      </c>
      <c r="C115" s="644">
        <v>0</v>
      </c>
      <c r="D115" s="644">
        <v>1457025.42</v>
      </c>
      <c r="E115" s="644">
        <v>1457025.42</v>
      </c>
      <c r="F115" s="644"/>
      <c r="G115" s="1051"/>
      <c r="H115" s="1055"/>
      <c r="I115" s="1056"/>
      <c r="J115" s="29">
        <v>0</v>
      </c>
      <c r="K115" s="150"/>
    </row>
    <row r="116" spans="1:60" ht="30" customHeight="1" x14ac:dyDescent="0.2">
      <c r="A116" s="664"/>
      <c r="B116" s="643" t="s">
        <v>1100</v>
      </c>
      <c r="C116" s="644">
        <v>0</v>
      </c>
      <c r="D116" s="644">
        <f>265673.13</f>
        <v>265673.13</v>
      </c>
      <c r="E116" s="644">
        <f>2490+265673.13</f>
        <v>268163.13</v>
      </c>
      <c r="F116" s="644"/>
      <c r="G116" s="1051"/>
      <c r="H116" s="1055"/>
      <c r="I116" s="1056"/>
      <c r="J116" s="29">
        <v>0</v>
      </c>
      <c r="K116" s="150"/>
    </row>
    <row r="117" spans="1:60" ht="30" customHeight="1" x14ac:dyDescent="0.2">
      <c r="A117" s="664"/>
      <c r="B117" s="643" t="s">
        <v>1102</v>
      </c>
      <c r="C117" s="644">
        <v>0</v>
      </c>
      <c r="D117" s="644">
        <v>0</v>
      </c>
      <c r="E117" s="644">
        <f>3000+1264708.27</f>
        <v>1267708.27</v>
      </c>
      <c r="F117" s="644"/>
      <c r="G117" s="1051"/>
      <c r="H117" s="1055"/>
      <c r="I117" s="1056"/>
      <c r="J117" s="29">
        <v>321266.5</v>
      </c>
      <c r="K117" s="150"/>
    </row>
    <row r="118" spans="1:60" ht="30" customHeight="1" x14ac:dyDescent="0.2">
      <c r="A118" s="664"/>
      <c r="B118" s="643" t="s">
        <v>1104</v>
      </c>
      <c r="C118" s="644">
        <v>0</v>
      </c>
      <c r="D118" s="644">
        <f>(5360+147136)</f>
        <v>152496</v>
      </c>
      <c r="E118" s="644">
        <f>5360+147136</f>
        <v>152496</v>
      </c>
      <c r="F118" s="644"/>
      <c r="G118" s="1051"/>
      <c r="H118" s="1055"/>
      <c r="I118" s="1056"/>
      <c r="J118" s="29">
        <v>14066</v>
      </c>
      <c r="K118" s="150"/>
    </row>
    <row r="119" spans="1:60" ht="30" customHeight="1" x14ac:dyDescent="0.2">
      <c r="A119" s="832"/>
      <c r="B119" s="832" t="s">
        <v>2094</v>
      </c>
      <c r="C119" s="816">
        <v>0</v>
      </c>
      <c r="D119" s="816">
        <f>(1784.32+10111.13)</f>
        <v>11895.449999999999</v>
      </c>
      <c r="E119" s="1061">
        <v>11895.45</v>
      </c>
      <c r="F119" s="1061"/>
      <c r="G119" s="1051"/>
      <c r="H119" s="1055"/>
      <c r="I119" s="1056"/>
      <c r="J119" s="1062">
        <v>0</v>
      </c>
      <c r="K119" s="29"/>
      <c r="L119" s="150"/>
    </row>
    <row r="120" spans="1:60" ht="30" customHeight="1" x14ac:dyDescent="0.2">
      <c r="A120" s="832"/>
      <c r="B120" s="832" t="s">
        <v>1885</v>
      </c>
      <c r="C120" s="816">
        <v>0</v>
      </c>
      <c r="D120" s="816">
        <v>8015</v>
      </c>
      <c r="E120" s="1061">
        <v>8015</v>
      </c>
      <c r="F120" s="1061"/>
      <c r="G120" s="1051"/>
      <c r="H120" s="1055"/>
      <c r="I120" s="1056"/>
      <c r="J120" s="1062">
        <v>0</v>
      </c>
      <c r="K120" s="29"/>
      <c r="L120" s="150"/>
    </row>
    <row r="121" spans="1:60" ht="30" customHeight="1" x14ac:dyDescent="0.2">
      <c r="A121" s="832"/>
      <c r="B121" s="832" t="s">
        <v>1886</v>
      </c>
      <c r="C121" s="816">
        <v>0</v>
      </c>
      <c r="D121" s="816">
        <v>33210</v>
      </c>
      <c r="E121" s="1061">
        <v>33210</v>
      </c>
      <c r="F121" s="1061"/>
      <c r="G121" s="1051"/>
      <c r="H121" s="1055"/>
      <c r="I121" s="1056"/>
      <c r="J121" s="1062">
        <v>0</v>
      </c>
      <c r="K121" s="29"/>
      <c r="L121" s="150"/>
    </row>
    <row r="122" spans="1:60" ht="30" customHeight="1" x14ac:dyDescent="0.2">
      <c r="A122" s="832"/>
      <c r="B122" s="832" t="s">
        <v>1887</v>
      </c>
      <c r="C122" s="816">
        <v>0</v>
      </c>
      <c r="D122" s="816">
        <v>100000</v>
      </c>
      <c r="E122" s="1061">
        <v>100000</v>
      </c>
      <c r="F122" s="1061"/>
      <c r="G122" s="1051"/>
      <c r="H122" s="1055"/>
      <c r="I122" s="1056"/>
      <c r="J122" s="1062">
        <v>0</v>
      </c>
      <c r="K122" s="29"/>
      <c r="L122" s="150"/>
    </row>
    <row r="123" spans="1:60" ht="30" customHeight="1" x14ac:dyDescent="0.2">
      <c r="A123" s="663">
        <v>2321</v>
      </c>
      <c r="B123" s="629" t="s">
        <v>1107</v>
      </c>
      <c r="C123" s="637">
        <v>100000</v>
      </c>
      <c r="D123" s="637">
        <f>100000+5000</f>
        <v>105000</v>
      </c>
      <c r="E123" s="637">
        <v>105000</v>
      </c>
      <c r="F123" s="644"/>
      <c r="G123" s="630"/>
      <c r="H123" s="1052"/>
      <c r="I123" s="631"/>
      <c r="J123" s="29">
        <v>100000</v>
      </c>
    </row>
    <row r="124" spans="1:60" s="665" customFormat="1" ht="30" customHeight="1" x14ac:dyDescent="0.2">
      <c r="A124" s="663">
        <v>2322</v>
      </c>
      <c r="B124" s="629" t="s">
        <v>146</v>
      </c>
      <c r="C124" s="637">
        <v>20000</v>
      </c>
      <c r="D124" s="637">
        <f>20000+59931+206193+35583+4011</f>
        <v>325718</v>
      </c>
      <c r="E124" s="637">
        <v>532026</v>
      </c>
      <c r="F124" s="644"/>
      <c r="G124" s="630"/>
      <c r="H124" s="1052"/>
      <c r="I124" s="631"/>
      <c r="J124" s="29">
        <v>159214</v>
      </c>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row>
    <row r="125" spans="1:60" s="98" customFormat="1" ht="30" customHeight="1" x14ac:dyDescent="0.2">
      <c r="A125" s="663">
        <v>2324</v>
      </c>
      <c r="B125" s="629" t="s">
        <v>147</v>
      </c>
      <c r="C125" s="635">
        <f>SUM(C126:C142)</f>
        <v>4270000</v>
      </c>
      <c r="D125" s="635">
        <f>SUM(D126:D142)</f>
        <v>6821703.1500000004</v>
      </c>
      <c r="E125" s="635">
        <v>5979813.7999999998</v>
      </c>
      <c r="F125" s="652">
        <f>SUM(E126:E142)</f>
        <v>5979813.7999999998</v>
      </c>
      <c r="G125" s="630"/>
      <c r="H125" s="1052"/>
      <c r="I125" s="631"/>
      <c r="J125" s="29">
        <v>1390537.59</v>
      </c>
    </row>
    <row r="126" spans="1:60" s="98" customFormat="1" ht="30" customHeight="1" x14ac:dyDescent="0.2">
      <c r="A126" s="663"/>
      <c r="B126" s="629" t="s">
        <v>2096</v>
      </c>
      <c r="C126" s="644">
        <v>0</v>
      </c>
      <c r="D126" s="644">
        <v>901049</v>
      </c>
      <c r="E126" s="644">
        <v>901049</v>
      </c>
      <c r="F126" s="644"/>
      <c r="G126" s="1051"/>
      <c r="H126" s="1055"/>
      <c r="I126" s="1056"/>
      <c r="J126" s="29">
        <v>1282</v>
      </c>
    </row>
    <row r="127" spans="1:60" s="98" customFormat="1" ht="30" customHeight="1" x14ac:dyDescent="0.2">
      <c r="A127" s="663"/>
      <c r="B127" s="629" t="s">
        <v>1108</v>
      </c>
      <c r="C127" s="644">
        <v>0</v>
      </c>
      <c r="D127" s="644">
        <v>0</v>
      </c>
      <c r="E127" s="644">
        <v>1707</v>
      </c>
      <c r="F127" s="644"/>
      <c r="G127" s="1051"/>
      <c r="H127" s="1055"/>
      <c r="I127" s="1056"/>
      <c r="J127" s="29">
        <v>1282</v>
      </c>
    </row>
    <row r="128" spans="1:60" s="98" customFormat="1" ht="30" customHeight="1" x14ac:dyDescent="0.2">
      <c r="A128" s="642"/>
      <c r="B128" s="672" t="s">
        <v>1110</v>
      </c>
      <c r="C128" s="644">
        <v>12000</v>
      </c>
      <c r="D128" s="644">
        <v>12000</v>
      </c>
      <c r="E128" s="644">
        <v>12821.93</v>
      </c>
      <c r="F128" s="644"/>
      <c r="G128" s="1051"/>
      <c r="H128" s="1055"/>
      <c r="I128" s="1056"/>
      <c r="J128" s="29">
        <v>8527.7099999999991</v>
      </c>
    </row>
    <row r="129" spans="1:48" s="98" customFormat="1" ht="30" customHeight="1" x14ac:dyDescent="0.2">
      <c r="A129" s="663"/>
      <c r="B129" s="672" t="s">
        <v>1111</v>
      </c>
      <c r="C129" s="644">
        <v>30000</v>
      </c>
      <c r="D129" s="644">
        <v>30000</v>
      </c>
      <c r="E129" s="644">
        <v>45000</v>
      </c>
      <c r="F129" s="644"/>
      <c r="G129" s="1051"/>
      <c r="H129" s="1055"/>
      <c r="I129" s="1056"/>
      <c r="J129" s="29">
        <v>13000</v>
      </c>
    </row>
    <row r="130" spans="1:48" s="98" customFormat="1" ht="30" customHeight="1" x14ac:dyDescent="0.2">
      <c r="A130" s="663"/>
      <c r="B130" s="672" t="s">
        <v>1112</v>
      </c>
      <c r="C130" s="644">
        <v>200000</v>
      </c>
      <c r="D130" s="644">
        <f>200000-101945.85</f>
        <v>98054.15</v>
      </c>
      <c r="E130" s="644">
        <v>98054.15</v>
      </c>
      <c r="F130" s="644"/>
      <c r="G130" s="1051"/>
      <c r="H130" s="1055"/>
      <c r="I130" s="1056"/>
      <c r="J130" s="29">
        <v>66058.87</v>
      </c>
    </row>
    <row r="131" spans="1:48" s="98" customFormat="1" ht="30" customHeight="1" x14ac:dyDescent="0.2">
      <c r="A131" s="663"/>
      <c r="B131" s="672" t="s">
        <v>2097</v>
      </c>
      <c r="C131" s="644">
        <v>0</v>
      </c>
      <c r="D131" s="644">
        <v>0</v>
      </c>
      <c r="E131" s="644">
        <v>43999.4</v>
      </c>
      <c r="F131" s="644"/>
      <c r="G131" s="1051" t="e">
        <f t="shared" si="1"/>
        <v>#DIV/0!</v>
      </c>
      <c r="H131" s="1055" t="e">
        <f t="shared" si="2"/>
        <v>#DIV/0!</v>
      </c>
      <c r="I131" s="1056">
        <f t="shared" si="3"/>
        <v>66.606346732846021</v>
      </c>
      <c r="J131" s="29">
        <v>66058.87</v>
      </c>
    </row>
    <row r="132" spans="1:48" s="666" customFormat="1" ht="30" customHeight="1" x14ac:dyDescent="0.2">
      <c r="A132" s="663"/>
      <c r="B132" s="672" t="s">
        <v>1113</v>
      </c>
      <c r="C132" s="644">
        <v>300000</v>
      </c>
      <c r="D132" s="644">
        <v>300000</v>
      </c>
      <c r="E132" s="644">
        <v>295570.15999999997</v>
      </c>
      <c r="F132" s="644"/>
      <c r="G132" s="1051"/>
      <c r="H132" s="1055"/>
      <c r="I132" s="1056"/>
      <c r="J132" s="29">
        <v>248655.24</v>
      </c>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row>
    <row r="133" spans="1:48" s="158" customFormat="1" ht="30" customHeight="1" x14ac:dyDescent="0.2">
      <c r="A133" s="664"/>
      <c r="B133" s="643" t="s">
        <v>1116</v>
      </c>
      <c r="C133" s="644">
        <v>600000</v>
      </c>
      <c r="D133" s="644">
        <v>600000</v>
      </c>
      <c r="E133" s="644">
        <v>0</v>
      </c>
      <c r="F133" s="644"/>
      <c r="G133" s="1051"/>
      <c r="H133" s="1055"/>
      <c r="I133" s="1056"/>
      <c r="J133" s="1037">
        <v>0</v>
      </c>
    </row>
    <row r="134" spans="1:48" s="666" customFormat="1" ht="30" customHeight="1" x14ac:dyDescent="0.2">
      <c r="A134" s="663"/>
      <c r="B134" s="672" t="s">
        <v>1114</v>
      </c>
      <c r="C134" s="644">
        <v>15000</v>
      </c>
      <c r="D134" s="644">
        <v>15000</v>
      </c>
      <c r="E134" s="644">
        <v>1420</v>
      </c>
      <c r="F134" s="644"/>
      <c r="G134" s="1051"/>
      <c r="H134" s="1055"/>
      <c r="I134" s="1056"/>
      <c r="J134" s="29">
        <v>12236.86</v>
      </c>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row>
    <row r="135" spans="1:48" ht="30" customHeight="1" x14ac:dyDescent="0.2">
      <c r="A135" s="673"/>
      <c r="B135" s="674" t="s">
        <v>1888</v>
      </c>
      <c r="C135" s="644">
        <v>0</v>
      </c>
      <c r="D135" s="644">
        <v>145200</v>
      </c>
      <c r="E135" s="644">
        <v>145200</v>
      </c>
      <c r="F135" s="644"/>
      <c r="G135" s="1051"/>
      <c r="H135" s="1055"/>
      <c r="I135" s="1056"/>
      <c r="J135" s="29">
        <v>0</v>
      </c>
    </row>
    <row r="136" spans="1:48" ht="30" customHeight="1" x14ac:dyDescent="0.2">
      <c r="A136" s="673"/>
      <c r="B136" s="674" t="s">
        <v>1115</v>
      </c>
      <c r="C136" s="644">
        <v>25000</v>
      </c>
      <c r="D136" s="644">
        <v>25000</v>
      </c>
      <c r="E136" s="644">
        <v>438.57</v>
      </c>
      <c r="F136" s="644"/>
      <c r="G136" s="1051"/>
      <c r="H136" s="1055"/>
      <c r="I136" s="1056"/>
      <c r="J136" s="29">
        <v>19654</v>
      </c>
    </row>
    <row r="137" spans="1:48" s="158" customFormat="1" ht="30" customHeight="1" x14ac:dyDescent="0.2">
      <c r="A137" s="664"/>
      <c r="B137" s="643" t="s">
        <v>1117</v>
      </c>
      <c r="C137" s="644">
        <v>3000000</v>
      </c>
      <c r="D137" s="644">
        <v>3000000</v>
      </c>
      <c r="E137" s="644">
        <v>2730553.58</v>
      </c>
      <c r="F137" s="644"/>
      <c r="G137" s="1051"/>
      <c r="H137" s="1055"/>
      <c r="I137" s="1056"/>
      <c r="J137" s="1037">
        <v>930617.55</v>
      </c>
    </row>
    <row r="138" spans="1:48" s="158" customFormat="1" ht="30" customHeight="1" x14ac:dyDescent="0.2">
      <c r="A138" s="664"/>
      <c r="B138" s="643" t="s">
        <v>1889</v>
      </c>
      <c r="C138" s="644">
        <v>0</v>
      </c>
      <c r="D138" s="644">
        <v>0</v>
      </c>
      <c r="E138" s="644">
        <v>3000</v>
      </c>
      <c r="F138" s="644"/>
      <c r="G138" s="1051"/>
      <c r="H138" s="1055"/>
      <c r="I138" s="1056"/>
      <c r="J138" s="1037">
        <v>4500</v>
      </c>
    </row>
    <row r="139" spans="1:48" s="158" customFormat="1" ht="30" customHeight="1" x14ac:dyDescent="0.2">
      <c r="A139" s="664"/>
      <c r="B139" s="643" t="s">
        <v>1118</v>
      </c>
      <c r="C139" s="644">
        <v>3000</v>
      </c>
      <c r="D139" s="644">
        <v>3000</v>
      </c>
      <c r="E139" s="644">
        <v>1768.01</v>
      </c>
      <c r="F139" s="644"/>
      <c r="G139" s="1051"/>
      <c r="H139" s="1055"/>
      <c r="I139" s="1056"/>
      <c r="J139" s="1037">
        <v>979.37</v>
      </c>
    </row>
    <row r="140" spans="1:48" s="158" customFormat="1" ht="30" customHeight="1" x14ac:dyDescent="0.2">
      <c r="A140" s="664"/>
      <c r="B140" s="643" t="s">
        <v>1119</v>
      </c>
      <c r="C140" s="644">
        <v>70000</v>
      </c>
      <c r="D140" s="644">
        <v>70000</v>
      </c>
      <c r="E140" s="644">
        <v>57943.63</v>
      </c>
      <c r="F140" s="644"/>
      <c r="G140" s="1051"/>
      <c r="H140" s="1055"/>
      <c r="I140" s="1056"/>
      <c r="J140" s="1037">
        <v>34470.94</v>
      </c>
    </row>
    <row r="141" spans="1:48" s="158" customFormat="1" ht="30" customHeight="1" x14ac:dyDescent="0.2">
      <c r="A141" s="642"/>
      <c r="B141" s="643" t="s">
        <v>1121</v>
      </c>
      <c r="C141" s="644">
        <v>15000</v>
      </c>
      <c r="D141" s="644">
        <v>15000</v>
      </c>
      <c r="E141" s="644">
        <v>33888.370000000003</v>
      </c>
      <c r="F141" s="644"/>
      <c r="G141" s="1051"/>
      <c r="H141" s="1055"/>
      <c r="I141" s="1056"/>
      <c r="J141" s="1037">
        <v>10299.200000000001</v>
      </c>
    </row>
    <row r="142" spans="1:48" s="158" customFormat="1" ht="30" customHeight="1" x14ac:dyDescent="0.2">
      <c r="A142" s="1063"/>
      <c r="B142" s="1064" t="s">
        <v>1890</v>
      </c>
      <c r="C142" s="644">
        <v>0</v>
      </c>
      <c r="D142" s="644">
        <f>227100+232500+210000+231000+234000+241800+231000</f>
        <v>1607400</v>
      </c>
      <c r="E142" s="695">
        <v>1607400</v>
      </c>
      <c r="F142" s="695"/>
      <c r="G142" s="1051"/>
      <c r="H142" s="1055"/>
      <c r="I142" s="1056"/>
      <c r="J142" s="1062">
        <v>0</v>
      </c>
      <c r="K142" s="29"/>
    </row>
    <row r="143" spans="1:48" s="98" customFormat="1" ht="30" customHeight="1" x14ac:dyDescent="0.2">
      <c r="A143" s="663">
        <v>2328</v>
      </c>
      <c r="B143" s="629" t="s">
        <v>163</v>
      </c>
      <c r="C143" s="635">
        <v>0</v>
      </c>
      <c r="D143" s="635">
        <v>0</v>
      </c>
      <c r="E143" s="635">
        <v>4356.2</v>
      </c>
      <c r="F143" s="652"/>
      <c r="G143" s="630"/>
      <c r="H143" s="1052"/>
      <c r="I143" s="631"/>
      <c r="J143" s="29">
        <v>65419.8</v>
      </c>
    </row>
    <row r="144" spans="1:48" s="98" customFormat="1" ht="30" customHeight="1" x14ac:dyDescent="0.2">
      <c r="A144" s="663">
        <v>2329</v>
      </c>
      <c r="B144" s="629" t="s">
        <v>164</v>
      </c>
      <c r="C144" s="635">
        <f>SUM(C145:C158)</f>
        <v>15209538</v>
      </c>
      <c r="D144" s="635">
        <f>SUM(D145:D158)</f>
        <v>7515000</v>
      </c>
      <c r="E144" s="635">
        <v>7533235.8099999996</v>
      </c>
      <c r="F144" s="652">
        <f>SUM(E145:E158)</f>
        <v>7533235.5099999998</v>
      </c>
      <c r="G144" s="630"/>
      <c r="H144" s="1052"/>
      <c r="I144" s="631"/>
      <c r="J144" s="29">
        <v>1017128.66</v>
      </c>
    </row>
    <row r="145" spans="1:48" ht="30" customHeight="1" x14ac:dyDescent="0.2">
      <c r="A145" s="664"/>
      <c r="B145" s="643" t="s">
        <v>1123</v>
      </c>
      <c r="C145" s="644">
        <v>5000</v>
      </c>
      <c r="D145" s="644">
        <v>5000</v>
      </c>
      <c r="E145" s="644">
        <v>0</v>
      </c>
      <c r="F145" s="644"/>
      <c r="G145" s="1051"/>
      <c r="H145" s="1055"/>
      <c r="I145" s="1056"/>
      <c r="J145" s="29">
        <v>0</v>
      </c>
    </row>
    <row r="146" spans="1:48" ht="30" customHeight="1" x14ac:dyDescent="0.2">
      <c r="A146" s="664"/>
      <c r="B146" s="643" t="s">
        <v>1891</v>
      </c>
      <c r="C146" s="644">
        <v>200000</v>
      </c>
      <c r="D146" s="644">
        <f>200000+50000</f>
        <v>250000</v>
      </c>
      <c r="E146" s="644">
        <v>267500</v>
      </c>
      <c r="F146" s="644"/>
      <c r="G146" s="1051"/>
      <c r="H146" s="1055"/>
      <c r="I146" s="1056"/>
      <c r="J146" s="29">
        <v>102960</v>
      </c>
    </row>
    <row r="147" spans="1:48" s="665" customFormat="1" ht="30" customHeight="1" x14ac:dyDescent="0.2">
      <c r="A147" s="664"/>
      <c r="B147" s="643" t="s">
        <v>1124</v>
      </c>
      <c r="C147" s="644">
        <v>500000</v>
      </c>
      <c r="D147" s="644">
        <v>500000</v>
      </c>
      <c r="E147" s="644">
        <v>677833</v>
      </c>
      <c r="F147" s="644"/>
      <c r="G147" s="1051"/>
      <c r="H147" s="1055"/>
      <c r="I147" s="1056"/>
      <c r="J147" s="29">
        <v>839167.2</v>
      </c>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row>
    <row r="148" spans="1:48" s="665" customFormat="1" ht="30" customHeight="1" x14ac:dyDescent="0.2">
      <c r="A148" s="664"/>
      <c r="B148" s="643" t="s">
        <v>1126</v>
      </c>
      <c r="C148" s="644">
        <v>20000</v>
      </c>
      <c r="D148" s="644">
        <v>20000</v>
      </c>
      <c r="E148" s="644">
        <v>0</v>
      </c>
      <c r="F148" s="644"/>
      <c r="G148" s="1051"/>
      <c r="H148" s="1055"/>
      <c r="I148" s="1056"/>
      <c r="J148" s="29">
        <v>0</v>
      </c>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row>
    <row r="149" spans="1:48" ht="30" customHeight="1" x14ac:dyDescent="0.2">
      <c r="A149" s="664"/>
      <c r="B149" s="643" t="s">
        <v>1128</v>
      </c>
      <c r="C149" s="644">
        <v>50000</v>
      </c>
      <c r="D149" s="644">
        <v>50000</v>
      </c>
      <c r="E149" s="644">
        <v>54858.25</v>
      </c>
      <c r="F149" s="644"/>
      <c r="G149" s="1051"/>
      <c r="H149" s="1055"/>
      <c r="I149" s="1056"/>
      <c r="J149" s="29">
        <v>15927</v>
      </c>
    </row>
    <row r="150" spans="1:48" ht="30" customHeight="1" x14ac:dyDescent="0.2">
      <c r="A150" s="664"/>
      <c r="B150" s="643" t="s">
        <v>2098</v>
      </c>
      <c r="C150" s="644">
        <v>0</v>
      </c>
      <c r="D150" s="644">
        <v>6400000</v>
      </c>
      <c r="E150" s="644">
        <v>6400000</v>
      </c>
      <c r="F150" s="644"/>
      <c r="G150" s="1051"/>
      <c r="H150" s="1055"/>
      <c r="I150" s="1056"/>
    </row>
    <row r="151" spans="1:48" ht="30" customHeight="1" x14ac:dyDescent="0.2">
      <c r="A151" s="664"/>
      <c r="B151" s="643" t="s">
        <v>1129</v>
      </c>
      <c r="C151" s="644">
        <v>40000</v>
      </c>
      <c r="D151" s="644">
        <v>40000</v>
      </c>
      <c r="E151" s="644">
        <v>45080</v>
      </c>
      <c r="F151" s="644"/>
      <c r="G151" s="1051"/>
      <c r="H151" s="1055"/>
      <c r="I151" s="1056"/>
      <c r="J151" s="29">
        <v>26150</v>
      </c>
    </row>
    <row r="152" spans="1:48" ht="30" customHeight="1" x14ac:dyDescent="0.2">
      <c r="A152" s="664"/>
      <c r="B152" s="643" t="s">
        <v>1131</v>
      </c>
      <c r="C152" s="652">
        <v>5500000</v>
      </c>
      <c r="D152" s="652">
        <f>5500000-5500000</f>
        <v>0</v>
      </c>
      <c r="E152" s="652">
        <v>0</v>
      </c>
      <c r="F152" s="652"/>
      <c r="G152" s="1051"/>
      <c r="H152" s="1055"/>
      <c r="I152" s="1056"/>
      <c r="J152" s="29">
        <v>0</v>
      </c>
    </row>
    <row r="153" spans="1:48" ht="30" customHeight="1" x14ac:dyDescent="0.2">
      <c r="A153" s="664"/>
      <c r="B153" s="650" t="s">
        <v>1132</v>
      </c>
      <c r="C153" s="644">
        <v>7500000</v>
      </c>
      <c r="D153" s="644">
        <f>7500000-7500000</f>
        <v>0</v>
      </c>
      <c r="E153" s="644">
        <v>0</v>
      </c>
      <c r="F153" s="644"/>
      <c r="G153" s="1051"/>
      <c r="H153" s="1055"/>
      <c r="I153" s="670"/>
      <c r="J153" s="1037">
        <v>0</v>
      </c>
    </row>
    <row r="154" spans="1:48" ht="30" customHeight="1" x14ac:dyDescent="0.2">
      <c r="A154" s="664"/>
      <c r="B154" s="650" t="s">
        <v>1133</v>
      </c>
      <c r="C154" s="652">
        <v>1144538</v>
      </c>
      <c r="D154" s="652">
        <f>1144538-1144538</f>
        <v>0</v>
      </c>
      <c r="E154" s="652">
        <v>0</v>
      </c>
      <c r="F154" s="652"/>
      <c r="G154" s="1051"/>
      <c r="H154" s="1055"/>
      <c r="I154" s="670"/>
      <c r="J154" s="1037">
        <v>0</v>
      </c>
    </row>
    <row r="155" spans="1:48" ht="30" customHeight="1" x14ac:dyDescent="0.2">
      <c r="A155" s="663"/>
      <c r="B155" s="672" t="s">
        <v>1136</v>
      </c>
      <c r="C155" s="644">
        <v>250000</v>
      </c>
      <c r="D155" s="644">
        <v>250000</v>
      </c>
      <c r="E155" s="644">
        <v>0</v>
      </c>
      <c r="F155" s="644"/>
      <c r="G155" s="1051"/>
      <c r="H155" s="1055"/>
      <c r="I155" s="1056"/>
      <c r="J155" s="29">
        <v>0</v>
      </c>
    </row>
    <row r="156" spans="1:48" ht="30" customHeight="1" x14ac:dyDescent="0.2">
      <c r="A156" s="664"/>
      <c r="B156" s="643" t="s">
        <v>1137</v>
      </c>
      <c r="C156" s="644">
        <v>0</v>
      </c>
      <c r="D156" s="644">
        <v>0</v>
      </c>
      <c r="E156" s="644">
        <v>5578</v>
      </c>
      <c r="F156" s="644"/>
      <c r="G156" s="1051"/>
      <c r="H156" s="1055"/>
      <c r="I156" s="1056"/>
      <c r="J156" s="29">
        <v>1499</v>
      </c>
    </row>
    <row r="157" spans="1:48" ht="30" customHeight="1" x14ac:dyDescent="0.2">
      <c r="A157" s="664"/>
      <c r="B157" s="643" t="s">
        <v>1892</v>
      </c>
      <c r="C157" s="644">
        <v>0</v>
      </c>
      <c r="D157" s="644">
        <v>0</v>
      </c>
      <c r="E157" s="644">
        <v>33196.83</v>
      </c>
      <c r="F157" s="644"/>
      <c r="G157" s="1051"/>
      <c r="H157" s="1055"/>
      <c r="I157" s="1056"/>
      <c r="J157" s="29">
        <v>-3600</v>
      </c>
    </row>
    <row r="158" spans="1:48" ht="30" customHeight="1" x14ac:dyDescent="0.2">
      <c r="A158" s="664"/>
      <c r="B158" s="643" t="s">
        <v>1893</v>
      </c>
      <c r="C158" s="644">
        <v>0</v>
      </c>
      <c r="D158" s="644">
        <v>0</v>
      </c>
      <c r="E158" s="644">
        <f>39630.95+9558.48</f>
        <v>49189.429999999993</v>
      </c>
      <c r="F158" s="644"/>
      <c r="G158" s="1051"/>
      <c r="H158" s="1055"/>
      <c r="I158" s="1056"/>
      <c r="J158" s="29">
        <v>14734</v>
      </c>
    </row>
    <row r="159" spans="1:48" ht="30" customHeight="1" x14ac:dyDescent="0.2">
      <c r="A159" s="680"/>
      <c r="B159" s="681"/>
      <c r="C159" s="682"/>
      <c r="D159" s="682"/>
      <c r="E159" s="682"/>
      <c r="F159" s="682"/>
      <c r="G159" s="682"/>
      <c r="H159" s="682"/>
      <c r="I159" s="683"/>
    </row>
    <row r="160" spans="1:48" s="244" customFormat="1" ht="30" customHeight="1" x14ac:dyDescent="0.25">
      <c r="A160" s="1065"/>
      <c r="B160" s="1066" t="s">
        <v>11</v>
      </c>
      <c r="C160" s="840">
        <f>SUM(C161,C162,C163,C168:C168,C171)</f>
        <v>87239000</v>
      </c>
      <c r="D160" s="840">
        <f>SUM(D161,D162,D163,D167:D168,D171)</f>
        <v>71196111</v>
      </c>
      <c r="E160" s="840">
        <v>69233422.5</v>
      </c>
      <c r="F160" s="1067">
        <f>SUM(E161:E162,E163,E167:E168,E171)</f>
        <v>69233422.5</v>
      </c>
      <c r="G160" s="623"/>
      <c r="H160" s="623"/>
      <c r="I160" s="741"/>
      <c r="J160" s="29">
        <v>25489562.5</v>
      </c>
    </row>
    <row r="161" spans="1:48" s="98" customFormat="1" ht="30" customHeight="1" x14ac:dyDescent="0.2">
      <c r="A161" s="660">
        <v>3111</v>
      </c>
      <c r="B161" s="688" t="s">
        <v>1140</v>
      </c>
      <c r="C161" s="637">
        <v>69855000</v>
      </c>
      <c r="D161" s="637">
        <v>69855000</v>
      </c>
      <c r="E161" s="637">
        <v>61931621.5</v>
      </c>
      <c r="F161" s="644"/>
      <c r="G161" s="630"/>
      <c r="H161" s="1052"/>
      <c r="I161" s="639"/>
      <c r="J161" s="1037">
        <v>22280177.5</v>
      </c>
    </row>
    <row r="162" spans="1:48" s="98" customFormat="1" ht="30" customHeight="1" x14ac:dyDescent="0.2">
      <c r="A162" s="660">
        <v>3111</v>
      </c>
      <c r="B162" s="688" t="s">
        <v>1141</v>
      </c>
      <c r="C162" s="637">
        <v>600000</v>
      </c>
      <c r="D162" s="637">
        <v>600000</v>
      </c>
      <c r="E162" s="637">
        <v>6560690</v>
      </c>
      <c r="F162" s="644"/>
      <c r="G162" s="630"/>
      <c r="H162" s="1052"/>
      <c r="I162" s="631"/>
      <c r="J162" s="29">
        <v>2709385</v>
      </c>
    </row>
    <row r="163" spans="1:48" s="98" customFormat="1" ht="30" customHeight="1" x14ac:dyDescent="0.2">
      <c r="A163" s="663">
        <v>3112</v>
      </c>
      <c r="B163" s="629" t="s">
        <v>178</v>
      </c>
      <c r="C163" s="635">
        <f>SUM(C164:C166)</f>
        <v>13384000</v>
      </c>
      <c r="D163" s="635">
        <f>SUM(D164:D166)</f>
        <v>0</v>
      </c>
      <c r="E163" s="635">
        <v>0</v>
      </c>
      <c r="F163" s="652"/>
      <c r="G163" s="630"/>
      <c r="H163" s="1052"/>
      <c r="I163" s="631"/>
      <c r="J163" s="29">
        <v>0</v>
      </c>
    </row>
    <row r="164" spans="1:48" s="666" customFormat="1" ht="30" customHeight="1" x14ac:dyDescent="0.2">
      <c r="A164" s="663"/>
      <c r="B164" s="690" t="s">
        <v>1142</v>
      </c>
      <c r="C164" s="652">
        <v>4081000</v>
      </c>
      <c r="D164" s="652">
        <f>4081000-4081000</f>
        <v>0</v>
      </c>
      <c r="E164" s="652">
        <v>0</v>
      </c>
      <c r="F164" s="652"/>
      <c r="G164" s="1051"/>
      <c r="H164" s="1055"/>
      <c r="I164" s="1056"/>
      <c r="J164" s="29">
        <v>0</v>
      </c>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row>
    <row r="165" spans="1:48" s="666" customFormat="1" ht="30" customHeight="1" x14ac:dyDescent="0.2">
      <c r="A165" s="663"/>
      <c r="B165" s="643" t="s">
        <v>1143</v>
      </c>
      <c r="C165" s="644">
        <v>5103000</v>
      </c>
      <c r="D165" s="644">
        <f>5103000-5103000</f>
        <v>0</v>
      </c>
      <c r="E165" s="644">
        <v>0</v>
      </c>
      <c r="F165" s="644"/>
      <c r="G165" s="1051"/>
      <c r="H165" s="1055"/>
      <c r="I165" s="1056"/>
      <c r="J165" s="29">
        <v>0</v>
      </c>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row>
    <row r="166" spans="1:48" s="666" customFormat="1" ht="30" customHeight="1" x14ac:dyDescent="0.2">
      <c r="A166" s="663"/>
      <c r="B166" s="690" t="s">
        <v>1145</v>
      </c>
      <c r="C166" s="644">
        <v>4200000</v>
      </c>
      <c r="D166" s="644">
        <f>4200000-4200000</f>
        <v>0</v>
      </c>
      <c r="E166" s="644">
        <v>0</v>
      </c>
      <c r="F166" s="644"/>
      <c r="G166" s="1051"/>
      <c r="H166" s="1055"/>
      <c r="I166" s="1056"/>
      <c r="J166" s="29">
        <v>0</v>
      </c>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row>
    <row r="167" spans="1:48" s="98" customFormat="1" ht="30" customHeight="1" x14ac:dyDescent="0.2">
      <c r="A167" s="663">
        <v>3113</v>
      </c>
      <c r="B167" s="634" t="s">
        <v>2100</v>
      </c>
      <c r="C167" s="637">
        <f>C168</f>
        <v>0</v>
      </c>
      <c r="D167" s="637">
        <v>121111</v>
      </c>
      <c r="E167" s="637">
        <v>121111</v>
      </c>
      <c r="F167" s="644"/>
      <c r="G167" s="630"/>
      <c r="H167" s="1052"/>
      <c r="I167" s="631"/>
      <c r="J167" s="29">
        <v>500000</v>
      </c>
    </row>
    <row r="168" spans="1:48" s="98" customFormat="1" ht="30" customHeight="1" x14ac:dyDescent="0.2">
      <c r="A168" s="663">
        <v>3121</v>
      </c>
      <c r="B168" s="634" t="s">
        <v>1150</v>
      </c>
      <c r="C168" s="637">
        <f>SUM(C169:C170)</f>
        <v>0</v>
      </c>
      <c r="D168" s="637">
        <f>SUM(D169:D170)</f>
        <v>620000</v>
      </c>
      <c r="E168" s="637">
        <v>620000</v>
      </c>
      <c r="F168" s="644"/>
      <c r="G168" s="630"/>
      <c r="H168" s="1052"/>
      <c r="I168" s="631"/>
      <c r="J168" s="29">
        <v>500000</v>
      </c>
    </row>
    <row r="169" spans="1:48" s="98" customFormat="1" ht="30" customHeight="1" x14ac:dyDescent="0.2">
      <c r="A169" s="663"/>
      <c r="B169" s="634" t="s">
        <v>1894</v>
      </c>
      <c r="C169" s="644">
        <v>0</v>
      </c>
      <c r="D169" s="644">
        <v>220000</v>
      </c>
      <c r="E169" s="644">
        <v>220000</v>
      </c>
      <c r="F169" s="644"/>
      <c r="G169" s="1051"/>
      <c r="H169" s="1055"/>
      <c r="I169" s="1056"/>
      <c r="J169" s="29">
        <v>0</v>
      </c>
    </row>
    <row r="170" spans="1:48" s="98" customFormat="1" ht="30" customHeight="1" x14ac:dyDescent="0.2">
      <c r="A170" s="663"/>
      <c r="B170" s="634" t="s">
        <v>2101</v>
      </c>
      <c r="C170" s="644">
        <v>0</v>
      </c>
      <c r="D170" s="644">
        <f>500000-100000</f>
        <v>400000</v>
      </c>
      <c r="E170" s="644">
        <v>400000</v>
      </c>
      <c r="F170" s="644"/>
      <c r="G170" s="1051"/>
      <c r="H170" s="1055"/>
      <c r="I170" s="1056"/>
      <c r="J170" s="29">
        <v>0</v>
      </c>
    </row>
    <row r="171" spans="1:48" s="98" customFormat="1" ht="30" customHeight="1" x14ac:dyDescent="0.2">
      <c r="A171" s="663">
        <v>3129</v>
      </c>
      <c r="B171" s="629" t="s">
        <v>191</v>
      </c>
      <c r="C171" s="635">
        <f>SUM(C172:C173)</f>
        <v>3400000</v>
      </c>
      <c r="D171" s="635">
        <f>SUM(D172:D173)</f>
        <v>0</v>
      </c>
      <c r="E171" s="635">
        <v>0</v>
      </c>
      <c r="F171" s="652"/>
      <c r="G171" s="630"/>
      <c r="H171" s="1052"/>
      <c r="I171" s="631"/>
      <c r="J171" s="29">
        <v>0</v>
      </c>
    </row>
    <row r="172" spans="1:48" s="98" customFormat="1" ht="30" customHeight="1" x14ac:dyDescent="0.2">
      <c r="A172" s="692"/>
      <c r="B172" s="690" t="s">
        <v>1153</v>
      </c>
      <c r="C172" s="644">
        <v>2200000</v>
      </c>
      <c r="D172" s="644">
        <f>2200000-2200000</f>
        <v>0</v>
      </c>
      <c r="E172" s="644">
        <v>0</v>
      </c>
      <c r="F172" s="644"/>
      <c r="G172" s="1051"/>
      <c r="H172" s="1055"/>
      <c r="I172" s="1056"/>
      <c r="J172" s="29">
        <v>0</v>
      </c>
      <c r="K172" s="150"/>
    </row>
    <row r="173" spans="1:48" s="98" customFormat="1" ht="30" customHeight="1" x14ac:dyDescent="0.2">
      <c r="A173" s="697"/>
      <c r="B173" s="643" t="s">
        <v>1158</v>
      </c>
      <c r="C173" s="695">
        <v>1200000</v>
      </c>
      <c r="D173" s="695">
        <f>1200000-1200000</f>
        <v>0</v>
      </c>
      <c r="E173" s="695">
        <v>0</v>
      </c>
      <c r="F173" s="695"/>
      <c r="G173" s="1051"/>
      <c r="H173" s="1055"/>
      <c r="I173" s="1056"/>
      <c r="J173" s="29">
        <v>0</v>
      </c>
    </row>
    <row r="174" spans="1:48" s="98" customFormat="1" ht="30" customHeight="1" x14ac:dyDescent="0.2">
      <c r="A174" s="699"/>
      <c r="B174" s="700"/>
      <c r="C174" s="682"/>
      <c r="D174" s="682"/>
      <c r="E174" s="682"/>
      <c r="F174" s="682"/>
      <c r="G174" s="682"/>
      <c r="H174" s="682"/>
      <c r="I174" s="583"/>
      <c r="J174" s="29"/>
    </row>
    <row r="175" spans="1:48" s="244" customFormat="1" ht="30" customHeight="1" x14ac:dyDescent="0.25">
      <c r="A175" s="621"/>
      <c r="B175" s="701" t="s">
        <v>196</v>
      </c>
      <c r="C175" s="702">
        <f>SUM(C176,C179,C180,C196,C204,C217,C218,C220,C227)</f>
        <v>66897844.799999997</v>
      </c>
      <c r="D175" s="702">
        <f>SUM(D176,D179,D180,D196,D204,D217,D218,D220,D227)</f>
        <v>105572217.61</v>
      </c>
      <c r="E175" s="702">
        <v>106080240.73999999</v>
      </c>
      <c r="F175" s="1068">
        <f>SUM(E176,E179:E180,E196,E204,E217:E218,E220,E227)</f>
        <v>106080240.73999999</v>
      </c>
      <c r="G175" s="623"/>
      <c r="H175" s="623"/>
      <c r="I175" s="1069"/>
      <c r="J175" s="29">
        <v>69932302.819999993</v>
      </c>
    </row>
    <row r="176" spans="1:48" s="98" customFormat="1" ht="30" customHeight="1" x14ac:dyDescent="0.2">
      <c r="A176" s="703">
        <v>4111</v>
      </c>
      <c r="B176" s="704" t="s">
        <v>197</v>
      </c>
      <c r="C176" s="705">
        <f>SUM(C177:C178)</f>
        <v>0</v>
      </c>
      <c r="D176" s="705">
        <f>SUM(D177:D178)</f>
        <v>867905.41</v>
      </c>
      <c r="E176" s="705">
        <v>867905.41</v>
      </c>
      <c r="F176" s="706">
        <f>SUM(E177:E178)</f>
        <v>867905.41</v>
      </c>
      <c r="G176" s="630"/>
      <c r="H176" s="1052"/>
      <c r="I176" s="631"/>
      <c r="J176" s="29">
        <v>1462984.33</v>
      </c>
    </row>
    <row r="177" spans="1:12" s="98" customFormat="1" ht="30" customHeight="1" x14ac:dyDescent="0.2">
      <c r="A177" s="707"/>
      <c r="B177" s="708" t="s">
        <v>1895</v>
      </c>
      <c r="C177" s="709">
        <v>0</v>
      </c>
      <c r="D177" s="709">
        <v>864200</v>
      </c>
      <c r="E177" s="709">
        <v>864200</v>
      </c>
      <c r="F177" s="709"/>
      <c r="G177" s="1051"/>
      <c r="H177" s="1055"/>
      <c r="I177" s="1056"/>
      <c r="J177" s="29">
        <v>0</v>
      </c>
    </row>
    <row r="178" spans="1:12" s="98" customFormat="1" ht="30" customHeight="1" x14ac:dyDescent="0.2">
      <c r="A178" s="707"/>
      <c r="B178" s="708" t="s">
        <v>1896</v>
      </c>
      <c r="C178" s="709">
        <v>0</v>
      </c>
      <c r="D178" s="709">
        <v>3705.41</v>
      </c>
      <c r="E178" s="709">
        <v>3705.41</v>
      </c>
      <c r="F178" s="709"/>
      <c r="G178" s="1051"/>
      <c r="H178" s="1055"/>
      <c r="I178" s="1056"/>
      <c r="J178" s="29">
        <v>0</v>
      </c>
    </row>
    <row r="179" spans="1:12" ht="30" customHeight="1" x14ac:dyDescent="0.2">
      <c r="A179" s="660">
        <v>4112</v>
      </c>
      <c r="B179" s="688" t="s">
        <v>1166</v>
      </c>
      <c r="C179" s="637">
        <v>43668300</v>
      </c>
      <c r="D179" s="637">
        <f>43668300+2499800</f>
        <v>46168100</v>
      </c>
      <c r="E179" s="637">
        <v>46168100</v>
      </c>
      <c r="F179" s="644"/>
      <c r="G179" s="630"/>
      <c r="H179" s="1052"/>
      <c r="I179" s="639"/>
      <c r="J179" s="1037">
        <v>21834150</v>
      </c>
    </row>
    <row r="180" spans="1:12" s="98" customFormat="1" ht="30" customHeight="1" x14ac:dyDescent="0.2">
      <c r="A180" s="663">
        <v>4116</v>
      </c>
      <c r="B180" s="629" t="s">
        <v>201</v>
      </c>
      <c r="C180" s="635">
        <f>SUM(C182:C195)</f>
        <v>700000</v>
      </c>
      <c r="D180" s="635">
        <f>SUM(D181:D195)</f>
        <v>24130394.16</v>
      </c>
      <c r="E180" s="635">
        <v>24130394.16</v>
      </c>
      <c r="F180" s="652">
        <f>SUM(E181:E195)</f>
        <v>24130394.16</v>
      </c>
      <c r="G180" s="630"/>
      <c r="H180" s="1052"/>
      <c r="I180" s="631"/>
      <c r="J180" s="29">
        <v>11892801.4</v>
      </c>
    </row>
    <row r="181" spans="1:12" ht="30" customHeight="1" x14ac:dyDescent="0.2">
      <c r="A181" s="664"/>
      <c r="B181" s="643" t="s">
        <v>1897</v>
      </c>
      <c r="C181" s="644">
        <v>0</v>
      </c>
      <c r="D181" s="644">
        <f>(59357.27+504536.84)</f>
        <v>563894.11</v>
      </c>
      <c r="E181" s="644">
        <v>563894.11</v>
      </c>
      <c r="F181" s="644"/>
      <c r="G181" s="1051"/>
      <c r="H181" s="1055"/>
      <c r="I181" s="1056"/>
      <c r="J181" s="29">
        <v>0</v>
      </c>
    </row>
    <row r="182" spans="1:12" ht="30" customHeight="1" x14ac:dyDescent="0.2">
      <c r="A182" s="664"/>
      <c r="B182" s="643" t="s">
        <v>1898</v>
      </c>
      <c r="C182" s="644">
        <v>0</v>
      </c>
      <c r="D182" s="644">
        <v>1059598</v>
      </c>
      <c r="E182" s="644">
        <v>1059598</v>
      </c>
      <c r="F182" s="644"/>
      <c r="G182" s="1051"/>
      <c r="H182" s="1055"/>
      <c r="I182" s="1056"/>
      <c r="J182" s="29">
        <v>1144538</v>
      </c>
    </row>
    <row r="183" spans="1:12" ht="30" customHeight="1" x14ac:dyDescent="0.2">
      <c r="A183" s="663"/>
      <c r="B183" s="672" t="s">
        <v>1899</v>
      </c>
      <c r="C183" s="644">
        <v>0</v>
      </c>
      <c r="D183" s="644">
        <v>8304000</v>
      </c>
      <c r="E183" s="644">
        <v>8304000</v>
      </c>
      <c r="F183" s="644"/>
      <c r="G183" s="1051"/>
      <c r="H183" s="1055"/>
      <c r="I183" s="1056"/>
      <c r="J183" s="29">
        <v>7476000</v>
      </c>
    </row>
    <row r="184" spans="1:12" ht="30" customHeight="1" x14ac:dyDescent="0.2">
      <c r="A184" s="663"/>
      <c r="B184" s="672" t="s">
        <v>2102</v>
      </c>
      <c r="C184" s="644">
        <v>0</v>
      </c>
      <c r="D184" s="644">
        <v>114563.55</v>
      </c>
      <c r="E184" s="644">
        <v>114563.55</v>
      </c>
      <c r="F184" s="644"/>
      <c r="G184" s="1051"/>
      <c r="H184" s="1055"/>
      <c r="I184" s="1056"/>
      <c r="J184" s="29">
        <v>7476000</v>
      </c>
    </row>
    <row r="185" spans="1:12" s="2" customFormat="1" ht="30" customHeight="1" x14ac:dyDescent="0.2">
      <c r="A185" s="715"/>
      <c r="B185" s="693" t="s">
        <v>1900</v>
      </c>
      <c r="C185" s="652">
        <v>0</v>
      </c>
      <c r="D185" s="652">
        <f t="shared" ref="D185:D186" si="4">(635.25+12705)</f>
        <v>13340.25</v>
      </c>
      <c r="E185" s="652">
        <v>13340.25</v>
      </c>
      <c r="F185" s="652"/>
      <c r="G185" s="1051"/>
      <c r="H185" s="1055"/>
      <c r="I185" s="1056"/>
      <c r="J185" s="88">
        <v>0</v>
      </c>
    </row>
    <row r="186" spans="1:12" s="2" customFormat="1" ht="30" customHeight="1" x14ac:dyDescent="0.2">
      <c r="A186" s="715"/>
      <c r="B186" s="693" t="s">
        <v>1901</v>
      </c>
      <c r="C186" s="652">
        <v>0</v>
      </c>
      <c r="D186" s="652">
        <f t="shared" si="4"/>
        <v>13340.25</v>
      </c>
      <c r="E186" s="652">
        <v>13340.25</v>
      </c>
      <c r="F186" s="652"/>
      <c r="G186" s="1051"/>
      <c r="H186" s="1055"/>
      <c r="I186" s="1056"/>
      <c r="J186" s="88">
        <v>0</v>
      </c>
    </row>
    <row r="187" spans="1:12" s="2" customFormat="1" ht="30" customHeight="1" x14ac:dyDescent="0.2">
      <c r="A187" s="715"/>
      <c r="B187" s="693" t="s">
        <v>2103</v>
      </c>
      <c r="C187" s="652">
        <v>0</v>
      </c>
      <c r="D187" s="652">
        <f>(2117.5+35997.5)</f>
        <v>38115</v>
      </c>
      <c r="E187" s="652">
        <v>38115</v>
      </c>
      <c r="F187" s="652"/>
      <c r="G187" s="1051"/>
      <c r="H187" s="1055"/>
      <c r="I187" s="1056"/>
      <c r="J187" s="88">
        <v>0</v>
      </c>
    </row>
    <row r="188" spans="1:12" s="98" customFormat="1" ht="30" customHeight="1" x14ac:dyDescent="0.2">
      <c r="A188" s="692"/>
      <c r="B188" s="643" t="s">
        <v>1902</v>
      </c>
      <c r="C188" s="644">
        <v>0</v>
      </c>
      <c r="D188" s="644">
        <v>14200</v>
      </c>
      <c r="E188" s="644">
        <v>14200</v>
      </c>
      <c r="F188" s="644"/>
      <c r="G188" s="1051"/>
      <c r="H188" s="1055"/>
      <c r="I188" s="1056"/>
      <c r="J188" s="29">
        <v>0</v>
      </c>
      <c r="K188" s="150"/>
    </row>
    <row r="189" spans="1:12" s="98" customFormat="1" ht="30" customHeight="1" x14ac:dyDescent="0.2">
      <c r="A189" s="692"/>
      <c r="B189" s="643" t="s">
        <v>1903</v>
      </c>
      <c r="C189" s="644">
        <v>200000</v>
      </c>
      <c r="D189" s="644">
        <f>200000+35205-108238</f>
        <v>126967</v>
      </c>
      <c r="E189" s="644">
        <v>126967</v>
      </c>
      <c r="F189" s="644"/>
      <c r="G189" s="1051"/>
      <c r="H189" s="1055"/>
      <c r="I189" s="1056"/>
      <c r="J189" s="29">
        <v>0</v>
      </c>
      <c r="K189" s="150"/>
    </row>
    <row r="190" spans="1:12" s="98" customFormat="1" ht="30" customHeight="1" x14ac:dyDescent="0.2">
      <c r="A190" s="1070"/>
      <c r="B190" s="832" t="s">
        <v>2104</v>
      </c>
      <c r="C190" s="816">
        <v>0</v>
      </c>
      <c r="D190" s="816">
        <f>(949089.62+3130384.38)</f>
        <v>4079474</v>
      </c>
      <c r="E190" s="1071">
        <v>4079474</v>
      </c>
      <c r="F190" s="1071"/>
      <c r="G190" s="1051"/>
      <c r="H190" s="1055"/>
      <c r="I190" s="1056"/>
      <c r="J190" s="1072">
        <v>0</v>
      </c>
      <c r="K190" s="29"/>
      <c r="L190" s="150"/>
    </row>
    <row r="191" spans="1:12" s="98" customFormat="1" ht="30" customHeight="1" x14ac:dyDescent="0.2">
      <c r="A191" s="1070"/>
      <c r="B191" s="832" t="s">
        <v>1904</v>
      </c>
      <c r="C191" s="816">
        <v>0</v>
      </c>
      <c r="D191" s="816">
        <f>(1005316.48+3315837.52)</f>
        <v>4321154</v>
      </c>
      <c r="E191" s="1071">
        <v>4321154</v>
      </c>
      <c r="F191" s="1071"/>
      <c r="G191" s="1051"/>
      <c r="H191" s="1055"/>
      <c r="I191" s="1056"/>
      <c r="J191" s="1072">
        <v>0</v>
      </c>
      <c r="K191" s="29"/>
      <c r="L191" s="150"/>
    </row>
    <row r="192" spans="1:12" s="98" customFormat="1" ht="30" customHeight="1" x14ac:dyDescent="0.2">
      <c r="A192" s="1070"/>
      <c r="B192" s="832" t="s">
        <v>1905</v>
      </c>
      <c r="C192" s="816">
        <v>0</v>
      </c>
      <c r="D192" s="816">
        <f>(519876.2+1714708.8)</f>
        <v>2234585</v>
      </c>
      <c r="E192" s="1071">
        <v>2234585</v>
      </c>
      <c r="F192" s="1071"/>
      <c r="G192" s="1051"/>
      <c r="H192" s="1055"/>
      <c r="I192" s="1056"/>
      <c r="J192" s="1072">
        <v>0</v>
      </c>
      <c r="K192" s="29"/>
      <c r="L192" s="150"/>
    </row>
    <row r="193" spans="1:12" s="98" customFormat="1" ht="30" customHeight="1" x14ac:dyDescent="0.2">
      <c r="A193" s="1070"/>
      <c r="B193" s="832" t="s">
        <v>1906</v>
      </c>
      <c r="C193" s="816">
        <v>0</v>
      </c>
      <c r="D193" s="816">
        <f>(551883.72+1820279.28)</f>
        <v>2372163</v>
      </c>
      <c r="E193" s="1071">
        <v>2372163</v>
      </c>
      <c r="F193" s="1071"/>
      <c r="G193" s="1051"/>
      <c r="H193" s="1055"/>
      <c r="I193" s="1056"/>
      <c r="J193" s="1072">
        <v>0</v>
      </c>
      <c r="K193" s="29"/>
      <c r="L193" s="150"/>
    </row>
    <row r="194" spans="1:12" s="98" customFormat="1" ht="30" customHeight="1" x14ac:dyDescent="0.2">
      <c r="A194" s="692"/>
      <c r="B194" s="643" t="s">
        <v>1907</v>
      </c>
      <c r="C194" s="644">
        <v>0</v>
      </c>
      <c r="D194" s="644">
        <v>100000</v>
      </c>
      <c r="E194" s="644">
        <v>100000</v>
      </c>
      <c r="F194" s="644"/>
      <c r="G194" s="1051"/>
      <c r="H194" s="1055"/>
      <c r="I194" s="1056"/>
      <c r="J194" s="29">
        <v>0</v>
      </c>
      <c r="K194" s="150"/>
    </row>
    <row r="195" spans="1:12" s="98" customFormat="1" ht="30" customHeight="1" x14ac:dyDescent="0.2">
      <c r="A195" s="692"/>
      <c r="B195" s="650" t="s">
        <v>1908</v>
      </c>
      <c r="C195" s="644">
        <v>500000</v>
      </c>
      <c r="D195" s="644">
        <f>500000+(775000-500000)</f>
        <v>775000</v>
      </c>
      <c r="E195" s="1073">
        <v>775000</v>
      </c>
      <c r="F195" s="1073"/>
      <c r="G195" s="1051"/>
      <c r="H195" s="1055"/>
      <c r="I195" s="1056"/>
      <c r="J195" s="29">
        <v>0</v>
      </c>
      <c r="K195" s="150"/>
    </row>
    <row r="196" spans="1:12" ht="30" customHeight="1" x14ac:dyDescent="0.2">
      <c r="A196" s="663">
        <v>4121</v>
      </c>
      <c r="B196" s="629" t="s">
        <v>213</v>
      </c>
      <c r="C196" s="635">
        <f>SUM(C197:C203)</f>
        <v>2109621</v>
      </c>
      <c r="D196" s="635">
        <f>SUM(D197:D203)</f>
        <v>2308368</v>
      </c>
      <c r="E196" s="635">
        <v>2308368</v>
      </c>
      <c r="F196" s="652">
        <f>SUM(E197:E203)</f>
        <v>2308368</v>
      </c>
      <c r="G196" s="630"/>
      <c r="H196" s="1052"/>
      <c r="I196" s="631"/>
      <c r="J196" s="29">
        <v>2163796.36</v>
      </c>
    </row>
    <row r="197" spans="1:12" ht="30" customHeight="1" x14ac:dyDescent="0.2">
      <c r="A197" s="663"/>
      <c r="B197" s="643" t="s">
        <v>1175</v>
      </c>
      <c r="C197" s="644">
        <v>360000</v>
      </c>
      <c r="D197" s="644">
        <f>360000+67500</f>
        <v>427500</v>
      </c>
      <c r="E197" s="644">
        <v>427500</v>
      </c>
      <c r="F197" s="644"/>
      <c r="G197" s="1051"/>
      <c r="H197" s="1055"/>
      <c r="I197" s="1056"/>
      <c r="J197" s="29">
        <v>290000</v>
      </c>
    </row>
    <row r="198" spans="1:12" ht="30" customHeight="1" x14ac:dyDescent="0.2">
      <c r="A198" s="663"/>
      <c r="B198" s="643" t="s">
        <v>1176</v>
      </c>
      <c r="C198" s="644">
        <v>3000</v>
      </c>
      <c r="D198" s="644">
        <f>3000-204</f>
        <v>2796</v>
      </c>
      <c r="E198" s="644">
        <v>2796</v>
      </c>
      <c r="F198" s="644"/>
      <c r="G198" s="1051"/>
      <c r="H198" s="1055"/>
      <c r="I198" s="1056"/>
      <c r="J198" s="29">
        <v>0</v>
      </c>
    </row>
    <row r="199" spans="1:12" ht="30" customHeight="1" x14ac:dyDescent="0.2">
      <c r="A199" s="663"/>
      <c r="B199" s="643" t="s">
        <v>1178</v>
      </c>
      <c r="C199" s="644">
        <v>918175</v>
      </c>
      <c r="D199" s="644">
        <f>918175-75889</f>
        <v>842286</v>
      </c>
      <c r="E199" s="644">
        <v>842286</v>
      </c>
      <c r="F199" s="644"/>
      <c r="G199" s="1051"/>
      <c r="H199" s="1055"/>
      <c r="I199" s="1056"/>
      <c r="J199" s="29">
        <v>667224</v>
      </c>
      <c r="K199" s="150"/>
    </row>
    <row r="200" spans="1:12" ht="30" customHeight="1" x14ac:dyDescent="0.2">
      <c r="A200" s="663"/>
      <c r="B200" s="643" t="s">
        <v>1179</v>
      </c>
      <c r="C200" s="644">
        <v>602075</v>
      </c>
      <c r="D200" s="644">
        <v>602075</v>
      </c>
      <c r="E200" s="644">
        <v>602075</v>
      </c>
      <c r="F200" s="644"/>
      <c r="G200" s="1051"/>
      <c r="H200" s="1055"/>
      <c r="I200" s="1056"/>
      <c r="J200" s="29">
        <v>889623</v>
      </c>
      <c r="K200" s="150"/>
    </row>
    <row r="201" spans="1:12" ht="30" customHeight="1" x14ac:dyDescent="0.2">
      <c r="A201" s="663"/>
      <c r="B201" s="643" t="s">
        <v>1180</v>
      </c>
      <c r="C201" s="644">
        <v>126071</v>
      </c>
      <c r="D201" s="644">
        <v>126071</v>
      </c>
      <c r="E201" s="644">
        <v>126071</v>
      </c>
      <c r="F201" s="644"/>
      <c r="G201" s="1051"/>
      <c r="H201" s="1055"/>
      <c r="I201" s="1056"/>
      <c r="J201" s="29">
        <v>231376</v>
      </c>
      <c r="K201" s="150"/>
    </row>
    <row r="202" spans="1:12" ht="30" customHeight="1" x14ac:dyDescent="0.2">
      <c r="A202" s="663"/>
      <c r="B202" s="643" t="s">
        <v>1181</v>
      </c>
      <c r="C202" s="644">
        <v>100000</v>
      </c>
      <c r="D202" s="644">
        <f>100000+(230505-100000)+76835</f>
        <v>307340</v>
      </c>
      <c r="E202" s="644">
        <v>307340</v>
      </c>
      <c r="F202" s="644"/>
      <c r="G202" s="1051"/>
      <c r="H202" s="1055"/>
      <c r="I202" s="1056"/>
      <c r="J202" s="29">
        <v>0</v>
      </c>
    </row>
    <row r="203" spans="1:12" ht="30" customHeight="1" x14ac:dyDescent="0.2">
      <c r="A203" s="663"/>
      <c r="B203" s="672" t="s">
        <v>1183</v>
      </c>
      <c r="C203" s="644">
        <v>300</v>
      </c>
      <c r="D203" s="644">
        <v>300</v>
      </c>
      <c r="E203" s="644">
        <v>300</v>
      </c>
      <c r="F203" s="644"/>
      <c r="G203" s="1051"/>
      <c r="H203" s="1055"/>
      <c r="I203" s="1056"/>
      <c r="J203" s="29">
        <v>0</v>
      </c>
    </row>
    <row r="204" spans="1:12" ht="30" customHeight="1" x14ac:dyDescent="0.2">
      <c r="A204" s="663">
        <v>4122</v>
      </c>
      <c r="B204" s="634" t="s">
        <v>221</v>
      </c>
      <c r="C204" s="635">
        <f>SUM(C207:C216)</f>
        <v>0</v>
      </c>
      <c r="D204" s="635">
        <f>SUM(D205:D216)</f>
        <v>11302616.870000001</v>
      </c>
      <c r="E204" s="635">
        <v>11302616.869999999</v>
      </c>
      <c r="F204" s="652">
        <f>SUM(E205:E216)</f>
        <v>11302616.870000001</v>
      </c>
      <c r="G204" s="630"/>
      <c r="H204" s="1052"/>
      <c r="I204" s="631"/>
      <c r="J204" s="29">
        <v>10462354.98</v>
      </c>
      <c r="K204" s="150"/>
    </row>
    <row r="205" spans="1:12" s="98" customFormat="1" ht="30" customHeight="1" x14ac:dyDescent="0.2">
      <c r="A205" s="692"/>
      <c r="B205" s="690" t="s">
        <v>2145</v>
      </c>
      <c r="C205" s="644">
        <v>0</v>
      </c>
      <c r="D205" s="644">
        <f>(4900+44100)</f>
        <v>49000</v>
      </c>
      <c r="E205" s="644">
        <v>49000</v>
      </c>
      <c r="F205" s="644"/>
      <c r="G205" s="1051"/>
      <c r="H205" s="1055"/>
      <c r="I205" s="1056"/>
      <c r="J205" s="29">
        <v>2225000</v>
      </c>
      <c r="K205" s="150"/>
    </row>
    <row r="206" spans="1:12" s="98" customFormat="1" ht="30" customHeight="1" x14ac:dyDescent="0.2">
      <c r="A206" s="692"/>
      <c r="B206" s="690" t="s">
        <v>2146</v>
      </c>
      <c r="C206" s="644">
        <v>0</v>
      </c>
      <c r="D206" s="644">
        <f>(7519+67671)</f>
        <v>75190</v>
      </c>
      <c r="E206" s="644">
        <v>75190</v>
      </c>
      <c r="F206" s="644"/>
      <c r="G206" s="1051"/>
      <c r="H206" s="1055"/>
      <c r="I206" s="1056"/>
      <c r="J206" s="29">
        <v>2225000</v>
      </c>
      <c r="K206" s="150"/>
    </row>
    <row r="207" spans="1:12" s="98" customFormat="1" ht="30" customHeight="1" x14ac:dyDescent="0.2">
      <c r="A207" s="692"/>
      <c r="B207" s="690" t="s">
        <v>2147</v>
      </c>
      <c r="C207" s="644">
        <v>0</v>
      </c>
      <c r="D207" s="644">
        <f>(6798+61182)</f>
        <v>67980</v>
      </c>
      <c r="E207" s="644">
        <v>67980</v>
      </c>
      <c r="F207" s="644"/>
      <c r="G207" s="1051"/>
      <c r="H207" s="1055"/>
      <c r="I207" s="1056"/>
      <c r="J207" s="29">
        <v>2225000</v>
      </c>
      <c r="K207" s="150"/>
    </row>
    <row r="208" spans="1:12" s="98" customFormat="1" ht="30" customHeight="1" x14ac:dyDescent="0.2">
      <c r="A208" s="692"/>
      <c r="B208" s="690" t="s">
        <v>1189</v>
      </c>
      <c r="C208" s="644">
        <v>0</v>
      </c>
      <c r="D208" s="644">
        <v>4551000</v>
      </c>
      <c r="E208" s="644">
        <v>4551000</v>
      </c>
      <c r="F208" s="644"/>
      <c r="G208" s="1051"/>
      <c r="H208" s="1055"/>
      <c r="I208" s="1056"/>
      <c r="J208" s="29">
        <v>2225000</v>
      </c>
      <c r="K208" s="150"/>
    </row>
    <row r="209" spans="1:17" s="98" customFormat="1" ht="30" customHeight="1" x14ac:dyDescent="0.2">
      <c r="A209" s="692"/>
      <c r="B209" s="690" t="s">
        <v>1910</v>
      </c>
      <c r="C209" s="644">
        <v>0</v>
      </c>
      <c r="D209" s="644">
        <v>80000</v>
      </c>
      <c r="E209" s="644">
        <v>80000</v>
      </c>
      <c r="F209" s="644"/>
      <c r="G209" s="1051"/>
      <c r="H209" s="1055"/>
      <c r="I209" s="1056"/>
      <c r="J209" s="29">
        <v>0</v>
      </c>
      <c r="K209" s="150"/>
    </row>
    <row r="210" spans="1:17" s="98" customFormat="1" ht="30" customHeight="1" x14ac:dyDescent="0.2">
      <c r="A210" s="692"/>
      <c r="B210" s="690" t="s">
        <v>1911</v>
      </c>
      <c r="C210" s="644">
        <v>0</v>
      </c>
      <c r="D210" s="644">
        <v>50000</v>
      </c>
      <c r="E210" s="644">
        <v>50000</v>
      </c>
      <c r="F210" s="644"/>
      <c r="G210" s="1051"/>
      <c r="H210" s="1055"/>
      <c r="I210" s="1056"/>
      <c r="J210" s="29">
        <v>0</v>
      </c>
      <c r="K210" s="150"/>
    </row>
    <row r="211" spans="1:17" s="98" customFormat="1" ht="30" customHeight="1" x14ac:dyDescent="0.2">
      <c r="A211" s="692"/>
      <c r="B211" s="643" t="s">
        <v>1912</v>
      </c>
      <c r="C211" s="644">
        <v>0</v>
      </c>
      <c r="D211" s="644">
        <v>9234</v>
      </c>
      <c r="E211" s="644">
        <v>9234</v>
      </c>
      <c r="F211" s="644"/>
      <c r="G211" s="1051"/>
      <c r="H211" s="1055"/>
      <c r="I211" s="1056"/>
      <c r="J211" s="29">
        <v>0</v>
      </c>
      <c r="K211" s="150"/>
    </row>
    <row r="212" spans="1:17" s="98" customFormat="1" ht="30" customHeight="1" x14ac:dyDescent="0.2">
      <c r="A212" s="692"/>
      <c r="B212" s="690" t="s">
        <v>1913</v>
      </c>
      <c r="C212" s="644">
        <v>0</v>
      </c>
      <c r="D212" s="644">
        <v>210200</v>
      </c>
      <c r="E212" s="644">
        <v>210200</v>
      </c>
      <c r="F212" s="644"/>
      <c r="G212" s="1051"/>
      <c r="H212" s="1055"/>
      <c r="I212" s="1056"/>
      <c r="J212" s="29">
        <v>0</v>
      </c>
      <c r="K212" s="150"/>
    </row>
    <row r="213" spans="1:17" s="98" customFormat="1" ht="30" customHeight="1" x14ac:dyDescent="0.2">
      <c r="A213" s="692"/>
      <c r="B213" s="690" t="s">
        <v>1914</v>
      </c>
      <c r="C213" s="644">
        <v>0</v>
      </c>
      <c r="D213" s="644">
        <v>45000</v>
      </c>
      <c r="E213" s="644">
        <v>45000</v>
      </c>
      <c r="F213" s="644"/>
      <c r="G213" s="1051"/>
      <c r="H213" s="1055"/>
      <c r="I213" s="1056"/>
      <c r="J213" s="29">
        <v>2216050</v>
      </c>
      <c r="K213" s="150"/>
    </row>
    <row r="214" spans="1:17" s="98" customFormat="1" ht="30" customHeight="1" x14ac:dyDescent="0.2">
      <c r="A214" s="692"/>
      <c r="B214" s="690" t="s">
        <v>2109</v>
      </c>
      <c r="C214" s="644">
        <v>0</v>
      </c>
      <c r="D214" s="644">
        <f>170400-28290</f>
        <v>142110</v>
      </c>
      <c r="E214" s="644">
        <v>142110</v>
      </c>
      <c r="F214" s="644"/>
      <c r="G214" s="1051"/>
      <c r="H214" s="1055"/>
      <c r="I214" s="1056"/>
      <c r="J214" s="29">
        <v>0</v>
      </c>
      <c r="K214" s="150"/>
    </row>
    <row r="215" spans="1:17" ht="30" customHeight="1" x14ac:dyDescent="0.2">
      <c r="A215" s="1074"/>
      <c r="B215" s="832" t="s">
        <v>1915</v>
      </c>
      <c r="C215" s="1075">
        <v>0</v>
      </c>
      <c r="D215" s="1075">
        <f>(4752.88+26932.97)+(1806.05+10234.3)+(5713.08+32374.09)+(-1607.13-9107.07)+(-1051.79-5960.11)+(-177.66-1006.74)</f>
        <v>62902.869999999995</v>
      </c>
      <c r="E215" s="1075">
        <v>62902.87</v>
      </c>
      <c r="F215" s="1075"/>
      <c r="G215" s="1051"/>
      <c r="H215" s="1055"/>
      <c r="I215" s="1056"/>
      <c r="J215" s="1072">
        <v>71304.98</v>
      </c>
      <c r="K215" s="29"/>
      <c r="Q215" s="150"/>
    </row>
    <row r="216" spans="1:17" ht="30" customHeight="1" x14ac:dyDescent="0.2">
      <c r="A216" s="663"/>
      <c r="B216" s="643" t="s">
        <v>1916</v>
      </c>
      <c r="C216" s="644">
        <v>0</v>
      </c>
      <c r="D216" s="644">
        <v>5960000</v>
      </c>
      <c r="E216" s="644">
        <v>5960000</v>
      </c>
      <c r="F216" s="644"/>
      <c r="G216" s="1051"/>
      <c r="H216" s="1055"/>
      <c r="I216" s="1056"/>
      <c r="J216" s="1076">
        <v>5762000</v>
      </c>
      <c r="K216" s="150"/>
    </row>
    <row r="217" spans="1:17" s="98" customFormat="1" ht="30" customHeight="1" x14ac:dyDescent="0.2">
      <c r="A217" s="1057">
        <v>4134</v>
      </c>
      <c r="B217" s="629" t="s">
        <v>2110</v>
      </c>
      <c r="C217" s="637">
        <v>6100000</v>
      </c>
      <c r="D217" s="637">
        <f>6100000-94000</f>
        <v>6006000</v>
      </c>
      <c r="E217" s="637">
        <f>6006000+508023.13</f>
        <v>6514023.1299999999</v>
      </c>
      <c r="F217" s="644"/>
      <c r="G217" s="630"/>
      <c r="H217" s="1052"/>
      <c r="I217" s="631"/>
      <c r="J217" s="29">
        <v>3509574.47</v>
      </c>
    </row>
    <row r="218" spans="1:17" s="98" customFormat="1" ht="30" customHeight="1" x14ac:dyDescent="0.2">
      <c r="A218" s="663">
        <v>4213</v>
      </c>
      <c r="B218" s="629" t="s">
        <v>229</v>
      </c>
      <c r="C218" s="635">
        <f>SUM(C219)</f>
        <v>1400000</v>
      </c>
      <c r="D218" s="635">
        <f>SUM(D219)</f>
        <v>2180699.34</v>
      </c>
      <c r="E218" s="635">
        <v>2180699.34</v>
      </c>
      <c r="F218" s="652"/>
      <c r="G218" s="630"/>
      <c r="H218" s="1052"/>
      <c r="I218" s="631"/>
      <c r="J218" s="29">
        <v>0</v>
      </c>
    </row>
    <row r="219" spans="1:17" s="2" customFormat="1" ht="30" customHeight="1" x14ac:dyDescent="0.2">
      <c r="A219" s="715"/>
      <c r="B219" s="672" t="s">
        <v>2111</v>
      </c>
      <c r="C219" s="652">
        <v>1400000</v>
      </c>
      <c r="D219" s="652">
        <f>1400000-1400000+2180699.34</f>
        <v>2180699.34</v>
      </c>
      <c r="E219" s="652">
        <v>2180699.34</v>
      </c>
      <c r="F219" s="652"/>
      <c r="G219" s="1051"/>
      <c r="H219" s="1055"/>
      <c r="I219" s="1056"/>
      <c r="J219" s="88">
        <v>0</v>
      </c>
    </row>
    <row r="220" spans="1:17" s="98" customFormat="1" ht="30" customHeight="1" x14ac:dyDescent="0.2">
      <c r="A220" s="663">
        <v>4216</v>
      </c>
      <c r="B220" s="634" t="s">
        <v>234</v>
      </c>
      <c r="C220" s="718">
        <f>SUM(C221:C226)</f>
        <v>12419843.800000001</v>
      </c>
      <c r="D220" s="718">
        <f>SUM(D221:D226)</f>
        <v>12233249.83</v>
      </c>
      <c r="E220" s="718">
        <v>12233249.83</v>
      </c>
      <c r="F220" s="1077">
        <f>SUM(E221:E226)</f>
        <v>12233249.830000002</v>
      </c>
      <c r="G220" s="630"/>
      <c r="H220" s="1052"/>
      <c r="I220" s="631"/>
      <c r="J220" s="29">
        <v>11580748.17</v>
      </c>
      <c r="K220" s="150"/>
    </row>
    <row r="221" spans="1:17" s="2" customFormat="1" ht="30" customHeight="1" x14ac:dyDescent="0.2">
      <c r="A221" s="715"/>
      <c r="B221" s="672" t="s">
        <v>1919</v>
      </c>
      <c r="C221" s="644">
        <v>500000</v>
      </c>
      <c r="D221" s="644">
        <f>500000-500000</f>
        <v>0</v>
      </c>
      <c r="E221" s="644">
        <v>0</v>
      </c>
      <c r="F221" s="644"/>
      <c r="G221" s="1051"/>
      <c r="H221" s="1055"/>
      <c r="I221" s="1056"/>
      <c r="J221" s="88">
        <v>0</v>
      </c>
    </row>
    <row r="222" spans="1:17" s="2" customFormat="1" ht="30" customHeight="1" x14ac:dyDescent="0.2">
      <c r="A222" s="715"/>
      <c r="B222" s="672" t="s">
        <v>2112</v>
      </c>
      <c r="C222" s="644">
        <v>0</v>
      </c>
      <c r="D222" s="644">
        <v>1200000</v>
      </c>
      <c r="E222" s="644">
        <v>1200000</v>
      </c>
      <c r="F222" s="644"/>
      <c r="G222" s="1051"/>
      <c r="H222" s="1055"/>
      <c r="I222" s="1056"/>
      <c r="J222" s="88"/>
    </row>
    <row r="223" spans="1:17" s="2" customFormat="1" ht="30" customHeight="1" x14ac:dyDescent="0.2">
      <c r="A223" s="715"/>
      <c r="B223" s="693" t="s">
        <v>1920</v>
      </c>
      <c r="C223" s="652">
        <v>4250000</v>
      </c>
      <c r="D223" s="652">
        <f>4250000+(-4250000+205587.45+4111749.01)</f>
        <v>4317336.46</v>
      </c>
      <c r="E223" s="652">
        <v>4317336.46</v>
      </c>
      <c r="F223" s="652"/>
      <c r="G223" s="1051"/>
      <c r="H223" s="1055"/>
      <c r="I223" s="1056"/>
      <c r="J223" s="88">
        <v>0</v>
      </c>
    </row>
    <row r="224" spans="1:17" s="2" customFormat="1" ht="30" customHeight="1" x14ac:dyDescent="0.2">
      <c r="A224" s="715"/>
      <c r="B224" s="693" t="s">
        <v>1921</v>
      </c>
      <c r="C224" s="652">
        <v>4800000</v>
      </c>
      <c r="D224" s="652">
        <f>4800000+(-4800000+239760.39+4795207.68)</f>
        <v>5034968.0699999994</v>
      </c>
      <c r="E224" s="652">
        <v>5034968.07</v>
      </c>
      <c r="F224" s="652"/>
      <c r="G224" s="1051"/>
      <c r="H224" s="1055"/>
      <c r="I224" s="1056"/>
      <c r="J224" s="88">
        <v>0</v>
      </c>
    </row>
    <row r="225" spans="1:11" s="2" customFormat="1" ht="30" customHeight="1" x14ac:dyDescent="0.2">
      <c r="A225" s="715"/>
      <c r="B225" s="693" t="s">
        <v>2113</v>
      </c>
      <c r="C225" s="652">
        <v>0</v>
      </c>
      <c r="D225" s="652">
        <f>(93385.85+1587559.45)</f>
        <v>1680945.3</v>
      </c>
      <c r="E225" s="652">
        <v>1680945.3</v>
      </c>
      <c r="F225" s="652"/>
      <c r="G225" s="1051"/>
      <c r="H225" s="1055"/>
      <c r="I225" s="1056"/>
      <c r="J225" s="88">
        <v>0</v>
      </c>
    </row>
    <row r="226" spans="1:11" s="98" customFormat="1" ht="30" customHeight="1" x14ac:dyDescent="0.2">
      <c r="A226" s="663"/>
      <c r="B226" s="693" t="s">
        <v>1922</v>
      </c>
      <c r="C226" s="652">
        <v>2869843.8</v>
      </c>
      <c r="D226" s="652">
        <f>2869843.8-2869843.8</f>
        <v>0</v>
      </c>
      <c r="E226" s="652">
        <v>0</v>
      </c>
      <c r="F226" s="652"/>
      <c r="G226" s="1051"/>
      <c r="H226" s="1055"/>
      <c r="I226" s="1056"/>
      <c r="J226" s="29">
        <v>0</v>
      </c>
    </row>
    <row r="227" spans="1:11" s="98" customFormat="1" ht="30" customHeight="1" x14ac:dyDescent="0.2">
      <c r="A227" s="663">
        <v>4222</v>
      </c>
      <c r="B227" s="634" t="s">
        <v>245</v>
      </c>
      <c r="C227" s="718">
        <f>SUM(C228:C231)</f>
        <v>500080</v>
      </c>
      <c r="D227" s="718">
        <f>SUM(D228:D231)</f>
        <v>374884</v>
      </c>
      <c r="E227" s="718">
        <v>374884</v>
      </c>
      <c r="F227" s="1077">
        <f>SUM(E228:E231)</f>
        <v>374884</v>
      </c>
      <c r="G227" s="630"/>
      <c r="H227" s="1052"/>
      <c r="I227" s="631"/>
      <c r="J227" s="29">
        <v>7025893.1100000003</v>
      </c>
    </row>
    <row r="228" spans="1:11" s="98" customFormat="1" ht="30" customHeight="1" x14ac:dyDescent="0.2">
      <c r="A228" s="692"/>
      <c r="B228" s="690" t="s">
        <v>1923</v>
      </c>
      <c r="C228" s="644">
        <v>0</v>
      </c>
      <c r="D228" s="644">
        <v>150000</v>
      </c>
      <c r="E228" s="644">
        <v>150000</v>
      </c>
      <c r="F228" s="644"/>
      <c r="G228" s="1051"/>
      <c r="H228" s="1055"/>
      <c r="I228" s="1056"/>
      <c r="J228" s="29">
        <v>0</v>
      </c>
      <c r="K228" s="150"/>
    </row>
    <row r="229" spans="1:11" s="98" customFormat="1" ht="30" customHeight="1" x14ac:dyDescent="0.2">
      <c r="A229" s="692"/>
      <c r="B229" s="690" t="s">
        <v>1924</v>
      </c>
      <c r="C229" s="644">
        <v>0</v>
      </c>
      <c r="D229" s="644">
        <v>22018</v>
      </c>
      <c r="E229" s="644">
        <v>22018</v>
      </c>
      <c r="F229" s="644"/>
      <c r="G229" s="1051"/>
      <c r="H229" s="1055"/>
      <c r="I229" s="1056"/>
      <c r="J229" s="29">
        <v>0</v>
      </c>
      <c r="K229" s="150"/>
    </row>
    <row r="230" spans="1:11" s="98" customFormat="1" ht="30" customHeight="1" x14ac:dyDescent="0.2">
      <c r="A230" s="692"/>
      <c r="B230" s="643" t="s">
        <v>1912</v>
      </c>
      <c r="C230" s="644">
        <v>212100</v>
      </c>
      <c r="D230" s="644">
        <f>212100-9234</f>
        <v>202866</v>
      </c>
      <c r="E230" s="644">
        <v>202866</v>
      </c>
      <c r="F230" s="644"/>
      <c r="G230" s="1051"/>
      <c r="H230" s="1055"/>
      <c r="I230" s="1056"/>
      <c r="J230" s="29">
        <v>46736.11</v>
      </c>
      <c r="K230" s="150"/>
    </row>
    <row r="231" spans="1:11" s="98" customFormat="1" ht="30" customHeight="1" x14ac:dyDescent="0.2">
      <c r="A231" s="730"/>
      <c r="B231" s="731" t="s">
        <v>1211</v>
      </c>
      <c r="C231" s="695">
        <v>287980</v>
      </c>
      <c r="D231" s="695">
        <f>287980-287980</f>
        <v>0</v>
      </c>
      <c r="E231" s="695">
        <v>0</v>
      </c>
      <c r="F231" s="695"/>
      <c r="G231" s="1051"/>
      <c r="H231" s="1055"/>
      <c r="I231" s="1056"/>
      <c r="J231" s="29">
        <v>0</v>
      </c>
    </row>
    <row r="232" spans="1:11" s="98" customFormat="1" ht="30" customHeight="1" x14ac:dyDescent="0.2">
      <c r="A232" s="732"/>
      <c r="B232" s="733"/>
      <c r="C232" s="682"/>
      <c r="D232" s="682"/>
      <c r="E232" s="682"/>
      <c r="F232" s="682"/>
      <c r="G232" s="682"/>
      <c r="H232" s="682"/>
      <c r="I232" s="583"/>
      <c r="J232" s="29"/>
    </row>
    <row r="233" spans="1:11" s="98" customFormat="1" ht="30" customHeight="1" x14ac:dyDescent="0.3">
      <c r="A233" s="734"/>
      <c r="B233" s="618" t="s">
        <v>13</v>
      </c>
      <c r="C233" s="735">
        <f>SUM(C32+C64+C160+C175)</f>
        <v>825959861.11999989</v>
      </c>
      <c r="D233" s="735">
        <f>SUM(D32+D64+D160+D175)</f>
        <v>841065205.2700001</v>
      </c>
      <c r="E233" s="735">
        <v>894703922.80999994</v>
      </c>
      <c r="F233" s="1078">
        <f>SUM(E32,E64,E160,E175)</f>
        <v>894703922.81000006</v>
      </c>
      <c r="G233" s="735"/>
      <c r="H233" s="735"/>
      <c r="I233" s="736"/>
      <c r="J233" s="1037">
        <v>429940703.63</v>
      </c>
    </row>
    <row r="234" spans="1:11" s="98" customFormat="1" ht="30" customHeight="1" x14ac:dyDescent="0.25">
      <c r="A234" s="737"/>
      <c r="B234" s="738"/>
      <c r="C234" s="739"/>
      <c r="D234" s="739"/>
      <c r="E234" s="739"/>
      <c r="F234" s="739"/>
      <c r="G234" s="739"/>
      <c r="H234" s="739"/>
      <c r="I234" s="740"/>
      <c r="J234" s="29"/>
    </row>
    <row r="235" spans="1:11" s="244" customFormat="1" ht="30" customHeight="1" x14ac:dyDescent="0.25">
      <c r="A235" s="621"/>
      <c r="B235" s="657" t="s">
        <v>14</v>
      </c>
      <c r="C235" s="741">
        <f>SUM(C236:C239)</f>
        <v>172017736.07999998</v>
      </c>
      <c r="D235" s="741">
        <f>SUM(D236:D239)</f>
        <v>172017736.07999998</v>
      </c>
      <c r="E235" s="741">
        <v>-42164553.82</v>
      </c>
      <c r="F235" s="1079">
        <f>SUM(E236:E239)</f>
        <v>-41164553.82</v>
      </c>
      <c r="G235" s="623"/>
      <c r="H235" s="623"/>
      <c r="I235" s="741"/>
      <c r="J235" s="29">
        <v>44094856.659999996</v>
      </c>
    </row>
    <row r="236" spans="1:11" ht="30" customHeight="1" x14ac:dyDescent="0.2">
      <c r="A236" s="660">
        <v>8115</v>
      </c>
      <c r="B236" s="743" t="s">
        <v>1212</v>
      </c>
      <c r="C236" s="637">
        <f>100000000-11315591.92</f>
        <v>88684408.079999998</v>
      </c>
      <c r="D236" s="637">
        <f>100000000-11315591.92</f>
        <v>88684408.079999998</v>
      </c>
      <c r="E236" s="637">
        <v>-34850411.469999999</v>
      </c>
      <c r="F236" s="644"/>
      <c r="G236" s="630"/>
      <c r="H236" s="1052"/>
      <c r="I236" s="639"/>
      <c r="J236" s="1037">
        <v>27751077.510000002</v>
      </c>
    </row>
    <row r="237" spans="1:11" ht="30" customHeight="1" x14ac:dyDescent="0.2">
      <c r="A237" s="660">
        <v>8124</v>
      </c>
      <c r="B237" s="745" t="s">
        <v>1214</v>
      </c>
      <c r="C237" s="637">
        <f>-(555556*12)</f>
        <v>-6666672</v>
      </c>
      <c r="D237" s="637">
        <f>-(555556*12)</f>
        <v>-6666672</v>
      </c>
      <c r="E237" s="637">
        <v>-5666672</v>
      </c>
      <c r="F237" s="644"/>
      <c r="G237" s="630"/>
      <c r="H237" s="1052"/>
      <c r="I237" s="631"/>
      <c r="J237" s="29">
        <v>0</v>
      </c>
    </row>
    <row r="238" spans="1:11" ht="30" customHeight="1" x14ac:dyDescent="0.2">
      <c r="A238" s="660">
        <v>8125</v>
      </c>
      <c r="B238" s="745" t="s">
        <v>1215</v>
      </c>
      <c r="C238" s="637">
        <v>90000000</v>
      </c>
      <c r="D238" s="637">
        <v>90000000</v>
      </c>
      <c r="E238" s="637">
        <v>0</v>
      </c>
      <c r="F238" s="644"/>
      <c r="G238" s="630"/>
      <c r="H238" s="1052"/>
      <c r="I238" s="631"/>
      <c r="J238" s="29">
        <v>0</v>
      </c>
    </row>
    <row r="239" spans="1:11" s="235" customFormat="1" ht="30" customHeight="1" x14ac:dyDescent="0.4">
      <c r="A239" s="663">
        <v>8901</v>
      </c>
      <c r="B239" s="634" t="s">
        <v>254</v>
      </c>
      <c r="C239" s="635">
        <f>SUM(C240:C240)</f>
        <v>0</v>
      </c>
      <c r="D239" s="635">
        <f>SUM(D240:D240)</f>
        <v>0</v>
      </c>
      <c r="E239" s="635">
        <v>-647470.35</v>
      </c>
      <c r="F239" s="652"/>
      <c r="G239" s="630"/>
      <c r="H239" s="1052"/>
      <c r="I239" s="639"/>
      <c r="J239" s="1037">
        <v>-3389059.84</v>
      </c>
    </row>
    <row r="240" spans="1:11" ht="30" customHeight="1" x14ac:dyDescent="0.2">
      <c r="A240" s="1080"/>
      <c r="B240" s="1080" t="s">
        <v>256</v>
      </c>
      <c r="C240" s="816">
        <v>0</v>
      </c>
      <c r="D240" s="816">
        <v>0</v>
      </c>
      <c r="E240" s="695">
        <v>-647470.35</v>
      </c>
      <c r="F240" s="695"/>
      <c r="G240" s="1051"/>
      <c r="H240" s="1055"/>
      <c r="I240" s="1056"/>
      <c r="J240" s="1037">
        <v>-2988831.27</v>
      </c>
    </row>
    <row r="241" spans="1:10" ht="30" customHeight="1" x14ac:dyDescent="0.2">
      <c r="A241" s="749"/>
      <c r="B241" s="700"/>
      <c r="C241" s="750"/>
      <c r="D241" s="750"/>
      <c r="E241" s="750"/>
      <c r="F241" s="750"/>
      <c r="G241" s="750"/>
      <c r="H241" s="750"/>
      <c r="I241" s="751"/>
    </row>
    <row r="242" spans="1:10" s="33" customFormat="1" ht="30" customHeight="1" x14ac:dyDescent="0.35">
      <c r="A242" s="752"/>
      <c r="B242" s="753" t="s">
        <v>15</v>
      </c>
      <c r="C242" s="754">
        <f>SUM(C233+C235)</f>
        <v>997977597.19999981</v>
      </c>
      <c r="D242" s="754">
        <f>SUM(D233+D235)</f>
        <v>1013082941.3500001</v>
      </c>
      <c r="E242" s="754">
        <v>852539368.99000001</v>
      </c>
      <c r="F242" s="1048">
        <f>SUM(E233:E235)</f>
        <v>852539368.98999989</v>
      </c>
      <c r="G242" s="754"/>
      <c r="H242" s="754"/>
      <c r="I242" s="1081"/>
      <c r="J242" s="1037">
        <v>474035560.29000002</v>
      </c>
    </row>
    <row r="243" spans="1:10" s="98" customFormat="1" ht="30" customHeight="1" x14ac:dyDescent="0.3">
      <c r="A243" s="756"/>
      <c r="B243" s="757" t="s">
        <v>257</v>
      </c>
      <c r="C243" s="758"/>
      <c r="D243" s="758"/>
      <c r="E243" s="758"/>
      <c r="F243" s="758"/>
      <c r="G243" s="758"/>
      <c r="H243" s="758"/>
      <c r="I243" s="740"/>
      <c r="J243" s="29"/>
    </row>
    <row r="244" spans="1:10" s="85" customFormat="1" ht="30" customHeight="1" x14ac:dyDescent="0.3">
      <c r="A244" s="759"/>
      <c r="B244" s="757" t="s">
        <v>258</v>
      </c>
      <c r="C244" s="760">
        <f>C245+C259+C285+C295</f>
        <v>75934044.200000003</v>
      </c>
      <c r="D244" s="760">
        <f>D245+D259+D285+D295</f>
        <v>60951276.200000003</v>
      </c>
      <c r="E244" s="760">
        <v>53673121.170000002</v>
      </c>
      <c r="F244" s="1082">
        <f>SUM(E245,E259,E285,E295)</f>
        <v>53673121.170000002</v>
      </c>
      <c r="G244" s="735"/>
      <c r="H244" s="735"/>
      <c r="I244" s="1083"/>
      <c r="J244" s="1037">
        <v>21777162.140000001</v>
      </c>
    </row>
    <row r="245" spans="1:10" ht="30" customHeight="1" x14ac:dyDescent="0.25">
      <c r="A245" s="762"/>
      <c r="B245" s="763" t="s">
        <v>259</v>
      </c>
      <c r="C245" s="764">
        <f t="shared" ref="C245:D245" si="5">SUM(C246+C251+C256)</f>
        <v>2095000</v>
      </c>
      <c r="D245" s="764">
        <f t="shared" si="5"/>
        <v>2337676</v>
      </c>
      <c r="E245" s="764">
        <v>1565327.63</v>
      </c>
      <c r="F245" s="1084">
        <f>SUM(E246,E251,E256)</f>
        <v>1565327.63</v>
      </c>
      <c r="G245" s="623"/>
      <c r="H245" s="623"/>
      <c r="I245" s="741"/>
      <c r="J245" s="29">
        <v>21163.21</v>
      </c>
    </row>
    <row r="246" spans="1:10" ht="30" customHeight="1" x14ac:dyDescent="0.2">
      <c r="A246" s="766">
        <v>2310</v>
      </c>
      <c r="B246" s="767" t="s">
        <v>1216</v>
      </c>
      <c r="C246" s="768">
        <f>SUM(C247:C250)</f>
        <v>315000</v>
      </c>
      <c r="D246" s="768">
        <f>SUM(D247:D250)</f>
        <v>315000</v>
      </c>
      <c r="E246" s="768">
        <v>120058</v>
      </c>
      <c r="F246" s="1085">
        <f>SUM(E247:E250)</f>
        <v>120058</v>
      </c>
      <c r="G246" s="630"/>
      <c r="H246" s="1052"/>
      <c r="I246" s="631"/>
      <c r="J246" s="29">
        <v>0</v>
      </c>
    </row>
    <row r="247" spans="1:10" ht="30" customHeight="1" x14ac:dyDescent="0.2">
      <c r="A247" s="769" t="s">
        <v>261</v>
      </c>
      <c r="B247" s="643" t="s">
        <v>262</v>
      </c>
      <c r="C247" s="644">
        <v>15000</v>
      </c>
      <c r="D247" s="644">
        <f>15000-13240</f>
        <v>1760</v>
      </c>
      <c r="E247" s="644">
        <v>0</v>
      </c>
      <c r="F247" s="644"/>
      <c r="G247" s="1051"/>
      <c r="H247" s="1055"/>
      <c r="I247" s="1056"/>
      <c r="J247" s="29">
        <v>0</v>
      </c>
    </row>
    <row r="248" spans="1:10" ht="30" customHeight="1" x14ac:dyDescent="0.2">
      <c r="A248" s="769" t="s">
        <v>263</v>
      </c>
      <c r="B248" s="643" t="s">
        <v>1217</v>
      </c>
      <c r="C248" s="644">
        <v>150000</v>
      </c>
      <c r="D248" s="644">
        <f>150000+58821</f>
        <v>208821</v>
      </c>
      <c r="E248" s="644">
        <v>106818</v>
      </c>
      <c r="F248" s="644"/>
      <c r="G248" s="1051"/>
      <c r="H248" s="1055"/>
      <c r="I248" s="1056"/>
      <c r="J248" s="29">
        <v>0</v>
      </c>
    </row>
    <row r="249" spans="1:10" ht="30" customHeight="1" x14ac:dyDescent="0.2">
      <c r="A249" s="769" t="s">
        <v>265</v>
      </c>
      <c r="B249" s="643" t="s">
        <v>1218</v>
      </c>
      <c r="C249" s="644">
        <v>150000</v>
      </c>
      <c r="D249" s="644">
        <f>150000-58821</f>
        <v>91179</v>
      </c>
      <c r="E249" s="644">
        <v>0</v>
      </c>
      <c r="F249" s="644"/>
      <c r="G249" s="1051"/>
      <c r="H249" s="1055"/>
      <c r="I249" s="1056"/>
      <c r="J249" s="29">
        <v>0</v>
      </c>
    </row>
    <row r="250" spans="1:10" ht="30" customHeight="1" x14ac:dyDescent="0.2">
      <c r="A250" s="769" t="s">
        <v>1925</v>
      </c>
      <c r="B250" s="643" t="s">
        <v>1926</v>
      </c>
      <c r="C250" s="644">
        <v>0</v>
      </c>
      <c r="D250" s="644">
        <v>13240</v>
      </c>
      <c r="E250" s="644">
        <v>13240</v>
      </c>
      <c r="F250" s="644"/>
      <c r="G250" s="1051"/>
      <c r="H250" s="1055"/>
      <c r="I250" s="1056"/>
      <c r="J250" s="29">
        <v>0</v>
      </c>
    </row>
    <row r="251" spans="1:10" ht="30" customHeight="1" x14ac:dyDescent="0.2">
      <c r="A251" s="663">
        <v>2321</v>
      </c>
      <c r="B251" s="629" t="s">
        <v>1219</v>
      </c>
      <c r="C251" s="635">
        <f>SUM(C252:C255)</f>
        <v>1600000</v>
      </c>
      <c r="D251" s="635">
        <f>SUM(D252:D255)</f>
        <v>1912676</v>
      </c>
      <c r="E251" s="635">
        <v>1408025.63</v>
      </c>
      <c r="F251" s="652">
        <f>SUM(E252:E255)</f>
        <v>1408025.63</v>
      </c>
      <c r="G251" s="630"/>
      <c r="H251" s="1052"/>
      <c r="I251" s="631"/>
      <c r="J251" s="29">
        <v>211633.21</v>
      </c>
    </row>
    <row r="252" spans="1:10" ht="30" customHeight="1" x14ac:dyDescent="0.2">
      <c r="A252" s="769" t="s">
        <v>268</v>
      </c>
      <c r="B252" s="643" t="s">
        <v>269</v>
      </c>
      <c r="C252" s="644">
        <v>200000</v>
      </c>
      <c r="D252" s="644">
        <f>200000+70000</f>
        <v>270000</v>
      </c>
      <c r="E252" s="644">
        <v>187850</v>
      </c>
      <c r="F252" s="644"/>
      <c r="G252" s="1051"/>
      <c r="H252" s="1055"/>
      <c r="I252" s="1056"/>
      <c r="J252" s="29">
        <v>116435.06</v>
      </c>
    </row>
    <row r="253" spans="1:10" ht="30" customHeight="1" x14ac:dyDescent="0.2">
      <c r="A253" s="769" t="s">
        <v>270</v>
      </c>
      <c r="B253" s="770" t="s">
        <v>1927</v>
      </c>
      <c r="C253" s="644">
        <v>500000</v>
      </c>
      <c r="D253" s="644">
        <f>500000+242676+100000</f>
        <v>842676</v>
      </c>
      <c r="E253" s="644">
        <v>623565.36</v>
      </c>
      <c r="F253" s="644"/>
      <c r="G253" s="1051"/>
      <c r="H253" s="1055"/>
      <c r="I253" s="1056"/>
      <c r="J253" s="29">
        <v>95198.15</v>
      </c>
    </row>
    <row r="254" spans="1:10" ht="30" customHeight="1" x14ac:dyDescent="0.2">
      <c r="A254" s="769" t="s">
        <v>272</v>
      </c>
      <c r="B254" s="643" t="s">
        <v>1221</v>
      </c>
      <c r="C254" s="644">
        <v>700000</v>
      </c>
      <c r="D254" s="644">
        <f>700000-100000</f>
        <v>600000</v>
      </c>
      <c r="E254" s="644">
        <v>596610.27</v>
      </c>
      <c r="F254" s="644"/>
      <c r="G254" s="1051"/>
      <c r="H254" s="1055"/>
      <c r="I254" s="1056"/>
      <c r="J254" s="29">
        <v>0</v>
      </c>
    </row>
    <row r="255" spans="1:10" s="2" customFormat="1" ht="30" customHeight="1" x14ac:dyDescent="0.2">
      <c r="A255" s="769" t="s">
        <v>272</v>
      </c>
      <c r="B255" s="668" t="s">
        <v>1222</v>
      </c>
      <c r="C255" s="644">
        <v>200000</v>
      </c>
      <c r="D255" s="644">
        <v>200000</v>
      </c>
      <c r="E255" s="644">
        <v>0</v>
      </c>
      <c r="F255" s="644"/>
      <c r="G255" s="1051"/>
      <c r="H255" s="1055"/>
      <c r="I255" s="670"/>
      <c r="J255" s="32">
        <v>0</v>
      </c>
    </row>
    <row r="256" spans="1:10" ht="30" customHeight="1" x14ac:dyDescent="0.2">
      <c r="A256" s="660">
        <v>2333</v>
      </c>
      <c r="B256" s="626" t="s">
        <v>1223</v>
      </c>
      <c r="C256" s="771">
        <f>SUM(C257:C258)</f>
        <v>180000</v>
      </c>
      <c r="D256" s="771">
        <f>SUM(D257:D258)</f>
        <v>110000</v>
      </c>
      <c r="E256" s="771">
        <v>37244</v>
      </c>
      <c r="F256" s="678">
        <f>SUM(E257:E258)</f>
        <v>37244</v>
      </c>
      <c r="G256" s="630"/>
      <c r="H256" s="1052"/>
      <c r="I256" s="631"/>
      <c r="J256" s="29">
        <v>0</v>
      </c>
    </row>
    <row r="257" spans="1:10" ht="30" customHeight="1" x14ac:dyDescent="0.2">
      <c r="A257" s="769" t="s">
        <v>276</v>
      </c>
      <c r="B257" s="643" t="s">
        <v>1224</v>
      </c>
      <c r="C257" s="644">
        <v>80000</v>
      </c>
      <c r="D257" s="644">
        <v>80000</v>
      </c>
      <c r="E257" s="644">
        <v>37244</v>
      </c>
      <c r="F257" s="644"/>
      <c r="G257" s="1051"/>
      <c r="H257" s="1055"/>
      <c r="I257" s="1056"/>
      <c r="J257" s="29">
        <v>0</v>
      </c>
    </row>
    <row r="258" spans="1:10" ht="30" customHeight="1" x14ac:dyDescent="0.2">
      <c r="A258" s="769" t="s">
        <v>278</v>
      </c>
      <c r="B258" s="643" t="s">
        <v>1225</v>
      </c>
      <c r="C258" s="694">
        <v>100000</v>
      </c>
      <c r="D258" s="694">
        <f>100000-70000</f>
        <v>30000</v>
      </c>
      <c r="E258" s="694">
        <v>0</v>
      </c>
      <c r="F258" s="694"/>
      <c r="G258" s="1051"/>
      <c r="H258" s="1055"/>
      <c r="I258" s="1056"/>
      <c r="J258" s="29">
        <v>0</v>
      </c>
    </row>
    <row r="259" spans="1:10" s="98" customFormat="1" ht="30" customHeight="1" x14ac:dyDescent="0.25">
      <c r="A259" s="621"/>
      <c r="B259" s="657" t="s">
        <v>279</v>
      </c>
      <c r="C259" s="772">
        <f>SUM(C260+C272+C280)</f>
        <v>47752000</v>
      </c>
      <c r="D259" s="772">
        <f>SUM(D260+D272+D280)</f>
        <v>35217877.310000002</v>
      </c>
      <c r="E259" s="772">
        <v>33933965.600000001</v>
      </c>
      <c r="F259" s="1086">
        <f>SUM(E260,E272,E280)</f>
        <v>33933965.600000001</v>
      </c>
      <c r="G259" s="623"/>
      <c r="H259" s="623"/>
      <c r="I259" s="741"/>
      <c r="J259" s="29">
        <v>13707643.050000001</v>
      </c>
    </row>
    <row r="260" spans="1:10" s="98" customFormat="1" ht="30" customHeight="1" x14ac:dyDescent="0.2">
      <c r="A260" s="699">
        <v>2212</v>
      </c>
      <c r="B260" s="767" t="s">
        <v>1226</v>
      </c>
      <c r="C260" s="661">
        <f>SUM(C262:C271)</f>
        <v>45642000</v>
      </c>
      <c r="D260" s="661">
        <f>SUM(D262:D271)</f>
        <v>33684863</v>
      </c>
      <c r="E260" s="661">
        <v>33039445.960000001</v>
      </c>
      <c r="F260" s="1059">
        <f>SUM(E262:E271)</f>
        <v>33039445.460000001</v>
      </c>
      <c r="G260" s="630"/>
      <c r="H260" s="1052"/>
      <c r="I260" s="631"/>
      <c r="J260" s="29">
        <v>13607909.050000001</v>
      </c>
    </row>
    <row r="261" spans="1:10" s="2" customFormat="1" ht="30" customHeight="1" x14ac:dyDescent="0.2">
      <c r="A261" s="715"/>
      <c r="B261" s="679" t="s">
        <v>1227</v>
      </c>
      <c r="C261" s="652">
        <f>SUM(C262:C264)</f>
        <v>11467000</v>
      </c>
      <c r="D261" s="652">
        <f>SUM(D262:D264)</f>
        <v>773190</v>
      </c>
      <c r="E261" s="652">
        <v>773190</v>
      </c>
      <c r="F261" s="652"/>
      <c r="G261" s="1051"/>
      <c r="H261" s="1055"/>
      <c r="I261" s="1056"/>
      <c r="J261" s="88">
        <v>0</v>
      </c>
    </row>
    <row r="262" spans="1:10" s="98" customFormat="1" ht="30" customHeight="1" x14ac:dyDescent="0.2">
      <c r="A262" s="769" t="s">
        <v>282</v>
      </c>
      <c r="B262" s="773" t="s">
        <v>1228</v>
      </c>
      <c r="C262" s="644">
        <v>30000</v>
      </c>
      <c r="D262" s="644">
        <f>30000-30000</f>
        <v>0</v>
      </c>
      <c r="E262" s="644">
        <v>0</v>
      </c>
      <c r="F262" s="644"/>
      <c r="G262" s="1051"/>
      <c r="H262" s="1055"/>
      <c r="I262" s="1056"/>
      <c r="J262" s="29">
        <v>0</v>
      </c>
    </row>
    <row r="263" spans="1:10" s="98" customFormat="1" ht="30" customHeight="1" x14ac:dyDescent="0.2">
      <c r="A263" s="769" t="s">
        <v>282</v>
      </c>
      <c r="B263" s="773" t="s">
        <v>1229</v>
      </c>
      <c r="C263" s="644">
        <v>10637000</v>
      </c>
      <c r="D263" s="644">
        <f>10637000-10637000</f>
        <v>0</v>
      </c>
      <c r="E263" s="644">
        <v>0</v>
      </c>
      <c r="F263" s="644"/>
      <c r="G263" s="1051"/>
      <c r="H263" s="1055"/>
      <c r="I263" s="1056"/>
      <c r="J263" s="29">
        <v>0</v>
      </c>
    </row>
    <row r="264" spans="1:10" s="98" customFormat="1" ht="30" customHeight="1" x14ac:dyDescent="0.2">
      <c r="A264" s="769" t="s">
        <v>282</v>
      </c>
      <c r="B264" s="773" t="s">
        <v>1230</v>
      </c>
      <c r="C264" s="644">
        <v>800000</v>
      </c>
      <c r="D264" s="644">
        <f>800000-26810</f>
        <v>773190</v>
      </c>
      <c r="E264" s="644">
        <v>773190</v>
      </c>
      <c r="F264" s="644"/>
      <c r="G264" s="1051"/>
      <c r="H264" s="1055"/>
      <c r="I264" s="1056"/>
      <c r="J264" s="29">
        <v>0</v>
      </c>
    </row>
    <row r="265" spans="1:10" s="98" customFormat="1" ht="30" customHeight="1" x14ac:dyDescent="0.2">
      <c r="A265" s="769" t="s">
        <v>286</v>
      </c>
      <c r="B265" s="643" t="s">
        <v>1231</v>
      </c>
      <c r="C265" s="644">
        <v>4440000</v>
      </c>
      <c r="D265" s="644">
        <f>4440000+300000</f>
        <v>4740000</v>
      </c>
      <c r="E265" s="644">
        <v>4740000</v>
      </c>
      <c r="F265" s="644">
        <f>SUM(E265:E266)</f>
        <v>28370000</v>
      </c>
      <c r="G265" s="1051"/>
      <c r="H265" s="1055"/>
      <c r="I265" s="1056"/>
      <c r="J265" s="29">
        <v>2694046</v>
      </c>
    </row>
    <row r="266" spans="1:10" s="98" customFormat="1" ht="30" customHeight="1" x14ac:dyDescent="0.2">
      <c r="A266" s="769" t="s">
        <v>286</v>
      </c>
      <c r="B266" s="643" t="s">
        <v>1232</v>
      </c>
      <c r="C266" s="644">
        <v>23730000</v>
      </c>
      <c r="D266" s="644">
        <f>23730000-100000-1600000</f>
        <v>22030000</v>
      </c>
      <c r="E266" s="644">
        <v>23630000</v>
      </c>
      <c r="F266" s="644"/>
      <c r="G266" s="1051"/>
      <c r="H266" s="1055"/>
      <c r="I266" s="1056"/>
      <c r="J266" s="29">
        <v>10744464</v>
      </c>
    </row>
    <row r="267" spans="1:10" s="98" customFormat="1" ht="30" customHeight="1" x14ac:dyDescent="0.2">
      <c r="A267" s="769" t="s">
        <v>291</v>
      </c>
      <c r="B267" s="643" t="s">
        <v>1233</v>
      </c>
      <c r="C267" s="644">
        <v>2000000</v>
      </c>
      <c r="D267" s="644">
        <f>2000000+61673-100000-125000</f>
        <v>1836673</v>
      </c>
      <c r="E267" s="644">
        <v>917408.84</v>
      </c>
      <c r="F267" s="644">
        <f>SUM(E267:E268)</f>
        <v>2404175.46</v>
      </c>
      <c r="G267" s="1051"/>
      <c r="H267" s="1055"/>
      <c r="I267" s="1056"/>
      <c r="J267" s="29">
        <v>169399.05</v>
      </c>
    </row>
    <row r="268" spans="1:10" s="98" customFormat="1" ht="30" customHeight="1" x14ac:dyDescent="0.2">
      <c r="A268" s="769" t="s">
        <v>291</v>
      </c>
      <c r="B268" s="643" t="s">
        <v>1234</v>
      </c>
      <c r="C268" s="644">
        <v>1000000</v>
      </c>
      <c r="D268" s="644">
        <f>1000000+500000+300000+300000</f>
        <v>2100000</v>
      </c>
      <c r="E268" s="644">
        <v>1486766.62</v>
      </c>
      <c r="F268" s="644"/>
      <c r="G268" s="1051"/>
      <c r="H268" s="1055"/>
      <c r="I268" s="1056"/>
      <c r="J268" s="29">
        <v>0</v>
      </c>
    </row>
    <row r="269" spans="1:10" s="98" customFormat="1" ht="30" customHeight="1" x14ac:dyDescent="0.2">
      <c r="A269" s="769" t="s">
        <v>293</v>
      </c>
      <c r="B269" s="643" t="s">
        <v>1235</v>
      </c>
      <c r="C269" s="644">
        <v>2050000</v>
      </c>
      <c r="D269" s="644">
        <f>2050000-500000-300000-550000</f>
        <v>700000</v>
      </c>
      <c r="E269" s="644">
        <v>189987</v>
      </c>
      <c r="F269" s="644">
        <f>SUM(E269:E270)</f>
        <v>887080</v>
      </c>
      <c r="G269" s="1051"/>
      <c r="H269" s="1055"/>
      <c r="I269" s="1056"/>
      <c r="J269" s="29">
        <v>0</v>
      </c>
    </row>
    <row r="270" spans="1:10" s="98" customFormat="1" ht="30" customHeight="1" x14ac:dyDescent="0.2">
      <c r="A270" s="769" t="s">
        <v>293</v>
      </c>
      <c r="B270" s="643" t="s">
        <v>1236</v>
      </c>
      <c r="C270" s="644">
        <v>350000</v>
      </c>
      <c r="D270" s="644">
        <f>350000+550000</f>
        <v>900000</v>
      </c>
      <c r="E270" s="644">
        <v>697093</v>
      </c>
      <c r="F270" s="644"/>
      <c r="G270" s="1051"/>
      <c r="H270" s="1055"/>
      <c r="I270" s="1056"/>
      <c r="J270" s="29">
        <v>0</v>
      </c>
    </row>
    <row r="271" spans="1:10" s="98" customFormat="1" ht="30" customHeight="1" x14ac:dyDescent="0.2">
      <c r="A271" s="769" t="s">
        <v>1237</v>
      </c>
      <c r="B271" s="643" t="s">
        <v>1238</v>
      </c>
      <c r="C271" s="644">
        <v>605000</v>
      </c>
      <c r="D271" s="644">
        <v>605000</v>
      </c>
      <c r="E271" s="644">
        <v>605000</v>
      </c>
      <c r="F271" s="644"/>
      <c r="G271" s="1051"/>
      <c r="H271" s="1055"/>
      <c r="I271" s="1056"/>
      <c r="J271" s="29">
        <v>0</v>
      </c>
    </row>
    <row r="272" spans="1:10" s="98" customFormat="1" ht="30" customHeight="1" x14ac:dyDescent="0.2">
      <c r="A272" s="663">
        <v>2219</v>
      </c>
      <c r="B272" s="629" t="s">
        <v>1241</v>
      </c>
      <c r="C272" s="635">
        <f>SUM(C274+C276+C277+C278+C275+C279)</f>
        <v>1960000</v>
      </c>
      <c r="D272" s="635">
        <f>SUM(D274+D276+D277+D278+D275+D279)</f>
        <v>1381890.31</v>
      </c>
      <c r="E272" s="635">
        <v>837551.63</v>
      </c>
      <c r="F272" s="652">
        <f>SUM(E273,E277:E279)</f>
        <v>837551.63</v>
      </c>
      <c r="G272" s="630"/>
      <c r="H272" s="1052"/>
      <c r="I272" s="631"/>
      <c r="J272" s="29">
        <v>99734</v>
      </c>
    </row>
    <row r="273" spans="1:10" s="98" customFormat="1" ht="30" customHeight="1" x14ac:dyDescent="0.2">
      <c r="A273" s="769"/>
      <c r="B273" s="679" t="s">
        <v>281</v>
      </c>
      <c r="C273" s="652">
        <f>SUM(C274:C276)</f>
        <v>1300000</v>
      </c>
      <c r="D273" s="652">
        <f>SUM(D274:D276)</f>
        <v>603000</v>
      </c>
      <c r="E273" s="652">
        <v>415706.63</v>
      </c>
      <c r="F273" s="652">
        <f>SUM(E274:E276)</f>
        <v>415706.63</v>
      </c>
      <c r="G273" s="1051"/>
      <c r="H273" s="1055"/>
      <c r="I273" s="1056"/>
      <c r="J273" s="29">
        <v>99734</v>
      </c>
    </row>
    <row r="274" spans="1:10" s="98" customFormat="1" ht="30" customHeight="1" x14ac:dyDescent="0.2">
      <c r="A274" s="769" t="s">
        <v>474</v>
      </c>
      <c r="B274" s="643" t="s">
        <v>1248</v>
      </c>
      <c r="C274" s="644">
        <v>700000</v>
      </c>
      <c r="D274" s="644">
        <f>700000-700000+3000</f>
        <v>3000</v>
      </c>
      <c r="E274" s="644">
        <v>3000</v>
      </c>
      <c r="F274" s="644"/>
      <c r="G274" s="1051"/>
      <c r="H274" s="1055"/>
      <c r="I274" s="1056"/>
      <c r="J274" s="29">
        <v>0</v>
      </c>
    </row>
    <row r="275" spans="1:10" s="98" customFormat="1" ht="30" customHeight="1" x14ac:dyDescent="0.2">
      <c r="A275" s="769" t="s">
        <v>1251</v>
      </c>
      <c r="B275" s="643" t="s">
        <v>1252</v>
      </c>
      <c r="C275" s="644">
        <v>500000</v>
      </c>
      <c r="D275" s="644">
        <v>500000</v>
      </c>
      <c r="E275" s="644">
        <v>385844.63</v>
      </c>
      <c r="F275" s="644"/>
      <c r="G275" s="1051"/>
      <c r="H275" s="1055"/>
      <c r="I275" s="1056"/>
      <c r="J275" s="29">
        <v>0</v>
      </c>
    </row>
    <row r="276" spans="1:10" s="98" customFormat="1" ht="30" customHeight="1" x14ac:dyDescent="0.2">
      <c r="A276" s="769" t="s">
        <v>498</v>
      </c>
      <c r="B276" s="643" t="s">
        <v>1253</v>
      </c>
      <c r="C276" s="644">
        <v>100000</v>
      </c>
      <c r="D276" s="644">
        <v>100000</v>
      </c>
      <c r="E276" s="644">
        <v>26862</v>
      </c>
      <c r="F276" s="644"/>
      <c r="G276" s="1051"/>
      <c r="H276" s="1055"/>
      <c r="I276" s="1056"/>
      <c r="J276" s="29">
        <v>50748</v>
      </c>
    </row>
    <row r="277" spans="1:10" s="98" customFormat="1" ht="30" customHeight="1" x14ac:dyDescent="0.2">
      <c r="A277" s="769" t="s">
        <v>1254</v>
      </c>
      <c r="B277" s="643" t="s">
        <v>1255</v>
      </c>
      <c r="C277" s="644">
        <v>10000</v>
      </c>
      <c r="D277" s="644">
        <f>10000-3000</f>
        <v>7000</v>
      </c>
      <c r="E277" s="644">
        <v>0</v>
      </c>
      <c r="F277" s="644">
        <f>SUM(E277:E279)</f>
        <v>421845</v>
      </c>
      <c r="G277" s="1051"/>
      <c r="H277" s="1055"/>
      <c r="I277" s="1056"/>
      <c r="J277" s="29">
        <v>0</v>
      </c>
    </row>
    <row r="278" spans="1:10" s="98" customFormat="1" ht="30" customHeight="1" x14ac:dyDescent="0.2">
      <c r="A278" s="774" t="s">
        <v>299</v>
      </c>
      <c r="B278" s="690" t="s">
        <v>1256</v>
      </c>
      <c r="C278" s="644">
        <v>100000</v>
      </c>
      <c r="D278" s="644">
        <f>100000+114240</f>
        <v>214240</v>
      </c>
      <c r="E278" s="644">
        <v>214240</v>
      </c>
      <c r="F278" s="644"/>
      <c r="G278" s="1051"/>
      <c r="H278" s="1055"/>
      <c r="I278" s="1056"/>
      <c r="J278" s="29">
        <v>0</v>
      </c>
    </row>
    <row r="279" spans="1:10" s="98" customFormat="1" ht="30" customHeight="1" x14ac:dyDescent="0.2">
      <c r="A279" s="774" t="s">
        <v>301</v>
      </c>
      <c r="B279" s="690" t="s">
        <v>1257</v>
      </c>
      <c r="C279" s="644">
        <v>550000</v>
      </c>
      <c r="D279" s="644">
        <f>550000-76104.43-103109.69+76104.43+100000+125000-114240</f>
        <v>557650.31000000006</v>
      </c>
      <c r="E279" s="644">
        <v>207605</v>
      </c>
      <c r="F279" s="644"/>
      <c r="G279" s="1051"/>
      <c r="H279" s="1055"/>
      <c r="I279" s="1056"/>
      <c r="J279" s="29">
        <v>0</v>
      </c>
    </row>
    <row r="280" spans="1:10" ht="30" customHeight="1" x14ac:dyDescent="0.2">
      <c r="A280" s="663">
        <v>2221</v>
      </c>
      <c r="B280" s="629" t="s">
        <v>1258</v>
      </c>
      <c r="C280" s="635">
        <f>SUM(C281,C283:C284)</f>
        <v>150000</v>
      </c>
      <c r="D280" s="635">
        <f>SUM(D281,D283:D284)</f>
        <v>151124</v>
      </c>
      <c r="E280" s="635">
        <v>56968.01</v>
      </c>
      <c r="F280" s="652">
        <f>SUM(E282:E284)</f>
        <v>56968.009999999995</v>
      </c>
      <c r="G280" s="630"/>
      <c r="H280" s="1052"/>
      <c r="I280" s="631"/>
      <c r="J280" s="29">
        <v>0</v>
      </c>
    </row>
    <row r="281" spans="1:10" s="2" customFormat="1" ht="30" customHeight="1" x14ac:dyDescent="0.2">
      <c r="A281" s="715"/>
      <c r="B281" s="679" t="s">
        <v>281</v>
      </c>
      <c r="C281" s="652">
        <f>SUM(C282)</f>
        <v>0</v>
      </c>
      <c r="D281" s="652">
        <f>SUM(D282)</f>
        <v>29498.59</v>
      </c>
      <c r="E281" s="652">
        <v>29498.59</v>
      </c>
      <c r="F281" s="652"/>
      <c r="G281" s="1051"/>
      <c r="H281" s="1055"/>
      <c r="I281" s="1056"/>
      <c r="J281" s="88">
        <v>0</v>
      </c>
    </row>
    <row r="282" spans="1:10" ht="30" customHeight="1" x14ac:dyDescent="0.2">
      <c r="A282" s="769" t="s">
        <v>1259</v>
      </c>
      <c r="B282" s="672" t="s">
        <v>1928</v>
      </c>
      <c r="C282" s="644">
        <v>0</v>
      </c>
      <c r="D282" s="644">
        <v>29498.59</v>
      </c>
      <c r="E282" s="644">
        <v>29498.59</v>
      </c>
      <c r="F282" s="644"/>
      <c r="G282" s="1051"/>
      <c r="H282" s="1055"/>
      <c r="I282" s="1056"/>
      <c r="J282" s="29">
        <v>0</v>
      </c>
    </row>
    <row r="283" spans="1:10" ht="30" customHeight="1" x14ac:dyDescent="0.2">
      <c r="A283" s="775" t="s">
        <v>308</v>
      </c>
      <c r="B283" s="679" t="s">
        <v>1929</v>
      </c>
      <c r="C283" s="644">
        <v>60000</v>
      </c>
      <c r="D283" s="644">
        <f>60000-29498.59</f>
        <v>30501.41</v>
      </c>
      <c r="E283" s="644">
        <v>0</v>
      </c>
      <c r="F283" s="644"/>
      <c r="G283" s="1051"/>
      <c r="H283" s="1055"/>
      <c r="I283" s="1056"/>
      <c r="J283" s="29">
        <v>0</v>
      </c>
    </row>
    <row r="284" spans="1:10" ht="30" customHeight="1" x14ac:dyDescent="0.2">
      <c r="A284" s="775" t="s">
        <v>310</v>
      </c>
      <c r="B284" s="776" t="s">
        <v>1930</v>
      </c>
      <c r="C284" s="644">
        <v>90000</v>
      </c>
      <c r="D284" s="644">
        <f>90000+1124</f>
        <v>91124</v>
      </c>
      <c r="E284" s="644">
        <v>27469.42</v>
      </c>
      <c r="F284" s="644"/>
      <c r="G284" s="1051"/>
      <c r="H284" s="1055"/>
      <c r="I284" s="1056"/>
      <c r="J284" s="29">
        <v>0</v>
      </c>
    </row>
    <row r="285" spans="1:10" ht="30" customHeight="1" x14ac:dyDescent="0.25">
      <c r="A285" s="621"/>
      <c r="B285" s="657" t="s">
        <v>312</v>
      </c>
      <c r="C285" s="777">
        <f t="shared" ref="C285:D285" si="6">C286</f>
        <v>1050000</v>
      </c>
      <c r="D285" s="777">
        <f t="shared" si="6"/>
        <v>1050000</v>
      </c>
      <c r="E285" s="777">
        <v>329349</v>
      </c>
      <c r="F285" s="1087">
        <f>SUM(E287:E294)</f>
        <v>329349</v>
      </c>
      <c r="G285" s="623"/>
      <c r="H285" s="623"/>
      <c r="I285" s="741"/>
      <c r="J285" s="29">
        <v>1620922</v>
      </c>
    </row>
    <row r="286" spans="1:10" ht="30" customHeight="1" x14ac:dyDescent="0.2">
      <c r="A286" s="766">
        <v>3639</v>
      </c>
      <c r="B286" s="767" t="s">
        <v>313</v>
      </c>
      <c r="C286" s="661">
        <f>SUM(C287:C294)</f>
        <v>1050000</v>
      </c>
      <c r="D286" s="661">
        <f>SUM(D287:D294)</f>
        <v>1050000</v>
      </c>
      <c r="E286" s="661">
        <v>329349</v>
      </c>
      <c r="F286" s="1059"/>
      <c r="G286" s="630"/>
      <c r="H286" s="1052"/>
      <c r="I286" s="631"/>
      <c r="J286" s="29">
        <v>1620922</v>
      </c>
    </row>
    <row r="287" spans="1:10" ht="30" customHeight="1" x14ac:dyDescent="0.2">
      <c r="A287" s="769" t="s">
        <v>314</v>
      </c>
      <c r="B287" s="672" t="s">
        <v>1263</v>
      </c>
      <c r="C287" s="644">
        <v>500000</v>
      </c>
      <c r="D287" s="644">
        <v>500000</v>
      </c>
      <c r="E287" s="644">
        <v>10290</v>
      </c>
      <c r="F287" s="644"/>
      <c r="G287" s="1051"/>
      <c r="H287" s="1055"/>
      <c r="I287" s="1056"/>
      <c r="J287" s="29">
        <v>1517250</v>
      </c>
    </row>
    <row r="288" spans="1:10" ht="30" customHeight="1" x14ac:dyDescent="0.2">
      <c r="A288" s="769" t="s">
        <v>316</v>
      </c>
      <c r="B288" s="643" t="s">
        <v>1264</v>
      </c>
      <c r="C288" s="644">
        <v>50000</v>
      </c>
      <c r="D288" s="644">
        <v>50000</v>
      </c>
      <c r="E288" s="644">
        <v>4235</v>
      </c>
      <c r="F288" s="644"/>
      <c r="G288" s="1051"/>
      <c r="H288" s="1055"/>
      <c r="I288" s="1056"/>
      <c r="J288" s="29">
        <v>0</v>
      </c>
    </row>
    <row r="289" spans="1:10" ht="30" customHeight="1" x14ac:dyDescent="0.2">
      <c r="A289" s="778" t="s">
        <v>316</v>
      </c>
      <c r="B289" s="690" t="s">
        <v>1265</v>
      </c>
      <c r="C289" s="644">
        <v>50000</v>
      </c>
      <c r="D289" s="644">
        <v>50000</v>
      </c>
      <c r="E289" s="644">
        <v>0</v>
      </c>
      <c r="F289" s="644"/>
      <c r="G289" s="1051"/>
      <c r="H289" s="1055"/>
      <c r="I289" s="1056"/>
      <c r="J289" s="29">
        <v>0</v>
      </c>
    </row>
    <row r="290" spans="1:10" ht="30" customHeight="1" x14ac:dyDescent="0.2">
      <c r="A290" s="769" t="s">
        <v>325</v>
      </c>
      <c r="B290" s="643" t="s">
        <v>1266</v>
      </c>
      <c r="C290" s="644">
        <v>50000</v>
      </c>
      <c r="D290" s="644">
        <f>50000-8000+15000</f>
        <v>57000</v>
      </c>
      <c r="E290" s="644">
        <v>56250</v>
      </c>
      <c r="F290" s="644"/>
      <c r="G290" s="1051"/>
      <c r="H290" s="1055"/>
      <c r="I290" s="1056"/>
      <c r="J290" s="29">
        <v>0</v>
      </c>
    </row>
    <row r="291" spans="1:10" ht="30" customHeight="1" x14ac:dyDescent="0.2">
      <c r="A291" s="769" t="s">
        <v>321</v>
      </c>
      <c r="B291" s="643" t="s">
        <v>1267</v>
      </c>
      <c r="C291" s="644">
        <v>150000</v>
      </c>
      <c r="D291" s="644">
        <v>150000</v>
      </c>
      <c r="E291" s="644">
        <v>106135</v>
      </c>
      <c r="F291" s="644"/>
      <c r="G291" s="1051"/>
      <c r="H291" s="1055"/>
      <c r="I291" s="1056"/>
      <c r="J291" s="29">
        <v>29960</v>
      </c>
    </row>
    <row r="292" spans="1:10" ht="30" customHeight="1" x14ac:dyDescent="0.2">
      <c r="A292" s="769" t="s">
        <v>323</v>
      </c>
      <c r="B292" s="643" t="s">
        <v>1268</v>
      </c>
      <c r="C292" s="644">
        <v>210000</v>
      </c>
      <c r="D292" s="644">
        <f>210000-15000</f>
        <v>195000</v>
      </c>
      <c r="E292" s="644">
        <v>129224</v>
      </c>
      <c r="F292" s="644"/>
      <c r="G292" s="1051"/>
      <c r="H292" s="1055"/>
      <c r="I292" s="1056"/>
      <c r="J292" s="29">
        <v>56491</v>
      </c>
    </row>
    <row r="293" spans="1:10" ht="30" customHeight="1" x14ac:dyDescent="0.2">
      <c r="A293" s="775" t="s">
        <v>331</v>
      </c>
      <c r="B293" s="643" t="s">
        <v>1269</v>
      </c>
      <c r="C293" s="644">
        <v>10000</v>
      </c>
      <c r="D293" s="644">
        <f>10000+8000</f>
        <v>18000</v>
      </c>
      <c r="E293" s="644">
        <v>12000</v>
      </c>
      <c r="F293" s="644"/>
      <c r="G293" s="1051"/>
      <c r="H293" s="1055"/>
      <c r="I293" s="1056"/>
      <c r="J293" s="29">
        <v>10000</v>
      </c>
    </row>
    <row r="294" spans="1:10" ht="30" customHeight="1" x14ac:dyDescent="0.2">
      <c r="A294" s="775" t="s">
        <v>333</v>
      </c>
      <c r="B294" s="779" t="s">
        <v>1270</v>
      </c>
      <c r="C294" s="644">
        <v>30000</v>
      </c>
      <c r="D294" s="644">
        <v>30000</v>
      </c>
      <c r="E294" s="644">
        <v>11215</v>
      </c>
      <c r="F294" s="644"/>
      <c r="G294" s="1051"/>
      <c r="H294" s="1055"/>
      <c r="I294" s="1056"/>
      <c r="J294" s="29">
        <v>7221</v>
      </c>
    </row>
    <row r="295" spans="1:10" ht="30" customHeight="1" x14ac:dyDescent="0.25">
      <c r="A295" s="621"/>
      <c r="B295" s="657" t="s">
        <v>335</v>
      </c>
      <c r="C295" s="780">
        <f>SUM(C296,C300,C303,C310,C319,C334,C341,C343,C346)</f>
        <v>25037044.199999999</v>
      </c>
      <c r="D295" s="780">
        <f>SUM(D296,D300,D303,D310,D319,D334,D341,D343,D346)</f>
        <v>22345722.890000001</v>
      </c>
      <c r="E295" s="780">
        <v>17844478.940000001</v>
      </c>
      <c r="F295" s="1088">
        <f>SUM(E296,E300,E303,E310,E319,E334,E340,E342,E345)</f>
        <v>17844478.940000001</v>
      </c>
      <c r="G295" s="623"/>
      <c r="H295" s="623"/>
      <c r="I295" s="741"/>
      <c r="J295" s="29">
        <v>6236963.8799999999</v>
      </c>
    </row>
    <row r="296" spans="1:10" ht="30" customHeight="1" x14ac:dyDescent="0.2">
      <c r="A296" s="766">
        <v>3341</v>
      </c>
      <c r="B296" s="767" t="s">
        <v>1271</v>
      </c>
      <c r="C296" s="687">
        <f>SUM(C297:C299)</f>
        <v>225000</v>
      </c>
      <c r="D296" s="687">
        <f>SUM(D297:D299)</f>
        <v>225000</v>
      </c>
      <c r="E296" s="687">
        <v>217275.44</v>
      </c>
      <c r="F296" s="1089">
        <f>SUM(E297:E299)</f>
        <v>217275.44</v>
      </c>
      <c r="G296" s="630"/>
      <c r="H296" s="1052"/>
      <c r="I296" s="631"/>
      <c r="J296" s="29">
        <v>4522.3500000000004</v>
      </c>
    </row>
    <row r="297" spans="1:10" ht="30" customHeight="1" x14ac:dyDescent="0.2">
      <c r="A297" s="769" t="s">
        <v>337</v>
      </c>
      <c r="B297" s="672" t="s">
        <v>338</v>
      </c>
      <c r="C297" s="644">
        <v>145000</v>
      </c>
      <c r="D297" s="644">
        <v>145000</v>
      </c>
      <c r="E297" s="644">
        <v>144072.28</v>
      </c>
      <c r="F297" s="644"/>
      <c r="G297" s="1051"/>
      <c r="H297" s="1055"/>
      <c r="I297" s="1056"/>
      <c r="J297" s="29">
        <v>647.35</v>
      </c>
    </row>
    <row r="298" spans="1:10" ht="30" customHeight="1" x14ac:dyDescent="0.2">
      <c r="A298" s="769" t="s">
        <v>339</v>
      </c>
      <c r="B298" s="672" t="s">
        <v>1272</v>
      </c>
      <c r="C298" s="644">
        <v>5000</v>
      </c>
      <c r="D298" s="644">
        <v>5000</v>
      </c>
      <c r="E298" s="644">
        <v>3875</v>
      </c>
      <c r="F298" s="644"/>
      <c r="G298" s="1051"/>
      <c r="H298" s="1055"/>
      <c r="I298" s="1056"/>
      <c r="J298" s="29">
        <v>3875</v>
      </c>
    </row>
    <row r="299" spans="1:10" ht="30" customHeight="1" x14ac:dyDescent="0.2">
      <c r="A299" s="769" t="s">
        <v>1273</v>
      </c>
      <c r="B299" s="672" t="s">
        <v>1274</v>
      </c>
      <c r="C299" s="644">
        <v>75000</v>
      </c>
      <c r="D299" s="644">
        <v>75000</v>
      </c>
      <c r="E299" s="644">
        <v>69328.160000000003</v>
      </c>
      <c r="F299" s="644"/>
      <c r="G299" s="1051"/>
      <c r="H299" s="1055"/>
      <c r="I299" s="1056"/>
      <c r="J299" s="29">
        <v>0</v>
      </c>
    </row>
    <row r="300" spans="1:10" ht="30" customHeight="1" x14ac:dyDescent="0.2">
      <c r="A300" s="660">
        <v>3412</v>
      </c>
      <c r="B300" s="629" t="s">
        <v>1931</v>
      </c>
      <c r="C300" s="635">
        <f>SUM(C302)</f>
        <v>0</v>
      </c>
      <c r="D300" s="635">
        <f>SUM(D301:D302)</f>
        <v>694029.69</v>
      </c>
      <c r="E300" s="635">
        <v>691424.25</v>
      </c>
      <c r="F300" s="652"/>
      <c r="G300" s="630"/>
      <c r="H300" s="1052"/>
      <c r="I300" s="631"/>
      <c r="J300" s="29">
        <v>0</v>
      </c>
    </row>
    <row r="301" spans="1:10" ht="30" customHeight="1" x14ac:dyDescent="0.2">
      <c r="A301" s="769" t="s">
        <v>1932</v>
      </c>
      <c r="B301" s="782" t="s">
        <v>1933</v>
      </c>
      <c r="C301" s="678">
        <v>0</v>
      </c>
      <c r="D301" s="678">
        <f>274029.69+220000</f>
        <v>494029.69</v>
      </c>
      <c r="E301" s="678">
        <v>494029.69</v>
      </c>
      <c r="F301" s="678"/>
      <c r="G301" s="1051"/>
      <c r="H301" s="1055"/>
      <c r="I301" s="1056"/>
      <c r="J301" s="29">
        <v>0</v>
      </c>
    </row>
    <row r="302" spans="1:10" ht="30" customHeight="1" x14ac:dyDescent="0.2">
      <c r="A302" s="769" t="s">
        <v>1932</v>
      </c>
      <c r="B302" s="782" t="s">
        <v>2114</v>
      </c>
      <c r="C302" s="678">
        <v>0</v>
      </c>
      <c r="D302" s="678">
        <v>200000</v>
      </c>
      <c r="E302" s="678">
        <v>197394.56</v>
      </c>
      <c r="F302" s="678"/>
      <c r="G302" s="1051"/>
      <c r="H302" s="1055"/>
      <c r="I302" s="1056"/>
      <c r="J302" s="29">
        <v>0</v>
      </c>
    </row>
    <row r="303" spans="1:10" ht="30" customHeight="1" x14ac:dyDescent="0.2">
      <c r="A303" s="660">
        <v>3421</v>
      </c>
      <c r="B303" s="629" t="s">
        <v>1275</v>
      </c>
      <c r="C303" s="635">
        <f>SUM(C304:C309)</f>
        <v>1740000</v>
      </c>
      <c r="D303" s="635">
        <f>SUM(D304:D309)</f>
        <v>1669080</v>
      </c>
      <c r="E303" s="635">
        <v>1580432.45</v>
      </c>
      <c r="F303" s="652">
        <f>SUM(E304:E309)</f>
        <v>1580432.4500000002</v>
      </c>
      <c r="G303" s="630"/>
      <c r="H303" s="1052"/>
      <c r="I303" s="631"/>
      <c r="J303" s="29">
        <v>599298.93000000005</v>
      </c>
    </row>
    <row r="304" spans="1:10" ht="30" customHeight="1" x14ac:dyDescent="0.2">
      <c r="A304" s="769" t="s">
        <v>350</v>
      </c>
      <c r="B304" s="782" t="s">
        <v>1276</v>
      </c>
      <c r="C304" s="678">
        <v>500000</v>
      </c>
      <c r="D304" s="678">
        <f>500000+146890.31+103109.69</f>
        <v>750000</v>
      </c>
      <c r="E304" s="678">
        <v>750000</v>
      </c>
      <c r="F304" s="678"/>
      <c r="G304" s="1051"/>
      <c r="H304" s="1055"/>
      <c r="I304" s="1056"/>
      <c r="J304" s="29">
        <v>184425.83</v>
      </c>
    </row>
    <row r="305" spans="1:10" ht="30" customHeight="1" x14ac:dyDescent="0.2">
      <c r="A305" s="769" t="s">
        <v>342</v>
      </c>
      <c r="B305" s="783" t="s">
        <v>1277</v>
      </c>
      <c r="C305" s="644">
        <v>600000</v>
      </c>
      <c r="D305" s="644">
        <f>600000-179080-274029.69-146890.31</f>
        <v>0</v>
      </c>
      <c r="E305" s="644">
        <v>0</v>
      </c>
      <c r="F305" s="644"/>
      <c r="G305" s="1051"/>
      <c r="H305" s="1055"/>
      <c r="I305" s="1056"/>
      <c r="J305" s="29">
        <v>0</v>
      </c>
    </row>
    <row r="306" spans="1:10" ht="30" customHeight="1" x14ac:dyDescent="0.2">
      <c r="A306" s="769" t="s">
        <v>344</v>
      </c>
      <c r="B306" s="783" t="s">
        <v>1278</v>
      </c>
      <c r="C306" s="644">
        <v>60000</v>
      </c>
      <c r="D306" s="644">
        <v>60000</v>
      </c>
      <c r="E306" s="644">
        <v>28132.400000000001</v>
      </c>
      <c r="F306" s="644"/>
      <c r="G306" s="1051"/>
      <c r="H306" s="1055"/>
      <c r="I306" s="1056"/>
      <c r="J306" s="29">
        <v>9934.1</v>
      </c>
    </row>
    <row r="307" spans="1:10" ht="30" customHeight="1" x14ac:dyDescent="0.2">
      <c r="A307" s="769" t="s">
        <v>346</v>
      </c>
      <c r="B307" s="783" t="s">
        <v>1279</v>
      </c>
      <c r="C307" s="644">
        <v>80000</v>
      </c>
      <c r="D307" s="644">
        <v>80000</v>
      </c>
      <c r="E307" s="644">
        <v>75679</v>
      </c>
      <c r="F307" s="644"/>
      <c r="G307" s="1051"/>
      <c r="H307" s="1055"/>
      <c r="I307" s="1056"/>
      <c r="J307" s="29">
        <v>0</v>
      </c>
    </row>
    <row r="308" spans="1:10" ht="30" customHeight="1" x14ac:dyDescent="0.2">
      <c r="A308" s="769" t="s">
        <v>348</v>
      </c>
      <c r="B308" s="782" t="s">
        <v>1280</v>
      </c>
      <c r="C308" s="644">
        <v>500000</v>
      </c>
      <c r="D308" s="644">
        <f>500000+179080</f>
        <v>679080</v>
      </c>
      <c r="E308" s="644">
        <v>626662.94999999995</v>
      </c>
      <c r="F308" s="644"/>
      <c r="G308" s="1051"/>
      <c r="H308" s="1055"/>
      <c r="I308" s="1056"/>
      <c r="J308" s="29">
        <v>60306</v>
      </c>
    </row>
    <row r="309" spans="1:10" ht="30" customHeight="1" x14ac:dyDescent="0.2">
      <c r="A309" s="769" t="s">
        <v>1281</v>
      </c>
      <c r="B309" s="783" t="s">
        <v>1934</v>
      </c>
      <c r="C309" s="644">
        <v>0</v>
      </c>
      <c r="D309" s="644">
        <v>100000</v>
      </c>
      <c r="E309" s="644">
        <v>99958.1</v>
      </c>
      <c r="F309" s="644"/>
      <c r="G309" s="1051"/>
      <c r="H309" s="1055"/>
      <c r="I309" s="1056"/>
      <c r="J309" s="29">
        <v>0</v>
      </c>
    </row>
    <row r="310" spans="1:10" ht="30" customHeight="1" x14ac:dyDescent="0.2">
      <c r="A310" s="663">
        <v>3613</v>
      </c>
      <c r="B310" s="629" t="s">
        <v>1283</v>
      </c>
      <c r="C310" s="635">
        <f>SUM(C311:C318)</f>
        <v>1870000</v>
      </c>
      <c r="D310" s="635">
        <f>SUM(D311:D318)</f>
        <v>1477333</v>
      </c>
      <c r="E310" s="635">
        <v>1042152.03</v>
      </c>
      <c r="F310" s="652">
        <f>SUM(E311:E318)</f>
        <v>1042152.0299999999</v>
      </c>
      <c r="G310" s="630"/>
      <c r="H310" s="1052"/>
      <c r="I310" s="631"/>
      <c r="J310" s="29">
        <v>182249.09</v>
      </c>
    </row>
    <row r="311" spans="1:10" ht="30" customHeight="1" x14ac:dyDescent="0.2">
      <c r="A311" s="769" t="s">
        <v>1284</v>
      </c>
      <c r="B311" s="782" t="s">
        <v>1285</v>
      </c>
      <c r="C311" s="644">
        <v>350000</v>
      </c>
      <c r="D311" s="644">
        <f>350000-48744</f>
        <v>301256</v>
      </c>
      <c r="E311" s="644">
        <v>301256</v>
      </c>
      <c r="F311" s="644"/>
      <c r="G311" s="1051"/>
      <c r="H311" s="1055"/>
      <c r="I311" s="1056"/>
      <c r="J311" s="29">
        <v>0</v>
      </c>
    </row>
    <row r="312" spans="1:10" ht="30" customHeight="1" x14ac:dyDescent="0.2">
      <c r="A312" s="775" t="s">
        <v>353</v>
      </c>
      <c r="B312" s="773" t="s">
        <v>1286</v>
      </c>
      <c r="C312" s="644">
        <v>5000</v>
      </c>
      <c r="D312" s="644">
        <v>5000</v>
      </c>
      <c r="E312" s="644">
        <v>2252.41</v>
      </c>
      <c r="F312" s="644"/>
      <c r="G312" s="1051"/>
      <c r="H312" s="1055"/>
      <c r="I312" s="1056"/>
      <c r="J312" s="29">
        <v>0</v>
      </c>
    </row>
    <row r="313" spans="1:10" ht="30" customHeight="1" x14ac:dyDescent="0.2">
      <c r="A313" s="775" t="s">
        <v>355</v>
      </c>
      <c r="B313" s="773" t="s">
        <v>1287</v>
      </c>
      <c r="C313" s="644">
        <v>15000</v>
      </c>
      <c r="D313" s="644">
        <v>15000</v>
      </c>
      <c r="E313" s="644">
        <v>14246.2</v>
      </c>
      <c r="F313" s="644"/>
      <c r="G313" s="1051"/>
      <c r="H313" s="1055"/>
      <c r="I313" s="1056"/>
      <c r="J313" s="29">
        <v>13572.46</v>
      </c>
    </row>
    <row r="314" spans="1:10" ht="30" customHeight="1" x14ac:dyDescent="0.2">
      <c r="A314" s="775" t="s">
        <v>357</v>
      </c>
      <c r="B314" s="643" t="s">
        <v>1288</v>
      </c>
      <c r="C314" s="644">
        <v>200000</v>
      </c>
      <c r="D314" s="644">
        <v>200000</v>
      </c>
      <c r="E314" s="644">
        <v>140009.78</v>
      </c>
      <c r="F314" s="644"/>
      <c r="G314" s="1051"/>
      <c r="H314" s="1055"/>
      <c r="I314" s="1056"/>
      <c r="J314" s="29">
        <v>18065.41</v>
      </c>
    </row>
    <row r="315" spans="1:10" ht="30" customHeight="1" x14ac:dyDescent="0.2">
      <c r="A315" s="775" t="s">
        <v>359</v>
      </c>
      <c r="B315" s="643" t="s">
        <v>1289</v>
      </c>
      <c r="C315" s="644">
        <v>640000</v>
      </c>
      <c r="D315" s="644">
        <v>640000</v>
      </c>
      <c r="E315" s="644">
        <v>576740.43999999994</v>
      </c>
      <c r="F315" s="644"/>
      <c r="G315" s="1051"/>
      <c r="H315" s="1055"/>
      <c r="I315" s="1056"/>
      <c r="J315" s="29">
        <v>150611.22</v>
      </c>
    </row>
    <row r="316" spans="1:10" ht="30" customHeight="1" x14ac:dyDescent="0.2">
      <c r="A316" s="775" t="s">
        <v>361</v>
      </c>
      <c r="B316" s="643" t="s">
        <v>1290</v>
      </c>
      <c r="C316" s="644">
        <v>100000</v>
      </c>
      <c r="D316" s="644">
        <f>100000-43923</f>
        <v>56077</v>
      </c>
      <c r="E316" s="644">
        <v>6050</v>
      </c>
      <c r="F316" s="644"/>
      <c r="G316" s="1051"/>
      <c r="H316" s="1055"/>
      <c r="I316" s="1056"/>
      <c r="J316" s="29">
        <v>0</v>
      </c>
    </row>
    <row r="317" spans="1:10" ht="30" customHeight="1" x14ac:dyDescent="0.2">
      <c r="A317" s="775" t="s">
        <v>364</v>
      </c>
      <c r="B317" s="672" t="s">
        <v>1291</v>
      </c>
      <c r="C317" s="644">
        <v>260000</v>
      </c>
      <c r="D317" s="644">
        <v>260000</v>
      </c>
      <c r="E317" s="644">
        <v>1597.2</v>
      </c>
      <c r="F317" s="644"/>
      <c r="G317" s="1051"/>
      <c r="H317" s="1055"/>
      <c r="I317" s="1056"/>
      <c r="J317" s="29">
        <v>0</v>
      </c>
    </row>
    <row r="318" spans="1:10" ht="30" customHeight="1" x14ac:dyDescent="0.2">
      <c r="A318" s="769" t="s">
        <v>1292</v>
      </c>
      <c r="B318" s="783" t="s">
        <v>1293</v>
      </c>
      <c r="C318" s="644">
        <v>300000</v>
      </c>
      <c r="D318" s="644">
        <f>300000-300000</f>
        <v>0</v>
      </c>
      <c r="E318" s="644">
        <v>0</v>
      </c>
      <c r="F318" s="644"/>
      <c r="G318" s="1051"/>
      <c r="H318" s="1055"/>
      <c r="I318" s="1056"/>
      <c r="J318" s="29">
        <v>0</v>
      </c>
    </row>
    <row r="319" spans="1:10" ht="30" customHeight="1" x14ac:dyDescent="0.2">
      <c r="A319" s="663">
        <v>3631</v>
      </c>
      <c r="B319" s="629" t="s">
        <v>1294</v>
      </c>
      <c r="C319" s="635">
        <f>SUM(C320:C325)</f>
        <v>14990000</v>
      </c>
      <c r="D319" s="635">
        <f>SUM(D320:D325)</f>
        <v>12741858</v>
      </c>
      <c r="E319" s="635">
        <v>9036374.3100000005</v>
      </c>
      <c r="F319" s="652">
        <f>SUM(E320:E333)</f>
        <v>9090404.3100000005</v>
      </c>
      <c r="G319" s="630"/>
      <c r="H319" s="1052"/>
      <c r="I319" s="631"/>
      <c r="J319" s="29">
        <v>3801852.51</v>
      </c>
    </row>
    <row r="320" spans="1:10" ht="30" customHeight="1" x14ac:dyDescent="0.2">
      <c r="A320" s="769" t="s">
        <v>371</v>
      </c>
      <c r="B320" s="643" t="s">
        <v>1295</v>
      </c>
      <c r="C320" s="644">
        <v>4800000</v>
      </c>
      <c r="D320" s="644">
        <f>4800000-350000</f>
        <v>4450000</v>
      </c>
      <c r="E320" s="644">
        <v>4450000</v>
      </c>
      <c r="F320" s="644"/>
      <c r="G320" s="1051"/>
      <c r="H320" s="1055"/>
      <c r="I320" s="1056"/>
      <c r="J320" s="29">
        <v>2295622</v>
      </c>
    </row>
    <row r="321" spans="1:10" ht="30" customHeight="1" x14ac:dyDescent="0.2">
      <c r="A321" s="775" t="s">
        <v>2115</v>
      </c>
      <c r="B321" s="643" t="s">
        <v>2116</v>
      </c>
      <c r="C321" s="644">
        <v>50000</v>
      </c>
      <c r="D321" s="644">
        <v>50000</v>
      </c>
      <c r="E321" s="644">
        <v>10002.780000000001</v>
      </c>
      <c r="F321" s="644"/>
      <c r="G321" s="1051"/>
      <c r="H321" s="1055"/>
      <c r="I321" s="1056"/>
      <c r="J321" s="29">
        <v>0</v>
      </c>
    </row>
    <row r="322" spans="1:10" ht="30" customHeight="1" x14ac:dyDescent="0.2">
      <c r="A322" s="775" t="s">
        <v>369</v>
      </c>
      <c r="B322" s="643" t="s">
        <v>1297</v>
      </c>
      <c r="C322" s="644">
        <v>250000</v>
      </c>
      <c r="D322" s="644">
        <v>250000</v>
      </c>
      <c r="E322" s="644">
        <v>86703.76</v>
      </c>
      <c r="F322" s="644">
        <f>SUM(E322:E323)</f>
        <v>381220.83</v>
      </c>
      <c r="G322" s="1051"/>
      <c r="H322" s="1055"/>
      <c r="I322" s="1056"/>
      <c r="J322" s="29">
        <v>29922.09</v>
      </c>
    </row>
    <row r="323" spans="1:10" ht="30" customHeight="1" x14ac:dyDescent="0.2">
      <c r="A323" s="775" t="s">
        <v>369</v>
      </c>
      <c r="B323" s="643" t="s">
        <v>1298</v>
      </c>
      <c r="C323" s="644">
        <v>300000</v>
      </c>
      <c r="D323" s="644">
        <f>300000+1858</f>
        <v>301858</v>
      </c>
      <c r="E323" s="644">
        <v>294517.07</v>
      </c>
      <c r="F323" s="644"/>
      <c r="G323" s="1051"/>
      <c r="H323" s="1055"/>
      <c r="I323" s="1056"/>
      <c r="J323" s="29">
        <v>56858.51</v>
      </c>
    </row>
    <row r="324" spans="1:10" ht="30" customHeight="1" x14ac:dyDescent="0.2">
      <c r="A324" s="769" t="s">
        <v>373</v>
      </c>
      <c r="B324" s="643" t="s">
        <v>374</v>
      </c>
      <c r="C324" s="644">
        <v>7200000</v>
      </c>
      <c r="D324" s="644">
        <v>7200000</v>
      </c>
      <c r="E324" s="644">
        <v>4141120.7</v>
      </c>
      <c r="F324" s="644"/>
      <c r="G324" s="1051"/>
      <c r="H324" s="1055"/>
      <c r="I324" s="1056"/>
      <c r="J324" s="29">
        <v>1418199.91</v>
      </c>
    </row>
    <row r="325" spans="1:10" ht="30" customHeight="1" x14ac:dyDescent="0.2">
      <c r="A325" s="769"/>
      <c r="B325" s="679" t="s">
        <v>281</v>
      </c>
      <c r="C325" s="652">
        <f>SUM(C326:C333)</f>
        <v>2390000</v>
      </c>
      <c r="D325" s="652">
        <f>SUM(D326:D333)</f>
        <v>490000</v>
      </c>
      <c r="E325" s="652">
        <v>54030</v>
      </c>
      <c r="F325" s="652"/>
      <c r="G325" s="1051"/>
      <c r="H325" s="1055"/>
      <c r="I325" s="1056"/>
      <c r="J325" s="29">
        <v>1250</v>
      </c>
    </row>
    <row r="326" spans="1:10" ht="30" customHeight="1" x14ac:dyDescent="0.2">
      <c r="A326" s="769" t="s">
        <v>1935</v>
      </c>
      <c r="B326" s="783" t="s">
        <v>1936</v>
      </c>
      <c r="C326" s="644">
        <v>0</v>
      </c>
      <c r="D326" s="644">
        <v>70301</v>
      </c>
      <c r="E326" s="644">
        <v>0</v>
      </c>
      <c r="F326" s="644"/>
      <c r="G326" s="1051"/>
      <c r="H326" s="1055"/>
      <c r="I326" s="1056"/>
      <c r="J326" s="29">
        <v>0</v>
      </c>
    </row>
    <row r="327" spans="1:10" ht="30" customHeight="1" x14ac:dyDescent="0.2">
      <c r="A327" s="769" t="s">
        <v>571</v>
      </c>
      <c r="B327" s="783" t="s">
        <v>1937</v>
      </c>
      <c r="C327" s="644">
        <v>0</v>
      </c>
      <c r="D327" s="644">
        <v>26257</v>
      </c>
      <c r="E327" s="644">
        <v>0</v>
      </c>
      <c r="F327" s="644"/>
      <c r="G327" s="1051"/>
      <c r="H327" s="1055"/>
      <c r="I327" s="1056"/>
      <c r="J327" s="29">
        <v>0</v>
      </c>
    </row>
    <row r="328" spans="1:10" ht="30" customHeight="1" x14ac:dyDescent="0.2">
      <c r="A328" s="769" t="s">
        <v>579</v>
      </c>
      <c r="B328" s="783" t="s">
        <v>1299</v>
      </c>
      <c r="C328" s="644">
        <v>650000</v>
      </c>
      <c r="D328" s="644">
        <f>650000-600000</f>
        <v>50000</v>
      </c>
      <c r="E328" s="644">
        <v>8470</v>
      </c>
      <c r="F328" s="644"/>
      <c r="G328" s="1051"/>
      <c r="H328" s="1055"/>
      <c r="I328" s="1056"/>
      <c r="J328" s="29">
        <v>1250</v>
      </c>
    </row>
    <row r="329" spans="1:10" ht="30" customHeight="1" x14ac:dyDescent="0.2">
      <c r="A329" s="769" t="s">
        <v>1300</v>
      </c>
      <c r="B329" s="783" t="s">
        <v>1301</v>
      </c>
      <c r="C329" s="644">
        <v>80000</v>
      </c>
      <c r="D329" s="644">
        <v>80000</v>
      </c>
      <c r="E329" s="644">
        <v>0</v>
      </c>
      <c r="F329" s="644"/>
      <c r="G329" s="1051"/>
      <c r="H329" s="1055"/>
      <c r="I329" s="1056"/>
      <c r="J329" s="29">
        <v>0</v>
      </c>
    </row>
    <row r="330" spans="1:10" ht="30" customHeight="1" x14ac:dyDescent="0.2">
      <c r="A330" s="769" t="s">
        <v>1302</v>
      </c>
      <c r="B330" s="783" t="s">
        <v>1303</v>
      </c>
      <c r="C330" s="644">
        <v>550000</v>
      </c>
      <c r="D330" s="644">
        <f>550000-124482-400000</f>
        <v>25518</v>
      </c>
      <c r="E330" s="644">
        <v>1200</v>
      </c>
      <c r="F330" s="644"/>
      <c r="G330" s="1051"/>
      <c r="H330" s="1055"/>
      <c r="I330" s="1056"/>
      <c r="J330" s="29">
        <v>0</v>
      </c>
    </row>
    <row r="331" spans="1:10" ht="30" customHeight="1" x14ac:dyDescent="0.2">
      <c r="A331" s="769" t="s">
        <v>1304</v>
      </c>
      <c r="B331" s="783" t="s">
        <v>1305</v>
      </c>
      <c r="C331" s="644">
        <v>50000</v>
      </c>
      <c r="D331" s="644">
        <f>50000+27924</f>
        <v>77924</v>
      </c>
      <c r="E331" s="644">
        <v>0</v>
      </c>
      <c r="F331" s="644"/>
      <c r="G331" s="1051"/>
      <c r="H331" s="1055"/>
      <c r="I331" s="1056"/>
      <c r="J331" s="29">
        <v>0</v>
      </c>
    </row>
    <row r="332" spans="1:10" ht="30" customHeight="1" x14ac:dyDescent="0.2">
      <c r="A332" s="769" t="s">
        <v>1306</v>
      </c>
      <c r="B332" s="783" t="s">
        <v>1307</v>
      </c>
      <c r="C332" s="644">
        <v>60000</v>
      </c>
      <c r="D332" s="644">
        <v>60000</v>
      </c>
      <c r="E332" s="644">
        <v>0</v>
      </c>
      <c r="F332" s="644"/>
      <c r="G332" s="1051"/>
      <c r="H332" s="1055"/>
      <c r="I332" s="1056"/>
      <c r="J332" s="29">
        <v>0</v>
      </c>
    </row>
    <row r="333" spans="1:10" ht="30" customHeight="1" x14ac:dyDescent="0.2">
      <c r="A333" s="769" t="s">
        <v>585</v>
      </c>
      <c r="B333" s="783" t="s">
        <v>1308</v>
      </c>
      <c r="C333" s="644">
        <v>1000000</v>
      </c>
      <c r="D333" s="644">
        <f>1000000-900000</f>
        <v>100000</v>
      </c>
      <c r="E333" s="644">
        <v>44360</v>
      </c>
      <c r="F333" s="644"/>
      <c r="G333" s="1051"/>
      <c r="H333" s="1055"/>
      <c r="I333" s="1056"/>
      <c r="J333" s="29">
        <v>0</v>
      </c>
    </row>
    <row r="334" spans="1:10" ht="30" customHeight="1" x14ac:dyDescent="0.2">
      <c r="A334" s="663">
        <v>3632</v>
      </c>
      <c r="B334" s="629" t="s">
        <v>1309</v>
      </c>
      <c r="C334" s="635">
        <f>SUM(C336:C340)</f>
        <v>4142630</v>
      </c>
      <c r="D334" s="635">
        <f>SUM(D336:D340)</f>
        <v>3196077</v>
      </c>
      <c r="E334" s="635">
        <v>3096077</v>
      </c>
      <c r="F334" s="652">
        <f>SUM(E335,E337:E339)</f>
        <v>3096077</v>
      </c>
      <c r="G334" s="630"/>
      <c r="H334" s="1052"/>
      <c r="I334" s="631"/>
      <c r="J334" s="29">
        <v>1614155</v>
      </c>
    </row>
    <row r="335" spans="1:10" s="2" customFormat="1" ht="30" customHeight="1" x14ac:dyDescent="0.2">
      <c r="A335" s="715"/>
      <c r="B335" s="672" t="s">
        <v>1310</v>
      </c>
      <c r="C335" s="652">
        <f>SUM(C336:C337)</f>
        <v>366630</v>
      </c>
      <c r="D335" s="652">
        <f>SUM(D336:D337)</f>
        <v>30240</v>
      </c>
      <c r="E335" s="652">
        <v>30240</v>
      </c>
      <c r="F335" s="652">
        <f>SUM(E336:E336)</f>
        <v>30240</v>
      </c>
      <c r="G335" s="1051"/>
      <c r="H335" s="1055"/>
      <c r="I335" s="1056"/>
      <c r="J335" s="88">
        <v>0</v>
      </c>
    </row>
    <row r="336" spans="1:10" s="98" customFormat="1" ht="30" customHeight="1" x14ac:dyDescent="0.2">
      <c r="A336" s="769" t="s">
        <v>377</v>
      </c>
      <c r="B336" s="643" t="s">
        <v>1311</v>
      </c>
      <c r="C336" s="644">
        <v>366630</v>
      </c>
      <c r="D336" s="644">
        <f>366630+33698-370088</f>
        <v>30240</v>
      </c>
      <c r="E336" s="644">
        <v>30240</v>
      </c>
      <c r="F336" s="644"/>
      <c r="G336" s="1051"/>
      <c r="H336" s="1055"/>
      <c r="I336" s="1056"/>
      <c r="J336" s="29">
        <v>0</v>
      </c>
    </row>
    <row r="337" spans="1:10" s="98" customFormat="1" ht="30" customHeight="1" x14ac:dyDescent="0.2">
      <c r="A337" s="769" t="s">
        <v>377</v>
      </c>
      <c r="B337" s="643" t="s">
        <v>1312</v>
      </c>
      <c r="C337" s="644">
        <v>0</v>
      </c>
      <c r="D337" s="644">
        <f>175000-175000</f>
        <v>0</v>
      </c>
      <c r="E337" s="644">
        <v>2800000</v>
      </c>
      <c r="F337" s="644"/>
      <c r="G337" s="1051"/>
      <c r="H337" s="1055"/>
      <c r="I337" s="1056"/>
      <c r="J337" s="29">
        <v>0</v>
      </c>
    </row>
    <row r="338" spans="1:10" s="98" customFormat="1" ht="30" customHeight="1" x14ac:dyDescent="0.2">
      <c r="A338" s="769" t="s">
        <v>383</v>
      </c>
      <c r="B338" s="643" t="s">
        <v>1314</v>
      </c>
      <c r="C338" s="644">
        <v>3400000</v>
      </c>
      <c r="D338" s="644">
        <f>3400000-600000</f>
        <v>2800000</v>
      </c>
      <c r="E338" s="644">
        <v>265837</v>
      </c>
      <c r="F338" s="644"/>
      <c r="G338" s="1051"/>
      <c r="H338" s="1055"/>
      <c r="I338" s="1056"/>
      <c r="J338" s="29">
        <v>1614155</v>
      </c>
    </row>
    <row r="339" spans="1:10" s="98" customFormat="1" ht="30" customHeight="1" x14ac:dyDescent="0.2">
      <c r="A339" s="769" t="s">
        <v>383</v>
      </c>
      <c r="B339" s="643" t="s">
        <v>1315</v>
      </c>
      <c r="C339" s="644">
        <v>276000</v>
      </c>
      <c r="D339" s="644">
        <f>276000-10163</f>
        <v>265837</v>
      </c>
      <c r="E339" s="644">
        <v>0</v>
      </c>
      <c r="F339" s="644"/>
      <c r="G339" s="1051"/>
      <c r="H339" s="1055"/>
      <c r="I339" s="1056"/>
      <c r="J339" s="29">
        <v>0</v>
      </c>
    </row>
    <row r="340" spans="1:10" s="98" customFormat="1" ht="30" customHeight="1" x14ac:dyDescent="0.2">
      <c r="A340" s="769" t="s">
        <v>387</v>
      </c>
      <c r="B340" s="643" t="s">
        <v>1316</v>
      </c>
      <c r="C340" s="644">
        <v>100000</v>
      </c>
      <c r="D340" s="644">
        <v>100000</v>
      </c>
      <c r="E340" s="635">
        <v>1719263.54</v>
      </c>
      <c r="F340" s="652"/>
      <c r="G340" s="1051"/>
      <c r="H340" s="1055"/>
      <c r="I340" s="1056"/>
      <c r="J340" s="29">
        <v>0</v>
      </c>
    </row>
    <row r="341" spans="1:10" s="98" customFormat="1" ht="30" customHeight="1" x14ac:dyDescent="0.2">
      <c r="A341" s="663">
        <v>3633</v>
      </c>
      <c r="B341" s="629" t="s">
        <v>1317</v>
      </c>
      <c r="C341" s="635">
        <f>SUM(C342)</f>
        <v>1780000</v>
      </c>
      <c r="D341" s="635">
        <f>SUM(D342)</f>
        <v>1780000</v>
      </c>
      <c r="E341" s="644">
        <v>1719263.54</v>
      </c>
      <c r="F341" s="644"/>
      <c r="G341" s="630"/>
      <c r="H341" s="1052"/>
      <c r="I341" s="631"/>
      <c r="J341" s="29">
        <v>0</v>
      </c>
    </row>
    <row r="342" spans="1:10" s="98" customFormat="1" ht="30" customHeight="1" x14ac:dyDescent="0.2">
      <c r="A342" s="769"/>
      <c r="B342" s="650" t="s">
        <v>1318</v>
      </c>
      <c r="C342" s="644">
        <v>1780000</v>
      </c>
      <c r="D342" s="644">
        <v>1780000</v>
      </c>
      <c r="E342" s="635">
        <v>6250.42</v>
      </c>
      <c r="F342" s="652">
        <f>SUM(E343:E344)</f>
        <v>6250.42</v>
      </c>
      <c r="G342" s="1051"/>
      <c r="H342" s="1055"/>
      <c r="I342" s="670"/>
      <c r="J342" s="1037">
        <v>0</v>
      </c>
    </row>
    <row r="343" spans="1:10" s="98" customFormat="1" ht="30" customHeight="1" x14ac:dyDescent="0.2">
      <c r="A343" s="663">
        <v>3639</v>
      </c>
      <c r="B343" s="629" t="s">
        <v>1319</v>
      </c>
      <c r="C343" s="635">
        <f>SUM(C344:C345)</f>
        <v>14414.2</v>
      </c>
      <c r="D343" s="635">
        <f>SUM(D344:D345)</f>
        <v>14414.2</v>
      </c>
      <c r="E343" s="644">
        <v>6250.42</v>
      </c>
      <c r="F343" s="644"/>
      <c r="G343" s="630"/>
      <c r="H343" s="1052"/>
      <c r="I343" s="631"/>
      <c r="J343" s="29">
        <v>0</v>
      </c>
    </row>
    <row r="344" spans="1:10" s="98" customFormat="1" ht="30" customHeight="1" x14ac:dyDescent="0.2">
      <c r="A344" s="769" t="s">
        <v>390</v>
      </c>
      <c r="B344" s="773" t="s">
        <v>1320</v>
      </c>
      <c r="C344" s="644">
        <v>9414.2000000000007</v>
      </c>
      <c r="D344" s="644">
        <v>9414.2000000000007</v>
      </c>
      <c r="E344" s="644">
        <v>0</v>
      </c>
      <c r="F344" s="644"/>
      <c r="G344" s="1051"/>
      <c r="H344" s="1055"/>
      <c r="I344" s="1056"/>
      <c r="J344" s="29">
        <v>0</v>
      </c>
    </row>
    <row r="345" spans="1:10" s="98" customFormat="1" ht="30" customHeight="1" x14ac:dyDescent="0.2">
      <c r="A345" s="775" t="s">
        <v>392</v>
      </c>
      <c r="B345" s="643" t="s">
        <v>1321</v>
      </c>
      <c r="C345" s="644">
        <v>5000</v>
      </c>
      <c r="D345" s="644">
        <v>5000</v>
      </c>
      <c r="E345" s="635">
        <v>455229.5</v>
      </c>
      <c r="F345" s="652">
        <f>SUM(E346:E347)</f>
        <v>455229.5</v>
      </c>
      <c r="G345" s="1051"/>
      <c r="H345" s="1055"/>
      <c r="I345" s="1056"/>
      <c r="J345" s="29">
        <v>0</v>
      </c>
    </row>
    <row r="346" spans="1:10" s="98" customFormat="1" ht="30" customHeight="1" x14ac:dyDescent="0.2">
      <c r="A346" s="663">
        <v>3699</v>
      </c>
      <c r="B346" s="629" t="s">
        <v>1322</v>
      </c>
      <c r="C346" s="635">
        <f>SUM(C347:C348)</f>
        <v>275000</v>
      </c>
      <c r="D346" s="635">
        <f>SUM(D347:D348)</f>
        <v>547931</v>
      </c>
      <c r="E346" s="785">
        <v>275000</v>
      </c>
      <c r="F346" s="785"/>
      <c r="G346" s="630"/>
      <c r="H346" s="1052"/>
      <c r="I346" s="631"/>
      <c r="J346" s="29">
        <v>34886</v>
      </c>
    </row>
    <row r="347" spans="1:10" s="98" customFormat="1" ht="30" customHeight="1" x14ac:dyDescent="0.2">
      <c r="A347" s="774" t="s">
        <v>395</v>
      </c>
      <c r="B347" s="690" t="s">
        <v>1325</v>
      </c>
      <c r="C347" s="785">
        <v>275000</v>
      </c>
      <c r="D347" s="785">
        <f>275000</f>
        <v>275000</v>
      </c>
      <c r="E347" s="785">
        <v>180229.5</v>
      </c>
      <c r="F347" s="785"/>
      <c r="G347" s="1051"/>
      <c r="H347" s="1055"/>
      <c r="I347" s="1056"/>
      <c r="J347" s="29">
        <v>34886</v>
      </c>
    </row>
    <row r="348" spans="1:10" s="98" customFormat="1" ht="30" customHeight="1" x14ac:dyDescent="0.2">
      <c r="A348" s="774" t="s">
        <v>1938</v>
      </c>
      <c r="B348" s="690" t="s">
        <v>1939</v>
      </c>
      <c r="C348" s="785">
        <v>0</v>
      </c>
      <c r="D348" s="785">
        <f>43923+29008+200000</f>
        <v>272931</v>
      </c>
      <c r="E348" s="785"/>
      <c r="F348" s="785"/>
      <c r="G348" s="1051"/>
      <c r="H348" s="1055"/>
      <c r="I348" s="1056"/>
      <c r="J348" s="29">
        <v>0</v>
      </c>
    </row>
    <row r="349" spans="1:10" s="85" customFormat="1" ht="30" customHeight="1" x14ac:dyDescent="0.3">
      <c r="A349" s="786"/>
      <c r="B349" s="787" t="s">
        <v>1017</v>
      </c>
      <c r="C349" s="788">
        <f>C350+C362+C414+C438+C445+C452+C458+C429+C492+C512</f>
        <v>196635250</v>
      </c>
      <c r="D349" s="788">
        <f>D350+D362+D414+D438+D445+D452+D458+D429+D492+D512</f>
        <v>146703272.44999999</v>
      </c>
      <c r="E349" s="788">
        <v>116124695.68000001</v>
      </c>
      <c r="F349" s="1090">
        <f>SUM(E350,E362,E414,E429,E438,E445,E452,E458,E492,E512)</f>
        <v>116124695.68000001</v>
      </c>
      <c r="G349" s="735"/>
      <c r="H349" s="735"/>
      <c r="I349" s="1091"/>
      <c r="J349" s="1037">
        <v>12905137.52</v>
      </c>
    </row>
    <row r="350" spans="1:10" s="98" customFormat="1" ht="30" customHeight="1" x14ac:dyDescent="0.25">
      <c r="A350" s="790"/>
      <c r="B350" s="791" t="s">
        <v>398</v>
      </c>
      <c r="C350" s="792">
        <f>SUM(C351+C354)</f>
        <v>4800000</v>
      </c>
      <c r="D350" s="792">
        <f>SUM(D351+D354)</f>
        <v>820000</v>
      </c>
      <c r="E350" s="792">
        <v>160787</v>
      </c>
      <c r="F350" s="1092">
        <f>SUM(E351,E354)</f>
        <v>160787</v>
      </c>
      <c r="G350" s="623"/>
      <c r="H350" s="623"/>
      <c r="I350" s="741"/>
      <c r="J350" s="29">
        <v>59360</v>
      </c>
    </row>
    <row r="351" spans="1:10" s="98" customFormat="1" ht="30" customHeight="1" x14ac:dyDescent="0.2">
      <c r="A351" s="793">
        <v>2310</v>
      </c>
      <c r="B351" s="794" t="s">
        <v>1216</v>
      </c>
      <c r="C351" s="795">
        <f>SUM(C352:C353)</f>
        <v>1010000</v>
      </c>
      <c r="D351" s="795">
        <f>SUM(D352:D353)</f>
        <v>10000</v>
      </c>
      <c r="E351" s="795">
        <v>3000</v>
      </c>
      <c r="F351" s="1093">
        <f>SUM(E352:E353)</f>
        <v>3000</v>
      </c>
      <c r="G351" s="630"/>
      <c r="H351" s="1052"/>
      <c r="I351" s="631"/>
      <c r="J351" s="29">
        <v>20000</v>
      </c>
    </row>
    <row r="352" spans="1:10" s="98" customFormat="1" ht="30" customHeight="1" x14ac:dyDescent="0.2">
      <c r="A352" s="796" t="s">
        <v>403</v>
      </c>
      <c r="B352" s="731" t="s">
        <v>404</v>
      </c>
      <c r="C352" s="695">
        <v>10000</v>
      </c>
      <c r="D352" s="695">
        <v>10000</v>
      </c>
      <c r="E352" s="695">
        <v>3000</v>
      </c>
      <c r="F352" s="695"/>
      <c r="G352" s="1051"/>
      <c r="H352" s="1055"/>
      <c r="I352" s="1056"/>
      <c r="J352" s="29">
        <v>0</v>
      </c>
    </row>
    <row r="353" spans="1:10" s="98" customFormat="1" ht="30" customHeight="1" x14ac:dyDescent="0.2">
      <c r="A353" s="796" t="s">
        <v>1327</v>
      </c>
      <c r="B353" s="731" t="s">
        <v>1328</v>
      </c>
      <c r="C353" s="695">
        <v>1000000</v>
      </c>
      <c r="D353" s="695">
        <f>1000000-1000000</f>
        <v>0</v>
      </c>
      <c r="E353" s="695">
        <v>0</v>
      </c>
      <c r="F353" s="695"/>
      <c r="G353" s="1051"/>
      <c r="H353" s="1055"/>
      <c r="I353" s="1056"/>
      <c r="J353" s="29">
        <v>0</v>
      </c>
    </row>
    <row r="354" spans="1:10" s="98" customFormat="1" ht="30" customHeight="1" x14ac:dyDescent="0.2">
      <c r="A354" s="730">
        <v>2321</v>
      </c>
      <c r="B354" s="797" t="s">
        <v>1219</v>
      </c>
      <c r="C354" s="798">
        <f>SUM(C355:C361)</f>
        <v>3790000</v>
      </c>
      <c r="D354" s="798">
        <f>SUM(D355:D361)</f>
        <v>810000</v>
      </c>
      <c r="E354" s="798">
        <v>157787</v>
      </c>
      <c r="F354" s="1094">
        <f>SUM(E355:E361)</f>
        <v>157787</v>
      </c>
      <c r="G354" s="630"/>
      <c r="H354" s="1052"/>
      <c r="I354" s="631"/>
      <c r="J354" s="29">
        <v>39360</v>
      </c>
    </row>
    <row r="355" spans="1:10" s="98" customFormat="1" ht="30" customHeight="1" x14ac:dyDescent="0.2">
      <c r="A355" s="796" t="s">
        <v>1331</v>
      </c>
      <c r="B355" s="731" t="s">
        <v>1332</v>
      </c>
      <c r="C355" s="695">
        <v>1500000</v>
      </c>
      <c r="D355" s="695">
        <f>1500000-1000000-100000-400000</f>
        <v>0</v>
      </c>
      <c r="E355" s="695">
        <v>0</v>
      </c>
      <c r="F355" s="695"/>
      <c r="G355" s="1051"/>
      <c r="H355" s="1055"/>
      <c r="I355" s="1056"/>
      <c r="J355" s="29">
        <v>0</v>
      </c>
    </row>
    <row r="356" spans="1:10" s="98" customFormat="1" ht="30" customHeight="1" x14ac:dyDescent="0.2">
      <c r="A356" s="796" t="s">
        <v>1333</v>
      </c>
      <c r="B356" s="731" t="s">
        <v>1334</v>
      </c>
      <c r="C356" s="695">
        <v>1000000</v>
      </c>
      <c r="D356" s="695">
        <f>1000000-1000000</f>
        <v>0</v>
      </c>
      <c r="E356" s="695">
        <v>0</v>
      </c>
      <c r="F356" s="695"/>
      <c r="G356" s="1051"/>
      <c r="H356" s="1055"/>
      <c r="I356" s="1056"/>
      <c r="J356" s="29">
        <v>0</v>
      </c>
    </row>
    <row r="357" spans="1:10" s="98" customFormat="1" ht="30" customHeight="1" x14ac:dyDescent="0.2">
      <c r="A357" s="796" t="s">
        <v>1335</v>
      </c>
      <c r="B357" s="731" t="s">
        <v>1336</v>
      </c>
      <c r="C357" s="695">
        <v>500000</v>
      </c>
      <c r="D357" s="695">
        <f>500000-200000</f>
        <v>300000</v>
      </c>
      <c r="E357" s="695">
        <v>22930</v>
      </c>
      <c r="F357" s="695"/>
      <c r="G357" s="1051"/>
      <c r="H357" s="1055"/>
      <c r="I357" s="1056"/>
      <c r="J357" s="29">
        <v>0</v>
      </c>
    </row>
    <row r="358" spans="1:10" s="98" customFormat="1" ht="30" customHeight="1" x14ac:dyDescent="0.2">
      <c r="A358" s="796" t="s">
        <v>1329</v>
      </c>
      <c r="B358" s="731" t="s">
        <v>1330</v>
      </c>
      <c r="C358" s="695">
        <v>300000</v>
      </c>
      <c r="D358" s="695">
        <f>300000-280000+10000</f>
        <v>30000</v>
      </c>
      <c r="E358" s="695">
        <v>25473</v>
      </c>
      <c r="F358" s="695"/>
      <c r="G358" s="1051"/>
      <c r="H358" s="1055"/>
      <c r="I358" s="1056"/>
      <c r="J358" s="29">
        <v>0</v>
      </c>
    </row>
    <row r="359" spans="1:10" s="98" customFormat="1" ht="30" customHeight="1" x14ac:dyDescent="0.2">
      <c r="A359" s="796" t="s">
        <v>411</v>
      </c>
      <c r="B359" s="731" t="s">
        <v>1337</v>
      </c>
      <c r="C359" s="695">
        <v>230000</v>
      </c>
      <c r="D359" s="695">
        <f>230000-10000</f>
        <v>220000</v>
      </c>
      <c r="E359" s="695">
        <v>109384</v>
      </c>
      <c r="F359" s="695"/>
      <c r="G359" s="1051"/>
      <c r="H359" s="1055"/>
      <c r="I359" s="1056"/>
      <c r="J359" s="29">
        <v>19200</v>
      </c>
    </row>
    <row r="360" spans="1:10" s="98" customFormat="1" ht="30" customHeight="1" x14ac:dyDescent="0.2">
      <c r="A360" s="796" t="s">
        <v>413</v>
      </c>
      <c r="B360" s="731" t="s">
        <v>1338</v>
      </c>
      <c r="C360" s="695">
        <v>250000</v>
      </c>
      <c r="D360" s="695">
        <v>250000</v>
      </c>
      <c r="E360" s="695">
        <v>0</v>
      </c>
      <c r="F360" s="695"/>
      <c r="G360" s="1051"/>
      <c r="H360" s="1055"/>
      <c r="I360" s="1056"/>
      <c r="J360" s="29">
        <v>20160</v>
      </c>
    </row>
    <row r="361" spans="1:10" ht="30" customHeight="1" x14ac:dyDescent="0.2">
      <c r="A361" s="799" t="s">
        <v>415</v>
      </c>
      <c r="B361" s="800" t="s">
        <v>416</v>
      </c>
      <c r="C361" s="728">
        <v>10000</v>
      </c>
      <c r="D361" s="728">
        <v>10000</v>
      </c>
      <c r="E361" s="728">
        <v>0</v>
      </c>
      <c r="F361" s="728"/>
      <c r="G361" s="1051"/>
      <c r="H361" s="1055"/>
      <c r="I361" s="1056"/>
      <c r="J361" s="29">
        <v>0</v>
      </c>
    </row>
    <row r="362" spans="1:10" ht="30" customHeight="1" x14ac:dyDescent="0.25">
      <c r="A362" s="802"/>
      <c r="B362" s="803" t="s">
        <v>422</v>
      </c>
      <c r="C362" s="792">
        <f>SUM(C363+C378+C411)</f>
        <v>57873000</v>
      </c>
      <c r="D362" s="792">
        <f>SUM(D363+D378+D411)</f>
        <v>43226467.450000003</v>
      </c>
      <c r="E362" s="792">
        <v>33326899.550000001</v>
      </c>
      <c r="F362" s="1092">
        <f>SUM(E363,E378,E411)</f>
        <v>33326899.350000001</v>
      </c>
      <c r="G362" s="623"/>
      <c r="H362" s="623"/>
      <c r="I362" s="741"/>
      <c r="J362" s="29">
        <v>2640860.23</v>
      </c>
    </row>
    <row r="363" spans="1:10" ht="30" customHeight="1" x14ac:dyDescent="0.2">
      <c r="A363" s="805">
        <v>2212</v>
      </c>
      <c r="B363" s="806" t="s">
        <v>1339</v>
      </c>
      <c r="C363" s="807">
        <f>SUM(C364:C377)</f>
        <v>10770000</v>
      </c>
      <c r="D363" s="807">
        <f>SUM(D364:D377)</f>
        <v>8040000</v>
      </c>
      <c r="E363" s="807">
        <v>6219302.5599999996</v>
      </c>
      <c r="F363" s="1095">
        <f>SUM(E364:E377)</f>
        <v>6219302.5599999996</v>
      </c>
      <c r="G363" s="630"/>
      <c r="H363" s="1052"/>
      <c r="I363" s="631"/>
      <c r="J363" s="29">
        <v>1857928.43</v>
      </c>
    </row>
    <row r="364" spans="1:10" ht="30" customHeight="1" x14ac:dyDescent="0.2">
      <c r="A364" s="796" t="s">
        <v>293</v>
      </c>
      <c r="B364" s="731" t="s">
        <v>424</v>
      </c>
      <c r="C364" s="695">
        <v>300000</v>
      </c>
      <c r="D364" s="695">
        <f>300000-13500+(700000+1250000)-1800000</f>
        <v>436500</v>
      </c>
      <c r="E364" s="695">
        <v>166338.79999999999</v>
      </c>
      <c r="F364" s="695"/>
      <c r="G364" s="1051"/>
      <c r="H364" s="1055"/>
      <c r="I364" s="1056"/>
      <c r="J364" s="29">
        <v>80223</v>
      </c>
    </row>
    <row r="365" spans="1:10" ht="30" customHeight="1" x14ac:dyDescent="0.2">
      <c r="A365" s="796" t="s">
        <v>291</v>
      </c>
      <c r="B365" s="731" t="s">
        <v>425</v>
      </c>
      <c r="C365" s="695">
        <v>5000000</v>
      </c>
      <c r="D365" s="695">
        <v>5000000</v>
      </c>
      <c r="E365" s="695">
        <v>4605305.51</v>
      </c>
      <c r="F365" s="695"/>
      <c r="G365" s="1051"/>
      <c r="H365" s="1055"/>
      <c r="I365" s="1056"/>
      <c r="J365" s="29">
        <v>1157139.54</v>
      </c>
    </row>
    <row r="366" spans="1:10" ht="30" customHeight="1" x14ac:dyDescent="0.2">
      <c r="A366" s="796" t="s">
        <v>1358</v>
      </c>
      <c r="B366" s="731" t="s">
        <v>1940</v>
      </c>
      <c r="C366" s="695">
        <v>600000</v>
      </c>
      <c r="D366" s="695">
        <v>600000</v>
      </c>
      <c r="E366" s="695">
        <v>0</v>
      </c>
      <c r="F366" s="695"/>
      <c r="G366" s="1051"/>
      <c r="H366" s="1055"/>
      <c r="I366" s="1056"/>
      <c r="J366" s="29">
        <v>0</v>
      </c>
    </row>
    <row r="367" spans="1:10" ht="30" customHeight="1" x14ac:dyDescent="0.2">
      <c r="A367" s="796" t="s">
        <v>440</v>
      </c>
      <c r="B367" s="809" t="s">
        <v>1343</v>
      </c>
      <c r="C367" s="695">
        <v>10000</v>
      </c>
      <c r="D367" s="695">
        <v>10000</v>
      </c>
      <c r="E367" s="695">
        <v>0</v>
      </c>
      <c r="F367" s="695"/>
      <c r="G367" s="1051"/>
      <c r="H367" s="1055"/>
      <c r="I367" s="1056"/>
      <c r="J367" s="29">
        <v>0</v>
      </c>
    </row>
    <row r="368" spans="1:10" ht="30" customHeight="1" x14ac:dyDescent="0.2">
      <c r="A368" s="796" t="s">
        <v>442</v>
      </c>
      <c r="B368" s="731" t="s">
        <v>1344</v>
      </c>
      <c r="C368" s="695">
        <v>0</v>
      </c>
      <c r="D368" s="695">
        <v>13500</v>
      </c>
      <c r="E368" s="695">
        <v>13500</v>
      </c>
      <c r="F368" s="695"/>
      <c r="G368" s="1051"/>
      <c r="H368" s="1055"/>
      <c r="I368" s="1056"/>
      <c r="J368" s="29">
        <v>0</v>
      </c>
    </row>
    <row r="369" spans="1:10" ht="30" customHeight="1" x14ac:dyDescent="0.2">
      <c r="A369" s="796" t="s">
        <v>1349</v>
      </c>
      <c r="B369" s="731" t="s">
        <v>1350</v>
      </c>
      <c r="C369" s="695">
        <v>150000</v>
      </c>
      <c r="D369" s="695">
        <f>150000+200000</f>
        <v>350000</v>
      </c>
      <c r="E369" s="695">
        <v>175450</v>
      </c>
      <c r="F369" s="695"/>
      <c r="G369" s="1051"/>
      <c r="H369" s="1055"/>
      <c r="I369" s="1056"/>
      <c r="J369" s="29">
        <v>75000</v>
      </c>
    </row>
    <row r="370" spans="1:10" ht="30" customHeight="1" x14ac:dyDescent="0.2">
      <c r="A370" s="796" t="s">
        <v>438</v>
      </c>
      <c r="B370" s="731" t="s">
        <v>1342</v>
      </c>
      <c r="C370" s="695">
        <v>10000</v>
      </c>
      <c r="D370" s="695">
        <v>10000</v>
      </c>
      <c r="E370" s="695">
        <v>0</v>
      </c>
      <c r="F370" s="695"/>
      <c r="G370" s="1051"/>
      <c r="H370" s="1055"/>
      <c r="I370" s="1056"/>
      <c r="J370" s="29">
        <v>0</v>
      </c>
    </row>
    <row r="371" spans="1:10" ht="30" customHeight="1" x14ac:dyDescent="0.2">
      <c r="A371" s="796" t="s">
        <v>1345</v>
      </c>
      <c r="B371" s="731" t="s">
        <v>1346</v>
      </c>
      <c r="C371" s="695">
        <v>2200000</v>
      </c>
      <c r="D371" s="695">
        <f>2200000-200000-2000000</f>
        <v>0</v>
      </c>
      <c r="E371" s="695">
        <v>0</v>
      </c>
      <c r="F371" s="695"/>
      <c r="G371" s="1051"/>
      <c r="H371" s="1055"/>
      <c r="I371" s="1056"/>
      <c r="J371" s="29">
        <v>0</v>
      </c>
    </row>
    <row r="372" spans="1:10" ht="30" customHeight="1" x14ac:dyDescent="0.2">
      <c r="A372" s="796" t="s">
        <v>451</v>
      </c>
      <c r="B372" s="731" t="s">
        <v>1352</v>
      </c>
      <c r="C372" s="695">
        <v>500000</v>
      </c>
      <c r="D372" s="695">
        <f>500000-500000</f>
        <v>0</v>
      </c>
      <c r="E372" s="695">
        <v>0</v>
      </c>
      <c r="F372" s="695"/>
      <c r="G372" s="1051"/>
      <c r="H372" s="1055"/>
      <c r="I372" s="1056"/>
      <c r="J372" s="29">
        <v>204490</v>
      </c>
    </row>
    <row r="373" spans="1:10" ht="30" customHeight="1" x14ac:dyDescent="0.2">
      <c r="A373" s="796" t="s">
        <v>1941</v>
      </c>
      <c r="B373" s="731" t="s">
        <v>1942</v>
      </c>
      <c r="C373" s="695">
        <v>0</v>
      </c>
      <c r="D373" s="695">
        <f>500000-450000</f>
        <v>50000</v>
      </c>
      <c r="E373" s="695">
        <v>36300</v>
      </c>
      <c r="F373" s="695"/>
      <c r="G373" s="1051"/>
      <c r="H373" s="1055"/>
      <c r="I373" s="1056"/>
      <c r="J373" s="29">
        <v>0</v>
      </c>
    </row>
    <row r="374" spans="1:10" ht="30" customHeight="1" x14ac:dyDescent="0.2">
      <c r="A374" s="796" t="s">
        <v>1354</v>
      </c>
      <c r="B374" s="731" t="s">
        <v>1355</v>
      </c>
      <c r="C374" s="695">
        <v>500000</v>
      </c>
      <c r="D374" s="695">
        <f>500000-230000+70000</f>
        <v>340000</v>
      </c>
      <c r="E374" s="695">
        <v>336380</v>
      </c>
      <c r="F374" s="695"/>
      <c r="G374" s="1051"/>
      <c r="H374" s="1055"/>
      <c r="I374" s="1056"/>
      <c r="J374" s="29">
        <v>0</v>
      </c>
    </row>
    <row r="375" spans="1:10" ht="30" customHeight="1" x14ac:dyDescent="0.2">
      <c r="A375" s="796" t="s">
        <v>1356</v>
      </c>
      <c r="B375" s="731" t="s">
        <v>1357</v>
      </c>
      <c r="C375" s="695">
        <v>600000</v>
      </c>
      <c r="D375" s="695">
        <f>600000-200000-70000</f>
        <v>330000</v>
      </c>
      <c r="E375" s="695">
        <v>68002</v>
      </c>
      <c r="F375" s="695"/>
      <c r="G375" s="1051"/>
      <c r="H375" s="1055"/>
      <c r="I375" s="1056"/>
      <c r="J375" s="29">
        <v>6050</v>
      </c>
    </row>
    <row r="376" spans="1:10" ht="30" customHeight="1" x14ac:dyDescent="0.2">
      <c r="A376" s="796" t="s">
        <v>447</v>
      </c>
      <c r="B376" s="731" t="s">
        <v>448</v>
      </c>
      <c r="C376" s="695">
        <v>550000</v>
      </c>
      <c r="D376" s="695">
        <v>550000</v>
      </c>
      <c r="E376" s="695">
        <v>510318</v>
      </c>
      <c r="F376" s="695"/>
      <c r="G376" s="1051"/>
      <c r="H376" s="1055"/>
      <c r="I376" s="1056"/>
      <c r="J376" s="29">
        <v>0</v>
      </c>
    </row>
    <row r="377" spans="1:10" ht="30" customHeight="1" x14ac:dyDescent="0.2">
      <c r="A377" s="796" t="s">
        <v>453</v>
      </c>
      <c r="B377" s="731" t="s">
        <v>1353</v>
      </c>
      <c r="C377" s="695">
        <v>350000</v>
      </c>
      <c r="D377" s="695">
        <v>350000</v>
      </c>
      <c r="E377" s="695">
        <v>307708.25</v>
      </c>
      <c r="F377" s="695"/>
      <c r="G377" s="1051"/>
      <c r="H377" s="1055"/>
      <c r="I377" s="1056"/>
      <c r="J377" s="29">
        <v>34122</v>
      </c>
    </row>
    <row r="378" spans="1:10" ht="30" customHeight="1" x14ac:dyDescent="0.2">
      <c r="A378" s="730">
        <v>2219</v>
      </c>
      <c r="B378" s="797" t="s">
        <v>1241</v>
      </c>
      <c r="C378" s="798">
        <f>SUM(C379:C410)</f>
        <v>45348000</v>
      </c>
      <c r="D378" s="798">
        <f>SUM(D379:D410)</f>
        <v>33331467.449999999</v>
      </c>
      <c r="E378" s="798">
        <v>25925810.760000002</v>
      </c>
      <c r="F378" s="1094">
        <f>SUM(E379:E410)</f>
        <v>25925810.760000002</v>
      </c>
      <c r="G378" s="630"/>
      <c r="H378" s="1052"/>
      <c r="I378" s="631"/>
      <c r="J378" s="29">
        <v>751471.8</v>
      </c>
    </row>
    <row r="379" spans="1:10" ht="30" customHeight="1" x14ac:dyDescent="0.2">
      <c r="A379" s="796" t="s">
        <v>299</v>
      </c>
      <c r="B379" s="731" t="s">
        <v>460</v>
      </c>
      <c r="C379" s="695">
        <v>200000</v>
      </c>
      <c r="D379" s="695">
        <f>200000+50000</f>
        <v>250000</v>
      </c>
      <c r="E379" s="695">
        <v>208740</v>
      </c>
      <c r="F379" s="695"/>
      <c r="G379" s="1051"/>
      <c r="H379" s="1055"/>
      <c r="I379" s="1056"/>
      <c r="J379" s="29">
        <v>0</v>
      </c>
    </row>
    <row r="380" spans="1:10" ht="30" customHeight="1" x14ac:dyDescent="0.2">
      <c r="A380" s="796" t="s">
        <v>301</v>
      </c>
      <c r="B380" s="731" t="s">
        <v>461</v>
      </c>
      <c r="C380" s="695">
        <v>3600000</v>
      </c>
      <c r="D380" s="695">
        <f>3600000-50000-50000</f>
        <v>3500000</v>
      </c>
      <c r="E380" s="695">
        <v>2467853.87</v>
      </c>
      <c r="F380" s="695"/>
      <c r="G380" s="1051"/>
      <c r="H380" s="1055"/>
      <c r="I380" s="1056"/>
      <c r="J380" s="29">
        <v>0</v>
      </c>
    </row>
    <row r="381" spans="1:10" ht="30" customHeight="1" x14ac:dyDescent="0.2">
      <c r="A381" s="796" t="s">
        <v>464</v>
      </c>
      <c r="B381" s="731" t="s">
        <v>1360</v>
      </c>
      <c r="C381" s="695">
        <v>5350000</v>
      </c>
      <c r="D381" s="695">
        <f>5350000+500000</f>
        <v>5850000</v>
      </c>
      <c r="E381" s="695">
        <v>4030637.06</v>
      </c>
      <c r="F381" s="695"/>
      <c r="G381" s="1051"/>
      <c r="H381" s="1055"/>
      <c r="I381" s="1056"/>
      <c r="J381" s="29">
        <v>0</v>
      </c>
    </row>
    <row r="382" spans="1:10" ht="30" customHeight="1" x14ac:dyDescent="0.2">
      <c r="A382" s="796" t="s">
        <v>468</v>
      </c>
      <c r="B382" s="731" t="s">
        <v>1361</v>
      </c>
      <c r="C382" s="695">
        <v>1500000</v>
      </c>
      <c r="D382" s="695">
        <f>1500000+50000+660000</f>
        <v>2210000</v>
      </c>
      <c r="E382" s="695">
        <v>1603295.09</v>
      </c>
      <c r="F382" s="695"/>
      <c r="G382" s="1051"/>
      <c r="H382" s="1055"/>
      <c r="I382" s="1056"/>
      <c r="J382" s="29">
        <v>0</v>
      </c>
    </row>
    <row r="383" spans="1:10" ht="30" customHeight="1" x14ac:dyDescent="0.2">
      <c r="A383" s="796" t="s">
        <v>470</v>
      </c>
      <c r="B383" s="809" t="s">
        <v>1943</v>
      </c>
      <c r="C383" s="695">
        <v>100000</v>
      </c>
      <c r="D383" s="695">
        <v>100000</v>
      </c>
      <c r="E383" s="695">
        <v>58080</v>
      </c>
      <c r="F383" s="695"/>
      <c r="G383" s="1051"/>
      <c r="H383" s="1055"/>
      <c r="I383" s="1056"/>
      <c r="J383" s="29">
        <v>0</v>
      </c>
    </row>
    <row r="384" spans="1:10" ht="30" customHeight="1" x14ac:dyDescent="0.2">
      <c r="A384" s="796" t="s">
        <v>1396</v>
      </c>
      <c r="B384" s="809" t="s">
        <v>1397</v>
      </c>
      <c r="C384" s="695">
        <v>800000</v>
      </c>
      <c r="D384" s="695">
        <f>800000-730000</f>
        <v>70000</v>
      </c>
      <c r="E384" s="695">
        <v>60500</v>
      </c>
      <c r="F384" s="695"/>
      <c r="G384" s="1051"/>
      <c r="H384" s="1055"/>
      <c r="I384" s="1056"/>
      <c r="J384" s="29">
        <v>0</v>
      </c>
    </row>
    <row r="385" spans="1:10" ht="30" customHeight="1" x14ac:dyDescent="0.2">
      <c r="A385" s="796" t="s">
        <v>486</v>
      </c>
      <c r="B385" s="731" t="s">
        <v>1944</v>
      </c>
      <c r="C385" s="695">
        <v>500000</v>
      </c>
      <c r="D385" s="695">
        <f>500000+2500000-300000</f>
        <v>2700000</v>
      </c>
      <c r="E385" s="695">
        <v>2680300.56</v>
      </c>
      <c r="F385" s="695"/>
      <c r="G385" s="1051"/>
      <c r="H385" s="1055"/>
      <c r="I385" s="1056"/>
      <c r="J385" s="29">
        <v>0</v>
      </c>
    </row>
    <row r="386" spans="1:10" ht="30" customHeight="1" x14ac:dyDescent="0.2">
      <c r="A386" s="796" t="s">
        <v>1394</v>
      </c>
      <c r="B386" s="809" t="s">
        <v>1395</v>
      </c>
      <c r="C386" s="695">
        <v>550000</v>
      </c>
      <c r="D386" s="695">
        <v>550000</v>
      </c>
      <c r="E386" s="695">
        <v>375100</v>
      </c>
      <c r="F386" s="695"/>
      <c r="G386" s="1051"/>
      <c r="H386" s="1055"/>
      <c r="I386" s="1056"/>
      <c r="J386" s="29">
        <v>0</v>
      </c>
    </row>
    <row r="387" spans="1:10" ht="30" customHeight="1" x14ac:dyDescent="0.2">
      <c r="A387" s="796" t="s">
        <v>1398</v>
      </c>
      <c r="B387" s="809" t="s">
        <v>1399</v>
      </c>
      <c r="C387" s="695">
        <v>600000</v>
      </c>
      <c r="D387" s="695">
        <f>600000-550000</f>
        <v>50000</v>
      </c>
      <c r="E387" s="695">
        <v>42350</v>
      </c>
      <c r="F387" s="695"/>
      <c r="G387" s="1051"/>
      <c r="H387" s="1055"/>
      <c r="I387" s="1056"/>
      <c r="J387" s="29">
        <v>25954</v>
      </c>
    </row>
    <row r="388" spans="1:10" ht="30" customHeight="1" x14ac:dyDescent="0.2">
      <c r="A388" s="796" t="s">
        <v>1400</v>
      </c>
      <c r="B388" s="809" t="s">
        <v>1401</v>
      </c>
      <c r="C388" s="695">
        <v>350000</v>
      </c>
      <c r="D388" s="695">
        <v>350000</v>
      </c>
      <c r="E388" s="695">
        <v>9680</v>
      </c>
      <c r="F388" s="695"/>
      <c r="G388" s="1051"/>
      <c r="H388" s="1055"/>
      <c r="I388" s="1056"/>
      <c r="J388" s="29">
        <v>0</v>
      </c>
    </row>
    <row r="389" spans="1:10" ht="30" customHeight="1" x14ac:dyDescent="0.2">
      <c r="A389" s="796" t="s">
        <v>492</v>
      </c>
      <c r="B389" s="809" t="s">
        <v>1945</v>
      </c>
      <c r="C389" s="695">
        <v>37000</v>
      </c>
      <c r="D389" s="695">
        <v>37000</v>
      </c>
      <c r="E389" s="695">
        <v>36300</v>
      </c>
      <c r="F389" s="695"/>
      <c r="G389" s="1051"/>
      <c r="H389" s="1055"/>
      <c r="I389" s="1056"/>
      <c r="J389" s="29">
        <v>0</v>
      </c>
    </row>
    <row r="390" spans="1:10" ht="30" customHeight="1" x14ac:dyDescent="0.2">
      <c r="A390" s="796" t="s">
        <v>1369</v>
      </c>
      <c r="B390" s="809" t="s">
        <v>1370</v>
      </c>
      <c r="C390" s="695">
        <v>37000</v>
      </c>
      <c r="D390" s="695">
        <v>37000</v>
      </c>
      <c r="E390" s="695">
        <v>36300</v>
      </c>
      <c r="F390" s="695"/>
      <c r="G390" s="1051"/>
      <c r="H390" s="1055"/>
      <c r="I390" s="1056"/>
      <c r="J390" s="29">
        <v>0</v>
      </c>
    </row>
    <row r="391" spans="1:10" ht="30" customHeight="1" x14ac:dyDescent="0.2">
      <c r="A391" s="796" t="s">
        <v>1374</v>
      </c>
      <c r="B391" s="809" t="s">
        <v>1375</v>
      </c>
      <c r="C391" s="695">
        <v>200000</v>
      </c>
      <c r="D391" s="695">
        <v>200000</v>
      </c>
      <c r="E391" s="695">
        <v>59692</v>
      </c>
      <c r="F391" s="695"/>
      <c r="G391" s="1051"/>
      <c r="H391" s="1055"/>
      <c r="I391" s="1056"/>
      <c r="J391" s="29">
        <v>0</v>
      </c>
    </row>
    <row r="392" spans="1:10" ht="30" customHeight="1" x14ac:dyDescent="0.2">
      <c r="A392" s="796" t="s">
        <v>1376</v>
      </c>
      <c r="B392" s="809" t="s">
        <v>1377</v>
      </c>
      <c r="C392" s="695">
        <v>3330000</v>
      </c>
      <c r="D392" s="695">
        <f>3330000-700000</f>
        <v>2630000</v>
      </c>
      <c r="E392" s="695">
        <v>2568200.04</v>
      </c>
      <c r="F392" s="695"/>
      <c r="G392" s="1051"/>
      <c r="H392" s="1055"/>
      <c r="I392" s="1056"/>
      <c r="J392" s="29">
        <v>50903</v>
      </c>
    </row>
    <row r="393" spans="1:10" ht="30" customHeight="1" x14ac:dyDescent="0.2">
      <c r="A393" s="796" t="s">
        <v>1378</v>
      </c>
      <c r="B393" s="809" t="s">
        <v>1379</v>
      </c>
      <c r="C393" s="695">
        <v>1630000</v>
      </c>
      <c r="D393" s="695">
        <f>1630000-450000</f>
        <v>1180000</v>
      </c>
      <c r="E393" s="695">
        <v>1172402.21</v>
      </c>
      <c r="F393" s="695"/>
      <c r="G393" s="1051"/>
      <c r="H393" s="1055"/>
      <c r="I393" s="1056"/>
      <c r="J393" s="29">
        <v>21236</v>
      </c>
    </row>
    <row r="394" spans="1:10" ht="30" customHeight="1" x14ac:dyDescent="0.2">
      <c r="A394" s="796" t="s">
        <v>1381</v>
      </c>
      <c r="B394" s="809" t="s">
        <v>1946</v>
      </c>
      <c r="C394" s="695">
        <v>2400000</v>
      </c>
      <c r="D394" s="695">
        <f>2400000-800000</f>
        <v>1600000</v>
      </c>
      <c r="E394" s="695">
        <v>1591569.08</v>
      </c>
      <c r="F394" s="695"/>
      <c r="G394" s="1051"/>
      <c r="H394" s="1055"/>
      <c r="I394" s="1056"/>
      <c r="J394" s="29">
        <v>100170</v>
      </c>
    </row>
    <row r="395" spans="1:10" ht="30" customHeight="1" x14ac:dyDescent="0.2">
      <c r="A395" s="796" t="s">
        <v>1383</v>
      </c>
      <c r="B395" s="809" t="s">
        <v>1384</v>
      </c>
      <c r="C395" s="695">
        <v>3150000</v>
      </c>
      <c r="D395" s="695">
        <f>3150000-81550.55-500000-310000</f>
        <v>2258449.4500000002</v>
      </c>
      <c r="E395" s="695">
        <v>2252557.63</v>
      </c>
      <c r="F395" s="695"/>
      <c r="G395" s="1051"/>
      <c r="H395" s="1055"/>
      <c r="I395" s="1056"/>
      <c r="J395" s="29">
        <v>25954</v>
      </c>
    </row>
    <row r="396" spans="1:10" ht="30" customHeight="1" x14ac:dyDescent="0.2">
      <c r="A396" s="796" t="s">
        <v>1385</v>
      </c>
      <c r="B396" s="809" t="s">
        <v>1386</v>
      </c>
      <c r="C396" s="695">
        <v>37000</v>
      </c>
      <c r="D396" s="695">
        <v>37000</v>
      </c>
      <c r="E396" s="695">
        <v>36300</v>
      </c>
      <c r="F396" s="695"/>
      <c r="G396" s="1051"/>
      <c r="H396" s="1055"/>
      <c r="I396" s="1056"/>
      <c r="J396" s="29">
        <v>0</v>
      </c>
    </row>
    <row r="397" spans="1:10" ht="30" customHeight="1" x14ac:dyDescent="0.2">
      <c r="A397" s="796" t="s">
        <v>1387</v>
      </c>
      <c r="B397" s="809" t="s">
        <v>1388</v>
      </c>
      <c r="C397" s="695">
        <v>37000</v>
      </c>
      <c r="D397" s="695">
        <v>37000</v>
      </c>
      <c r="E397" s="695">
        <v>0</v>
      </c>
      <c r="F397" s="695"/>
      <c r="G397" s="1051"/>
      <c r="H397" s="1055"/>
      <c r="I397" s="1056"/>
      <c r="J397" s="29">
        <v>0</v>
      </c>
    </row>
    <row r="398" spans="1:10" ht="30" customHeight="1" x14ac:dyDescent="0.2">
      <c r="A398" s="796" t="s">
        <v>1389</v>
      </c>
      <c r="B398" s="809" t="s">
        <v>1390</v>
      </c>
      <c r="C398" s="695">
        <v>40000</v>
      </c>
      <c r="D398" s="695">
        <v>40000</v>
      </c>
      <c r="E398" s="695">
        <v>0</v>
      </c>
      <c r="F398" s="695"/>
      <c r="G398" s="1051"/>
      <c r="H398" s="1055"/>
      <c r="I398" s="1056"/>
      <c r="J398" s="29">
        <v>0</v>
      </c>
    </row>
    <row r="399" spans="1:10" ht="30" customHeight="1" x14ac:dyDescent="0.2">
      <c r="A399" s="796" t="s">
        <v>1391</v>
      </c>
      <c r="B399" s="809" t="s">
        <v>1392</v>
      </c>
      <c r="C399" s="695">
        <v>190000</v>
      </c>
      <c r="D399" s="695">
        <v>190000</v>
      </c>
      <c r="E399" s="695">
        <v>0</v>
      </c>
      <c r="F399" s="695"/>
      <c r="G399" s="1051"/>
      <c r="H399" s="1055"/>
      <c r="I399" s="1056"/>
      <c r="J399" s="29">
        <v>0</v>
      </c>
    </row>
    <row r="400" spans="1:10" ht="30" customHeight="1" x14ac:dyDescent="0.2">
      <c r="A400" s="796" t="s">
        <v>500</v>
      </c>
      <c r="B400" s="809" t="s">
        <v>501</v>
      </c>
      <c r="C400" s="695">
        <v>10000</v>
      </c>
      <c r="D400" s="695">
        <v>10000</v>
      </c>
      <c r="E400" s="695">
        <v>0</v>
      </c>
      <c r="F400" s="695"/>
      <c r="G400" s="1051"/>
      <c r="H400" s="1055"/>
      <c r="I400" s="1056"/>
      <c r="J400" s="29">
        <v>206216</v>
      </c>
    </row>
    <row r="401" spans="1:10" ht="30" customHeight="1" x14ac:dyDescent="0.2">
      <c r="A401" s="796" t="s">
        <v>1402</v>
      </c>
      <c r="B401" s="809" t="s">
        <v>1947</v>
      </c>
      <c r="C401" s="695">
        <f>3400000+2200000</f>
        <v>5600000</v>
      </c>
      <c r="D401" s="695">
        <f>3400000+2200000+22018</f>
        <v>5622018</v>
      </c>
      <c r="E401" s="695">
        <v>4947845.5999999996</v>
      </c>
      <c r="F401" s="695"/>
      <c r="G401" s="1051"/>
      <c r="H401" s="1055"/>
      <c r="I401" s="1056"/>
      <c r="J401" s="29">
        <v>0</v>
      </c>
    </row>
    <row r="402" spans="1:10" ht="30" customHeight="1" x14ac:dyDescent="0.2">
      <c r="A402" s="796" t="s">
        <v>1406</v>
      </c>
      <c r="B402" s="809" t="s">
        <v>1407</v>
      </c>
      <c r="C402" s="695">
        <v>1700000</v>
      </c>
      <c r="D402" s="695">
        <f>1700000-500000</f>
        <v>1200000</v>
      </c>
      <c r="E402" s="695">
        <v>1034417.02</v>
      </c>
      <c r="F402" s="695"/>
      <c r="G402" s="1051"/>
      <c r="H402" s="1055"/>
      <c r="I402" s="1056"/>
      <c r="J402" s="29">
        <v>0</v>
      </c>
    </row>
    <row r="403" spans="1:10" ht="30" customHeight="1" x14ac:dyDescent="0.2">
      <c r="A403" s="796" t="s">
        <v>1408</v>
      </c>
      <c r="B403" s="809" t="s">
        <v>1409</v>
      </c>
      <c r="C403" s="695">
        <v>1300000</v>
      </c>
      <c r="D403" s="695">
        <f>1300000-750000</f>
        <v>550000</v>
      </c>
      <c r="E403" s="695">
        <v>39690</v>
      </c>
      <c r="F403" s="695"/>
      <c r="G403" s="1051"/>
      <c r="H403" s="1055"/>
      <c r="I403" s="1056"/>
      <c r="J403" s="29">
        <v>0</v>
      </c>
    </row>
    <row r="404" spans="1:10" ht="30" customHeight="1" x14ac:dyDescent="0.2">
      <c r="A404" s="796" t="s">
        <v>1410</v>
      </c>
      <c r="B404" s="809" t="s">
        <v>1411</v>
      </c>
      <c r="C404" s="695">
        <v>630000</v>
      </c>
      <c r="D404" s="695">
        <v>630000</v>
      </c>
      <c r="E404" s="695">
        <v>0</v>
      </c>
      <c r="F404" s="695"/>
      <c r="G404" s="1051"/>
      <c r="H404" s="1055"/>
      <c r="I404" s="1056"/>
      <c r="J404" s="29">
        <v>0</v>
      </c>
    </row>
    <row r="405" spans="1:10" ht="30" customHeight="1" x14ac:dyDescent="0.2">
      <c r="A405" s="796" t="s">
        <v>1412</v>
      </c>
      <c r="B405" s="809" t="s">
        <v>1413</v>
      </c>
      <c r="C405" s="695">
        <v>800000</v>
      </c>
      <c r="D405" s="695">
        <f>800000-780000</f>
        <v>20000</v>
      </c>
      <c r="E405" s="695">
        <v>12100</v>
      </c>
      <c r="F405" s="695"/>
      <c r="G405" s="1051"/>
      <c r="H405" s="1055"/>
      <c r="I405" s="1056"/>
      <c r="J405" s="29">
        <v>0</v>
      </c>
    </row>
    <row r="406" spans="1:10" ht="30" customHeight="1" x14ac:dyDescent="0.2">
      <c r="A406" s="796" t="s">
        <v>1414</v>
      </c>
      <c r="B406" s="809" t="s">
        <v>1415</v>
      </c>
      <c r="C406" s="695">
        <v>350000</v>
      </c>
      <c r="D406" s="695">
        <f>350000+13000</f>
        <v>363000</v>
      </c>
      <c r="E406" s="695">
        <v>63031.1</v>
      </c>
      <c r="F406" s="695"/>
      <c r="G406" s="1051"/>
      <c r="H406" s="1055"/>
      <c r="I406" s="1056"/>
      <c r="J406" s="29">
        <v>0</v>
      </c>
    </row>
    <row r="407" spans="1:10" ht="30" customHeight="1" x14ac:dyDescent="0.2">
      <c r="A407" s="796" t="s">
        <v>1418</v>
      </c>
      <c r="B407" s="809" t="s">
        <v>1948</v>
      </c>
      <c r="C407" s="695">
        <f>302100+287900</f>
        <v>590000</v>
      </c>
      <c r="D407" s="695">
        <f>302100+287900</f>
        <v>590000</v>
      </c>
      <c r="E407" s="695">
        <v>396819.5</v>
      </c>
      <c r="F407" s="695"/>
      <c r="G407" s="1051"/>
      <c r="H407" s="1055"/>
      <c r="I407" s="1056"/>
      <c r="J407" s="29">
        <v>0</v>
      </c>
    </row>
    <row r="408" spans="1:10" ht="30" customHeight="1" x14ac:dyDescent="0.2">
      <c r="A408" s="796" t="s">
        <v>1422</v>
      </c>
      <c r="B408" s="809" t="s">
        <v>1423</v>
      </c>
      <c r="C408" s="695">
        <v>9650000</v>
      </c>
      <c r="D408" s="695">
        <f>9650000-1000000-7500000-100000-660000</f>
        <v>390000</v>
      </c>
      <c r="E408" s="695">
        <v>127050</v>
      </c>
      <c r="F408" s="695"/>
      <c r="G408" s="1051"/>
      <c r="H408" s="1055"/>
      <c r="I408" s="1056"/>
      <c r="J408" s="29">
        <v>0</v>
      </c>
    </row>
    <row r="409" spans="1:10" ht="30" customHeight="1" x14ac:dyDescent="0.2">
      <c r="A409" s="796" t="s">
        <v>1426</v>
      </c>
      <c r="B409" s="809" t="s">
        <v>1427</v>
      </c>
      <c r="C409" s="695">
        <v>30000</v>
      </c>
      <c r="D409" s="695">
        <f>30000</f>
        <v>30000</v>
      </c>
      <c r="E409" s="695">
        <v>15000</v>
      </c>
      <c r="F409" s="695"/>
      <c r="G409" s="1051"/>
      <c r="H409" s="1055"/>
      <c r="I409" s="1056"/>
      <c r="J409" s="29">
        <v>0</v>
      </c>
    </row>
    <row r="410" spans="1:10" ht="30" customHeight="1" x14ac:dyDescent="0.2">
      <c r="A410" s="796" t="s">
        <v>1428</v>
      </c>
      <c r="B410" s="809" t="s">
        <v>1429</v>
      </c>
      <c r="C410" s="695">
        <v>50000</v>
      </c>
      <c r="D410" s="695">
        <v>50000</v>
      </c>
      <c r="E410" s="695">
        <v>0</v>
      </c>
      <c r="F410" s="695"/>
      <c r="G410" s="1051"/>
      <c r="H410" s="1055"/>
      <c r="I410" s="1056"/>
      <c r="J410" s="29">
        <v>54450</v>
      </c>
    </row>
    <row r="411" spans="1:10" ht="30" customHeight="1" x14ac:dyDescent="0.2">
      <c r="A411" s="730">
        <v>2221</v>
      </c>
      <c r="B411" s="797" t="s">
        <v>1258</v>
      </c>
      <c r="C411" s="798">
        <f>SUM(C412:C413)</f>
        <v>1755000</v>
      </c>
      <c r="D411" s="798">
        <f>SUM(D412:D413)</f>
        <v>1855000</v>
      </c>
      <c r="E411" s="798">
        <v>1181786.03</v>
      </c>
      <c r="F411" s="1094">
        <f>SUM(E412:E413)</f>
        <v>1181786.23</v>
      </c>
      <c r="G411" s="630"/>
      <c r="H411" s="1052"/>
      <c r="I411" s="631"/>
      <c r="J411" s="29">
        <v>31460</v>
      </c>
    </row>
    <row r="412" spans="1:10" ht="30" customHeight="1" x14ac:dyDescent="0.2">
      <c r="A412" s="796" t="s">
        <v>517</v>
      </c>
      <c r="B412" s="809" t="s">
        <v>518</v>
      </c>
      <c r="C412" s="695">
        <v>1400000</v>
      </c>
      <c r="D412" s="695">
        <v>1400000</v>
      </c>
      <c r="E412" s="695">
        <v>1020012.87</v>
      </c>
      <c r="F412" s="695"/>
      <c r="G412" s="1051"/>
      <c r="H412" s="1055"/>
      <c r="I412" s="1056"/>
      <c r="J412" s="29">
        <v>0</v>
      </c>
    </row>
    <row r="413" spans="1:10" ht="30" customHeight="1" x14ac:dyDescent="0.2">
      <c r="A413" s="796" t="s">
        <v>1432</v>
      </c>
      <c r="B413" s="809" t="s">
        <v>1433</v>
      </c>
      <c r="C413" s="695">
        <v>355000</v>
      </c>
      <c r="D413" s="695">
        <f>355000+100000</f>
        <v>455000</v>
      </c>
      <c r="E413" s="695">
        <v>161773.35999999999</v>
      </c>
      <c r="F413" s="695"/>
      <c r="G413" s="1051"/>
      <c r="H413" s="1055"/>
      <c r="I413" s="1056"/>
      <c r="J413" s="29">
        <v>0</v>
      </c>
    </row>
    <row r="414" spans="1:10" ht="30" customHeight="1" x14ac:dyDescent="0.25">
      <c r="A414" s="621"/>
      <c r="B414" s="813" t="s">
        <v>1436</v>
      </c>
      <c r="C414" s="777">
        <f>SUM(C415,C420,C426)</f>
        <v>30785000</v>
      </c>
      <c r="D414" s="777">
        <f>SUM(D415,D420,D426)</f>
        <v>15085000</v>
      </c>
      <c r="E414" s="777">
        <v>13261037.68</v>
      </c>
      <c r="F414" s="1082">
        <f>SUM(E415,E419,E425)</f>
        <v>13261037.68</v>
      </c>
      <c r="G414" s="623"/>
      <c r="H414" s="623"/>
      <c r="I414" s="741"/>
      <c r="J414" s="29">
        <v>0</v>
      </c>
    </row>
    <row r="415" spans="1:10" ht="30" customHeight="1" x14ac:dyDescent="0.2">
      <c r="A415" s="1097">
        <v>3111</v>
      </c>
      <c r="B415" s="815" t="s">
        <v>2117</v>
      </c>
      <c r="C415" s="768">
        <f>SUM(C416:C419)</f>
        <v>10435000</v>
      </c>
      <c r="D415" s="768">
        <f>SUM(D416:D419)</f>
        <v>10435000</v>
      </c>
      <c r="E415" s="768">
        <v>9707910.9700000007</v>
      </c>
      <c r="F415" s="1098">
        <f>SUM(E416:E418)</f>
        <v>9707910.9699999988</v>
      </c>
      <c r="G415" s="630"/>
      <c r="H415" s="1052"/>
      <c r="I415" s="631"/>
      <c r="J415" s="29">
        <v>0</v>
      </c>
    </row>
    <row r="416" spans="1:10" ht="30" customHeight="1" x14ac:dyDescent="0.2">
      <c r="A416" s="796" t="s">
        <v>1442</v>
      </c>
      <c r="B416" s="731" t="s">
        <v>1443</v>
      </c>
      <c r="C416" s="695">
        <v>5000000</v>
      </c>
      <c r="D416" s="695">
        <f>5000000-520000</f>
        <v>4480000</v>
      </c>
      <c r="E416" s="695">
        <v>4069878.28</v>
      </c>
      <c r="F416" s="695"/>
      <c r="G416" s="1051"/>
      <c r="H416" s="1055"/>
      <c r="I416" s="1056"/>
      <c r="J416" s="29">
        <v>0</v>
      </c>
    </row>
    <row r="417" spans="1:10" ht="30" customHeight="1" x14ac:dyDescent="0.2">
      <c r="A417" s="796" t="s">
        <v>1444</v>
      </c>
      <c r="B417" s="809" t="s">
        <v>1445</v>
      </c>
      <c r="C417" s="695">
        <v>800000</v>
      </c>
      <c r="D417" s="695">
        <v>800000</v>
      </c>
      <c r="E417" s="695">
        <v>496100</v>
      </c>
      <c r="F417" s="695"/>
      <c r="G417" s="1051"/>
      <c r="H417" s="1055"/>
      <c r="I417" s="1056"/>
      <c r="J417" s="29">
        <v>0</v>
      </c>
    </row>
    <row r="418" spans="1:10" ht="30" customHeight="1" x14ac:dyDescent="0.2">
      <c r="A418" s="796" t="s">
        <v>1951</v>
      </c>
      <c r="B418" s="731" t="s">
        <v>1952</v>
      </c>
      <c r="C418" s="695">
        <v>0</v>
      </c>
      <c r="D418" s="695">
        <f>4635000+520000</f>
        <v>5155000</v>
      </c>
      <c r="E418" s="695">
        <v>5141932.6900000004</v>
      </c>
      <c r="F418" s="728"/>
      <c r="G418" s="1051"/>
      <c r="H418" s="1055"/>
      <c r="I418" s="1056"/>
      <c r="J418" s="29">
        <v>0</v>
      </c>
    </row>
    <row r="419" spans="1:10" ht="30" customHeight="1" x14ac:dyDescent="0.2">
      <c r="A419" s="796" t="s">
        <v>1440</v>
      </c>
      <c r="B419" s="731" t="s">
        <v>1441</v>
      </c>
      <c r="C419" s="695">
        <v>4635000</v>
      </c>
      <c r="D419" s="695">
        <f>4635000-4635000</f>
        <v>0</v>
      </c>
      <c r="E419" s="798">
        <v>3553126.71</v>
      </c>
      <c r="F419" s="1094">
        <f>SUM(E420:E424)</f>
        <v>3553126.71</v>
      </c>
      <c r="G419" s="1051"/>
      <c r="H419" s="1055"/>
      <c r="I419" s="1056"/>
      <c r="J419" s="29">
        <v>0</v>
      </c>
    </row>
    <row r="420" spans="1:10" ht="30" customHeight="1" x14ac:dyDescent="0.2">
      <c r="A420" s="838">
        <v>3113</v>
      </c>
      <c r="B420" s="797" t="s">
        <v>2118</v>
      </c>
      <c r="C420" s="798">
        <f>SUM(C421:C425)</f>
        <v>20350000</v>
      </c>
      <c r="D420" s="798">
        <f>SUM(D421:D425)</f>
        <v>4550000</v>
      </c>
      <c r="E420" s="695">
        <v>0</v>
      </c>
      <c r="F420" s="695"/>
      <c r="G420" s="630"/>
      <c r="H420" s="1052"/>
      <c r="I420" s="631"/>
      <c r="J420" s="29">
        <v>0</v>
      </c>
    </row>
    <row r="421" spans="1:10" ht="30" customHeight="1" x14ac:dyDescent="0.2">
      <c r="A421" s="796" t="s">
        <v>1953</v>
      </c>
      <c r="B421" s="731" t="s">
        <v>1447</v>
      </c>
      <c r="C421" s="695">
        <v>500000</v>
      </c>
      <c r="D421" s="695">
        <v>500000</v>
      </c>
      <c r="E421" s="695">
        <v>2551609.71</v>
      </c>
      <c r="F421" s="695"/>
      <c r="G421" s="1051"/>
      <c r="H421" s="1055"/>
      <c r="I421" s="1056"/>
      <c r="J421" s="29">
        <v>0</v>
      </c>
    </row>
    <row r="422" spans="1:10" ht="30" customHeight="1" x14ac:dyDescent="0.2">
      <c r="A422" s="796" t="s">
        <v>1954</v>
      </c>
      <c r="B422" s="731" t="s">
        <v>1449</v>
      </c>
      <c r="C422" s="695">
        <v>2150000</v>
      </c>
      <c r="D422" s="695">
        <f>2150000+(150000+80000)+200000</f>
        <v>2580000</v>
      </c>
      <c r="E422" s="695">
        <v>1001517</v>
      </c>
      <c r="F422" s="695"/>
      <c r="G422" s="1051"/>
      <c r="H422" s="1055"/>
      <c r="I422" s="1056"/>
      <c r="J422" s="29">
        <v>0</v>
      </c>
    </row>
    <row r="423" spans="1:10" ht="30" customHeight="1" x14ac:dyDescent="0.2">
      <c r="A423" s="796" t="s">
        <v>1955</v>
      </c>
      <c r="B423" s="731" t="s">
        <v>1451</v>
      </c>
      <c r="C423" s="695">
        <v>1500000</v>
      </c>
      <c r="D423" s="695">
        <f>1500000-200000-100000</f>
        <v>1200000</v>
      </c>
      <c r="E423" s="695">
        <v>0</v>
      </c>
      <c r="F423" s="695"/>
      <c r="G423" s="1051"/>
      <c r="H423" s="1055"/>
      <c r="I423" s="1056"/>
      <c r="J423" s="29">
        <v>0</v>
      </c>
    </row>
    <row r="424" spans="1:10" ht="30" customHeight="1" x14ac:dyDescent="0.2">
      <c r="A424" s="796" t="s">
        <v>1956</v>
      </c>
      <c r="B424" s="731" t="s">
        <v>1453</v>
      </c>
      <c r="C424" s="695">
        <v>1700000</v>
      </c>
      <c r="D424" s="695">
        <f>1700000-1700000</f>
        <v>0</v>
      </c>
      <c r="E424" s="695">
        <v>0</v>
      </c>
      <c r="F424" s="695"/>
      <c r="G424" s="1051"/>
      <c r="H424" s="1055"/>
      <c r="I424" s="1056"/>
      <c r="J424" s="29">
        <v>0</v>
      </c>
    </row>
    <row r="425" spans="1:10" ht="30" customHeight="1" x14ac:dyDescent="0.2">
      <c r="A425" s="796" t="s">
        <v>1957</v>
      </c>
      <c r="B425" s="731" t="s">
        <v>1455</v>
      </c>
      <c r="C425" s="695">
        <v>14500000</v>
      </c>
      <c r="D425" s="695">
        <f>14500000-14000000-230000</f>
        <v>270000</v>
      </c>
      <c r="E425" s="798">
        <v>0</v>
      </c>
      <c r="F425" s="1093">
        <f>SUM(E426:E427)</f>
        <v>0</v>
      </c>
      <c r="G425" s="1051"/>
      <c r="H425" s="1055"/>
      <c r="I425" s="1056"/>
      <c r="J425" s="29">
        <v>0</v>
      </c>
    </row>
    <row r="426" spans="1:10" ht="30" customHeight="1" x14ac:dyDescent="0.2">
      <c r="A426" s="838">
        <v>3412</v>
      </c>
      <c r="B426" s="797" t="s">
        <v>1931</v>
      </c>
      <c r="C426" s="798">
        <f>SUM(C427:C428)</f>
        <v>0</v>
      </c>
      <c r="D426" s="798">
        <f>SUM(D427:D428)</f>
        <v>100000</v>
      </c>
      <c r="E426" s="695">
        <v>0</v>
      </c>
      <c r="F426" s="695"/>
      <c r="G426" s="630"/>
      <c r="H426" s="1052"/>
      <c r="I426" s="631"/>
      <c r="J426" s="29">
        <v>0</v>
      </c>
    </row>
    <row r="427" spans="1:10" ht="30" customHeight="1" x14ac:dyDescent="0.2">
      <c r="A427" s="796" t="s">
        <v>2119</v>
      </c>
      <c r="B427" s="731" t="s">
        <v>2120</v>
      </c>
      <c r="C427" s="695">
        <v>0</v>
      </c>
      <c r="D427" s="695">
        <v>50000</v>
      </c>
      <c r="E427" s="695">
        <v>0</v>
      </c>
      <c r="F427" s="695"/>
      <c r="G427" s="1051"/>
      <c r="H427" s="1055"/>
      <c r="I427" s="1056"/>
      <c r="J427" s="29">
        <v>0</v>
      </c>
    </row>
    <row r="428" spans="1:10" ht="30" customHeight="1" x14ac:dyDescent="0.2">
      <c r="A428" s="796" t="s">
        <v>2121</v>
      </c>
      <c r="B428" s="731" t="s">
        <v>2122</v>
      </c>
      <c r="C428" s="695">
        <v>0</v>
      </c>
      <c r="D428" s="695">
        <v>50000</v>
      </c>
      <c r="E428" s="695"/>
      <c r="F428" s="695"/>
      <c r="G428" s="1051"/>
      <c r="H428" s="1055"/>
      <c r="I428" s="1056"/>
      <c r="J428" s="29">
        <v>0</v>
      </c>
    </row>
    <row r="429" spans="1:10" ht="30" customHeight="1" x14ac:dyDescent="0.25">
      <c r="A429" s="819"/>
      <c r="B429" s="813" t="s">
        <v>523</v>
      </c>
      <c r="C429" s="792">
        <f>SUM(C430+C432)</f>
        <v>8007000</v>
      </c>
      <c r="D429" s="792">
        <f>SUM(D430+D432)</f>
        <v>5353693</v>
      </c>
      <c r="E429" s="792">
        <v>4354094.9800000004</v>
      </c>
      <c r="F429" s="1092">
        <f>SUM(E430,E432)</f>
        <v>4354094.96</v>
      </c>
      <c r="G429" s="623"/>
      <c r="H429" s="623"/>
      <c r="I429" s="741"/>
      <c r="J429" s="29">
        <v>692879.98</v>
      </c>
    </row>
    <row r="430" spans="1:10" ht="30" customHeight="1" x14ac:dyDescent="0.2">
      <c r="A430" s="814">
        <v>3613</v>
      </c>
      <c r="B430" s="815" t="s">
        <v>1456</v>
      </c>
      <c r="C430" s="795">
        <f t="shared" ref="C430:D430" si="7">C431</f>
        <v>1850000</v>
      </c>
      <c r="D430" s="795">
        <f t="shared" si="7"/>
        <v>850000</v>
      </c>
      <c r="E430" s="795">
        <v>573410</v>
      </c>
      <c r="F430" s="1093">
        <f>SUM(E431)</f>
        <v>573410</v>
      </c>
      <c r="G430" s="630"/>
      <c r="H430" s="1052"/>
      <c r="I430" s="631"/>
      <c r="J430" s="29">
        <v>0</v>
      </c>
    </row>
    <row r="431" spans="1:10" ht="30" customHeight="1" x14ac:dyDescent="0.2">
      <c r="A431" s="796" t="s">
        <v>2123</v>
      </c>
      <c r="B431" s="820" t="s">
        <v>1457</v>
      </c>
      <c r="C431" s="695">
        <v>1850000</v>
      </c>
      <c r="D431" s="695">
        <f>1850000-1000000</f>
        <v>850000</v>
      </c>
      <c r="E431" s="695">
        <v>573410</v>
      </c>
      <c r="F431" s="695"/>
      <c r="G431" s="1051"/>
      <c r="H431" s="1055"/>
      <c r="I431" s="670"/>
      <c r="J431" s="1037">
        <v>0</v>
      </c>
    </row>
    <row r="432" spans="1:10" ht="30" customHeight="1" x14ac:dyDescent="0.2">
      <c r="A432" s="730">
        <v>3639</v>
      </c>
      <c r="B432" s="797" t="s">
        <v>1458</v>
      </c>
      <c r="C432" s="798">
        <f t="shared" ref="C432:D432" si="8">SUM(C433:C437)</f>
        <v>6157000</v>
      </c>
      <c r="D432" s="798">
        <f t="shared" si="8"/>
        <v>4503693</v>
      </c>
      <c r="E432" s="798">
        <v>3780684.96</v>
      </c>
      <c r="F432" s="1094">
        <f>SUM(E433:E437)</f>
        <v>3780684.98</v>
      </c>
      <c r="G432" s="630"/>
      <c r="H432" s="1052"/>
      <c r="I432" s="631"/>
      <c r="J432" s="29">
        <v>692879.98</v>
      </c>
    </row>
    <row r="433" spans="1:10" ht="30" customHeight="1" x14ac:dyDescent="0.2">
      <c r="A433" s="796" t="s">
        <v>1958</v>
      </c>
      <c r="B433" s="809" t="s">
        <v>1959</v>
      </c>
      <c r="C433" s="695">
        <f>280000+1650000</f>
        <v>1930000</v>
      </c>
      <c r="D433" s="695">
        <f>280000+1650000</f>
        <v>1930000</v>
      </c>
      <c r="E433" s="695">
        <v>1850000</v>
      </c>
      <c r="F433" s="695"/>
      <c r="G433" s="1051"/>
      <c r="H433" s="1055"/>
      <c r="I433" s="1056"/>
      <c r="J433" s="29">
        <v>0</v>
      </c>
    </row>
    <row r="434" spans="1:10" ht="30" customHeight="1" x14ac:dyDescent="0.2">
      <c r="A434" s="796" t="s">
        <v>530</v>
      </c>
      <c r="B434" s="809" t="s">
        <v>1460</v>
      </c>
      <c r="C434" s="695">
        <v>270000</v>
      </c>
      <c r="D434" s="695">
        <v>270000</v>
      </c>
      <c r="E434" s="695">
        <v>26650.75</v>
      </c>
      <c r="F434" s="695"/>
      <c r="G434" s="1051"/>
      <c r="H434" s="1055"/>
      <c r="I434" s="1056"/>
      <c r="J434" s="29">
        <v>3345.5</v>
      </c>
    </row>
    <row r="435" spans="1:10" ht="30" customHeight="1" x14ac:dyDescent="0.2">
      <c r="A435" s="796" t="s">
        <v>534</v>
      </c>
      <c r="B435" s="809" t="s">
        <v>1461</v>
      </c>
      <c r="C435" s="695">
        <v>470000</v>
      </c>
      <c r="D435" s="695">
        <f>470000+16000</f>
        <v>486000</v>
      </c>
      <c r="E435" s="695">
        <v>485512.7</v>
      </c>
      <c r="F435" s="695"/>
      <c r="G435" s="1051"/>
      <c r="H435" s="1055"/>
      <c r="I435" s="1056"/>
      <c r="J435" s="29">
        <v>153367.5</v>
      </c>
    </row>
    <row r="436" spans="1:10" ht="30" customHeight="1" x14ac:dyDescent="0.2">
      <c r="A436" s="796" t="s">
        <v>1960</v>
      </c>
      <c r="B436" s="820" t="s">
        <v>1961</v>
      </c>
      <c r="C436" s="695">
        <f>3462000</f>
        <v>3462000</v>
      </c>
      <c r="D436" s="695">
        <f>3462000-153307-100000-400000-1000000-16000</f>
        <v>1792693</v>
      </c>
      <c r="E436" s="695">
        <v>1405427.48</v>
      </c>
      <c r="F436" s="695"/>
      <c r="G436" s="1051"/>
      <c r="H436" s="1055"/>
      <c r="I436" s="670"/>
      <c r="J436" s="1037">
        <v>519631.48</v>
      </c>
    </row>
    <row r="437" spans="1:10" ht="30" customHeight="1" x14ac:dyDescent="0.2">
      <c r="A437" s="810" t="s">
        <v>538</v>
      </c>
      <c r="B437" s="821" t="s">
        <v>539</v>
      </c>
      <c r="C437" s="728">
        <v>25000</v>
      </c>
      <c r="D437" s="728">
        <v>25000</v>
      </c>
      <c r="E437" s="728">
        <v>13094.05</v>
      </c>
      <c r="F437" s="728"/>
      <c r="G437" s="1051"/>
      <c r="H437" s="1055"/>
      <c r="I437" s="1056"/>
      <c r="J437" s="29">
        <v>16535.5</v>
      </c>
    </row>
    <row r="438" spans="1:10" ht="30" customHeight="1" x14ac:dyDescent="0.25">
      <c r="A438" s="822"/>
      <c r="B438" s="823" t="s">
        <v>1463</v>
      </c>
      <c r="C438" s="792">
        <f>SUM(C439,C441)</f>
        <v>10003000</v>
      </c>
      <c r="D438" s="792">
        <f>SUM(D439,D441)</f>
        <v>1103000</v>
      </c>
      <c r="E438" s="792">
        <v>279060.88</v>
      </c>
      <c r="F438" s="825">
        <f>SUM(E439,E441)</f>
        <v>279060.88</v>
      </c>
      <c r="G438" s="623"/>
      <c r="H438" s="623"/>
      <c r="I438" s="741"/>
      <c r="J438" s="29">
        <v>0</v>
      </c>
    </row>
    <row r="439" spans="1:10" ht="30" customHeight="1" x14ac:dyDescent="0.2">
      <c r="A439" s="805">
        <v>3311</v>
      </c>
      <c r="B439" s="806" t="s">
        <v>1464</v>
      </c>
      <c r="C439" s="807">
        <f t="shared" ref="C439:D439" si="9">SUM(C440:C440)</f>
        <v>7023000</v>
      </c>
      <c r="D439" s="807">
        <f t="shared" si="9"/>
        <v>123000</v>
      </c>
      <c r="E439" s="807">
        <v>3025</v>
      </c>
      <c r="F439" s="1095">
        <f>SUM(E440)</f>
        <v>3025</v>
      </c>
      <c r="G439" s="630"/>
      <c r="H439" s="1052"/>
      <c r="I439" s="631"/>
      <c r="J439" s="29">
        <v>0</v>
      </c>
    </row>
    <row r="440" spans="1:10" ht="30" customHeight="1" x14ac:dyDescent="0.2">
      <c r="A440" s="796" t="s">
        <v>1962</v>
      </c>
      <c r="B440" s="731" t="s">
        <v>1466</v>
      </c>
      <c r="C440" s="695">
        <v>7023000</v>
      </c>
      <c r="D440" s="695">
        <f>7023000-6900000</f>
        <v>123000</v>
      </c>
      <c r="E440" s="695">
        <v>3025</v>
      </c>
      <c r="F440" s="695"/>
      <c r="G440" s="1051"/>
      <c r="H440" s="1055"/>
      <c r="I440" s="1056"/>
      <c r="J440" s="29">
        <v>0</v>
      </c>
    </row>
    <row r="441" spans="1:10" ht="30" customHeight="1" x14ac:dyDescent="0.2">
      <c r="A441" s="730">
        <v>3392</v>
      </c>
      <c r="B441" s="797" t="s">
        <v>1467</v>
      </c>
      <c r="C441" s="798">
        <f>SUM(C442:C444)</f>
        <v>2980000</v>
      </c>
      <c r="D441" s="798">
        <f>SUM(D442:D444)</f>
        <v>980000</v>
      </c>
      <c r="E441" s="798">
        <v>276035.88</v>
      </c>
      <c r="F441" s="1094">
        <f>SUM(E442:E444)</f>
        <v>276035.88</v>
      </c>
      <c r="G441" s="630"/>
      <c r="H441" s="1052"/>
      <c r="I441" s="631"/>
      <c r="J441" s="29">
        <v>0</v>
      </c>
    </row>
    <row r="442" spans="1:10" ht="30" customHeight="1" x14ac:dyDescent="0.2">
      <c r="A442" s="796" t="s">
        <v>1468</v>
      </c>
      <c r="B442" s="731" t="s">
        <v>1469</v>
      </c>
      <c r="C442" s="695">
        <v>2500000</v>
      </c>
      <c r="D442" s="695">
        <f>2500000-2000000</f>
        <v>500000</v>
      </c>
      <c r="E442" s="695">
        <v>0</v>
      </c>
      <c r="F442" s="695"/>
      <c r="G442" s="1051"/>
      <c r="H442" s="1055"/>
      <c r="I442" s="1056"/>
      <c r="J442" s="29">
        <v>0</v>
      </c>
    </row>
    <row r="443" spans="1:10" ht="30" customHeight="1" x14ac:dyDescent="0.2">
      <c r="A443" s="799" t="s">
        <v>1472</v>
      </c>
      <c r="B443" s="800" t="s">
        <v>1473</v>
      </c>
      <c r="C443" s="728">
        <v>300000</v>
      </c>
      <c r="D443" s="728">
        <v>300000</v>
      </c>
      <c r="E443" s="728">
        <v>276035.88</v>
      </c>
      <c r="F443" s="728"/>
      <c r="G443" s="1051"/>
      <c r="H443" s="1055"/>
      <c r="I443" s="1056"/>
      <c r="J443" s="29">
        <v>0</v>
      </c>
    </row>
    <row r="444" spans="1:10" ht="30" customHeight="1" x14ac:dyDescent="0.2">
      <c r="A444" s="796" t="s">
        <v>1470</v>
      </c>
      <c r="B444" s="731" t="s">
        <v>1963</v>
      </c>
      <c r="C444" s="695">
        <v>180000</v>
      </c>
      <c r="D444" s="695">
        <v>180000</v>
      </c>
      <c r="E444" s="695">
        <v>0</v>
      </c>
      <c r="F444" s="695"/>
      <c r="G444" s="1051"/>
      <c r="H444" s="1055"/>
      <c r="I444" s="1056"/>
      <c r="J444" s="29">
        <v>0</v>
      </c>
    </row>
    <row r="445" spans="1:10" ht="30" customHeight="1" x14ac:dyDescent="0.25">
      <c r="A445" s="822"/>
      <c r="B445" s="823" t="s">
        <v>1474</v>
      </c>
      <c r="C445" s="792">
        <f>SUM(C446)</f>
        <v>8566000</v>
      </c>
      <c r="D445" s="792">
        <f>SUM(D446)</f>
        <v>8566000</v>
      </c>
      <c r="E445" s="792">
        <v>7005309.6100000003</v>
      </c>
      <c r="F445" s="1099"/>
      <c r="G445" s="623"/>
      <c r="H445" s="623"/>
      <c r="I445" s="741"/>
      <c r="J445" s="29">
        <v>0</v>
      </c>
    </row>
    <row r="446" spans="1:10" ht="30" customHeight="1" x14ac:dyDescent="0.2">
      <c r="A446" s="805">
        <v>6171</v>
      </c>
      <c r="B446" s="806" t="s">
        <v>1475</v>
      </c>
      <c r="C446" s="807">
        <f>SUM(C447:C451)</f>
        <v>8566000</v>
      </c>
      <c r="D446" s="807">
        <f>SUM(D447:D451)</f>
        <v>8566000</v>
      </c>
      <c r="E446" s="807">
        <v>7005309.6100000003</v>
      </c>
      <c r="F446" s="1095">
        <f>SUM(E447:E451)</f>
        <v>7005309.6100000003</v>
      </c>
      <c r="G446" s="630"/>
      <c r="H446" s="1052"/>
      <c r="I446" s="631"/>
      <c r="J446" s="29">
        <v>0</v>
      </c>
    </row>
    <row r="447" spans="1:10" ht="30" customHeight="1" x14ac:dyDescent="0.2">
      <c r="A447" s="796" t="s">
        <v>2124</v>
      </c>
      <c r="B447" s="731" t="s">
        <v>1477</v>
      </c>
      <c r="C447" s="695">
        <v>2000000</v>
      </c>
      <c r="D447" s="695">
        <f>2000000+500000</f>
        <v>2500000</v>
      </c>
      <c r="E447" s="695">
        <v>2308700</v>
      </c>
      <c r="F447" s="695"/>
      <c r="G447" s="1051"/>
      <c r="H447" s="1055"/>
      <c r="I447" s="1056"/>
      <c r="J447" s="29">
        <v>0</v>
      </c>
    </row>
    <row r="448" spans="1:10" ht="30" customHeight="1" x14ac:dyDescent="0.2">
      <c r="A448" s="796" t="s">
        <v>2125</v>
      </c>
      <c r="B448" s="731" t="s">
        <v>1479</v>
      </c>
      <c r="C448" s="695">
        <v>2420000</v>
      </c>
      <c r="D448" s="695">
        <f>2420000-150000</f>
        <v>2270000</v>
      </c>
      <c r="E448" s="695">
        <v>1806562.03</v>
      </c>
      <c r="F448" s="695"/>
      <c r="G448" s="1051"/>
      <c r="H448" s="1055"/>
      <c r="I448" s="1056"/>
      <c r="J448" s="29">
        <v>0</v>
      </c>
    </row>
    <row r="449" spans="1:36" ht="30" customHeight="1" x14ac:dyDescent="0.2">
      <c r="A449" s="796" t="s">
        <v>1480</v>
      </c>
      <c r="B449" s="731" t="s">
        <v>1481</v>
      </c>
      <c r="C449" s="695">
        <v>3146000</v>
      </c>
      <c r="D449" s="695">
        <f>3146000-500000+150000</f>
        <v>2796000</v>
      </c>
      <c r="E449" s="695">
        <v>2781147.58</v>
      </c>
      <c r="F449" s="695"/>
      <c r="G449" s="1051"/>
      <c r="H449" s="1055"/>
      <c r="I449" s="1056"/>
      <c r="J449" s="29">
        <v>0</v>
      </c>
    </row>
    <row r="450" spans="1:36" ht="30" customHeight="1" x14ac:dyDescent="0.2">
      <c r="A450" s="796" t="s">
        <v>1482</v>
      </c>
      <c r="B450" s="731" t="s">
        <v>1483</v>
      </c>
      <c r="C450" s="695">
        <v>500000</v>
      </c>
      <c r="D450" s="695">
        <v>500000</v>
      </c>
      <c r="E450" s="695">
        <v>48400</v>
      </c>
      <c r="F450" s="695"/>
      <c r="G450" s="1051"/>
      <c r="H450" s="1055"/>
      <c r="I450" s="1056"/>
      <c r="J450" s="29">
        <v>0</v>
      </c>
    </row>
    <row r="451" spans="1:36" ht="30" customHeight="1" x14ac:dyDescent="0.2">
      <c r="A451" s="826" t="s">
        <v>1484</v>
      </c>
      <c r="B451" s="827" t="s">
        <v>1485</v>
      </c>
      <c r="C451" s="828">
        <v>500000</v>
      </c>
      <c r="D451" s="828">
        <v>500000</v>
      </c>
      <c r="E451" s="828">
        <v>60500</v>
      </c>
      <c r="F451" s="828"/>
      <c r="G451" s="1051"/>
      <c r="H451" s="1055"/>
      <c r="I451" s="1056"/>
      <c r="J451" s="29">
        <v>0</v>
      </c>
    </row>
    <row r="452" spans="1:36" s="829" customFormat="1" ht="30" customHeight="1" x14ac:dyDescent="0.25">
      <c r="A452" s="822"/>
      <c r="B452" s="830" t="s">
        <v>1486</v>
      </c>
      <c r="C452" s="792">
        <f>SUM(C453,C455)</f>
        <v>2150000</v>
      </c>
      <c r="D452" s="792">
        <f>SUM(D453,D455)</f>
        <v>2550000</v>
      </c>
      <c r="E452" s="792">
        <v>1982941.11</v>
      </c>
      <c r="F452" s="825">
        <f>SUM(E453,E455)</f>
        <v>1982941.11</v>
      </c>
      <c r="G452" s="623"/>
      <c r="H452" s="623"/>
      <c r="I452" s="741"/>
      <c r="J452" s="29">
        <v>0</v>
      </c>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row>
    <row r="453" spans="1:36" s="831" customFormat="1" ht="30" customHeight="1" x14ac:dyDescent="0.2">
      <c r="A453" s="805">
        <v>3722</v>
      </c>
      <c r="B453" s="805" t="s">
        <v>2126</v>
      </c>
      <c r="C453" s="807">
        <f>SUM(C454)</f>
        <v>0</v>
      </c>
      <c r="D453" s="807">
        <f>SUM(D454)</f>
        <v>400000</v>
      </c>
      <c r="E453" s="807">
        <v>9680</v>
      </c>
      <c r="F453" s="1095"/>
      <c r="G453" s="630"/>
      <c r="H453" s="1052"/>
      <c r="I453" s="631"/>
      <c r="J453" s="29">
        <v>0</v>
      </c>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row>
    <row r="454" spans="1:36" s="829" customFormat="1" ht="30" customHeight="1" x14ac:dyDescent="0.2">
      <c r="A454" s="796" t="s">
        <v>2127</v>
      </c>
      <c r="B454" s="832" t="s">
        <v>2128</v>
      </c>
      <c r="C454" s="695">
        <v>0</v>
      </c>
      <c r="D454" s="695">
        <v>400000</v>
      </c>
      <c r="E454" s="695">
        <v>9680</v>
      </c>
      <c r="F454" s="695"/>
      <c r="G454" s="1051"/>
      <c r="H454" s="1055"/>
      <c r="I454" s="1056"/>
      <c r="J454" s="29">
        <v>0</v>
      </c>
      <c r="K454" s="1"/>
      <c r="L454" s="1"/>
      <c r="M454" s="1"/>
      <c r="N454" s="1"/>
      <c r="O454" s="1"/>
      <c r="P454" s="1"/>
      <c r="Q454" s="1"/>
      <c r="R454" s="1"/>
      <c r="S454" s="1"/>
      <c r="T454" s="1"/>
      <c r="U454" s="1"/>
      <c r="V454" s="1"/>
      <c r="W454" s="1"/>
      <c r="X454" s="1"/>
      <c r="Y454" s="1"/>
      <c r="Z454" s="1"/>
      <c r="AA454" s="1"/>
    </row>
    <row r="455" spans="1:36" s="831" customFormat="1" ht="30" customHeight="1" x14ac:dyDescent="0.2">
      <c r="A455" s="730">
        <v>3745</v>
      </c>
      <c r="B455" s="730" t="s">
        <v>1487</v>
      </c>
      <c r="C455" s="798">
        <f>SUM(C456:C457)</f>
        <v>2150000</v>
      </c>
      <c r="D455" s="798">
        <f>SUM(D456:D457)</f>
        <v>2150000</v>
      </c>
      <c r="E455" s="798">
        <v>1973261.11</v>
      </c>
      <c r="F455" s="1095">
        <f>SUM(E456:E457)</f>
        <v>1973261.11</v>
      </c>
      <c r="G455" s="630"/>
      <c r="H455" s="1052"/>
      <c r="I455" s="631"/>
      <c r="J455" s="29">
        <v>0</v>
      </c>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row>
    <row r="456" spans="1:36" s="829" customFormat="1" ht="30" customHeight="1" x14ac:dyDescent="0.2">
      <c r="A456" s="796" t="s">
        <v>1488</v>
      </c>
      <c r="B456" s="832" t="s">
        <v>1489</v>
      </c>
      <c r="C456" s="695">
        <v>300000</v>
      </c>
      <c r="D456" s="695">
        <v>300000</v>
      </c>
      <c r="E456" s="695">
        <v>219615</v>
      </c>
      <c r="F456" s="695"/>
      <c r="G456" s="1051"/>
      <c r="H456" s="1055"/>
      <c r="I456" s="1056"/>
      <c r="J456" s="29">
        <v>0</v>
      </c>
      <c r="K456" s="1"/>
      <c r="L456" s="1"/>
      <c r="M456" s="1"/>
      <c r="N456" s="1"/>
      <c r="O456" s="1"/>
      <c r="P456" s="1"/>
      <c r="Q456" s="1"/>
      <c r="R456" s="1"/>
      <c r="S456" s="1"/>
      <c r="T456" s="1"/>
      <c r="U456" s="1"/>
      <c r="V456" s="1"/>
      <c r="W456" s="1"/>
      <c r="X456" s="1"/>
      <c r="Y456" s="1"/>
      <c r="Z456" s="1"/>
      <c r="AA456" s="1"/>
    </row>
    <row r="457" spans="1:36" ht="30" customHeight="1" x14ac:dyDescent="0.2">
      <c r="A457" s="826" t="s">
        <v>1490</v>
      </c>
      <c r="B457" s="833" t="s">
        <v>1491</v>
      </c>
      <c r="C457" s="828">
        <v>1850000</v>
      </c>
      <c r="D457" s="828">
        <v>1850000</v>
      </c>
      <c r="E457" s="828">
        <v>1753646.11</v>
      </c>
      <c r="F457" s="828"/>
      <c r="G457" s="1051"/>
      <c r="H457" s="1055"/>
      <c r="I457" s="1056"/>
      <c r="J457" s="29">
        <v>0</v>
      </c>
    </row>
    <row r="458" spans="1:36" ht="30" customHeight="1" x14ac:dyDescent="0.25">
      <c r="A458" s="802"/>
      <c r="B458" s="803" t="s">
        <v>1492</v>
      </c>
      <c r="C458" s="702">
        <f>SUM(C464,C459,C471,C478,C488,C490)</f>
        <v>55211250</v>
      </c>
      <c r="D458" s="702">
        <f>SUM(D464,D459,D471,D478,D488,D490)</f>
        <v>52031250</v>
      </c>
      <c r="E458" s="702">
        <v>40516308.119999997</v>
      </c>
      <c r="F458" s="1068">
        <f>SUM(E459,E464,E471,E478,E488,E490)</f>
        <v>40516308.120000005</v>
      </c>
      <c r="G458" s="623"/>
      <c r="H458" s="623"/>
      <c r="I458" s="741"/>
      <c r="J458" s="29">
        <v>115339.5</v>
      </c>
    </row>
    <row r="459" spans="1:36" ht="30" customHeight="1" x14ac:dyDescent="0.2">
      <c r="A459" s="834">
        <v>3412</v>
      </c>
      <c r="B459" s="834" t="s">
        <v>1493</v>
      </c>
      <c r="C459" s="835">
        <f>SUM(C460:C463)</f>
        <v>3400000</v>
      </c>
      <c r="D459" s="835">
        <f>SUM(D460:D463)</f>
        <v>3900000</v>
      </c>
      <c r="E459" s="835">
        <v>1280329.47</v>
      </c>
      <c r="F459" s="1100">
        <f>SUM(E460:E463)</f>
        <v>1280329.47</v>
      </c>
      <c r="G459" s="630"/>
      <c r="H459" s="1052"/>
      <c r="I459" s="631"/>
      <c r="J459" s="29">
        <v>0</v>
      </c>
    </row>
    <row r="460" spans="1:36" ht="30" customHeight="1" x14ac:dyDescent="0.2">
      <c r="A460" s="796" t="s">
        <v>1494</v>
      </c>
      <c r="B460" s="717" t="s">
        <v>1495</v>
      </c>
      <c r="C460" s="836">
        <v>2600000</v>
      </c>
      <c r="D460" s="836">
        <f>2600000-1000000</f>
        <v>1600000</v>
      </c>
      <c r="E460" s="836">
        <v>121000</v>
      </c>
      <c r="F460" s="836"/>
      <c r="G460" s="1051"/>
      <c r="H460" s="1055"/>
      <c r="I460" s="1056"/>
      <c r="J460" s="29">
        <v>0</v>
      </c>
    </row>
    <row r="461" spans="1:36" ht="30" customHeight="1" x14ac:dyDescent="0.2">
      <c r="A461" s="796" t="s">
        <v>1496</v>
      </c>
      <c r="B461" s="717" t="s">
        <v>1497</v>
      </c>
      <c r="C461" s="836">
        <v>500000</v>
      </c>
      <c r="D461" s="836">
        <v>500000</v>
      </c>
      <c r="E461" s="836">
        <v>0</v>
      </c>
      <c r="F461" s="836"/>
      <c r="G461" s="1051"/>
      <c r="H461" s="1055"/>
      <c r="I461" s="1056"/>
      <c r="J461" s="29">
        <v>0</v>
      </c>
    </row>
    <row r="462" spans="1:36" ht="30" customHeight="1" x14ac:dyDescent="0.2">
      <c r="A462" s="796" t="s">
        <v>1498</v>
      </c>
      <c r="B462" s="717" t="s">
        <v>1499</v>
      </c>
      <c r="C462" s="836">
        <v>300000</v>
      </c>
      <c r="D462" s="836">
        <v>300000</v>
      </c>
      <c r="E462" s="836">
        <v>0</v>
      </c>
      <c r="F462" s="836"/>
      <c r="G462" s="1051"/>
      <c r="H462" s="1055"/>
      <c r="I462" s="1056"/>
      <c r="J462" s="29">
        <v>0</v>
      </c>
    </row>
    <row r="463" spans="1:36" s="98" customFormat="1" ht="30" customHeight="1" x14ac:dyDescent="0.2">
      <c r="A463" s="796" t="s">
        <v>1964</v>
      </c>
      <c r="B463" s="731" t="s">
        <v>1965</v>
      </c>
      <c r="C463" s="695">
        <v>0</v>
      </c>
      <c r="D463" s="695">
        <v>1500000</v>
      </c>
      <c r="E463" s="695">
        <v>1159329.47</v>
      </c>
      <c r="F463" s="695"/>
      <c r="G463" s="1051"/>
      <c r="H463" s="1055"/>
      <c r="I463" s="1056"/>
      <c r="J463" s="29">
        <v>0</v>
      </c>
    </row>
    <row r="464" spans="1:36" ht="30" customHeight="1" x14ac:dyDescent="0.2">
      <c r="A464" s="730">
        <v>3612</v>
      </c>
      <c r="B464" s="730" t="s">
        <v>1500</v>
      </c>
      <c r="C464" s="798">
        <f>SUM(C465:C470)</f>
        <v>5250000</v>
      </c>
      <c r="D464" s="798">
        <f>SUM(D465:D470)</f>
        <v>7950000</v>
      </c>
      <c r="E464" s="798">
        <v>3918467.06</v>
      </c>
      <c r="F464" s="1094">
        <f>SUM(E465:E470)</f>
        <v>3918467.06</v>
      </c>
      <c r="G464" s="630"/>
      <c r="H464" s="1052"/>
      <c r="I464" s="631"/>
      <c r="J464" s="29">
        <v>78701.5</v>
      </c>
    </row>
    <row r="465" spans="1:10" ht="30" customHeight="1" x14ac:dyDescent="0.2">
      <c r="A465" s="796" t="s">
        <v>1966</v>
      </c>
      <c r="B465" s="837" t="s">
        <v>1508</v>
      </c>
      <c r="C465" s="695">
        <v>400000</v>
      </c>
      <c r="D465" s="695">
        <v>400000</v>
      </c>
      <c r="E465" s="695">
        <v>323000</v>
      </c>
      <c r="F465" s="695"/>
      <c r="G465" s="1051"/>
      <c r="H465" s="1055"/>
      <c r="I465" s="1056"/>
      <c r="J465" s="29">
        <v>0</v>
      </c>
    </row>
    <row r="466" spans="1:10" ht="30" customHeight="1" x14ac:dyDescent="0.2">
      <c r="A466" s="796" t="s">
        <v>1509</v>
      </c>
      <c r="B466" s="837" t="s">
        <v>1510</v>
      </c>
      <c r="C466" s="695">
        <v>350000</v>
      </c>
      <c r="D466" s="695">
        <v>350000</v>
      </c>
      <c r="E466" s="695">
        <v>321000</v>
      </c>
      <c r="F466" s="695"/>
      <c r="G466" s="1051"/>
      <c r="H466" s="1055"/>
      <c r="I466" s="1056"/>
      <c r="J466" s="29">
        <v>0</v>
      </c>
    </row>
    <row r="467" spans="1:10" ht="30" customHeight="1" x14ac:dyDescent="0.2">
      <c r="A467" s="796" t="s">
        <v>1511</v>
      </c>
      <c r="B467" s="832" t="s">
        <v>1512</v>
      </c>
      <c r="C467" s="695">
        <v>1500000</v>
      </c>
      <c r="D467" s="695">
        <v>1500000</v>
      </c>
      <c r="E467" s="695">
        <v>756250</v>
      </c>
      <c r="F467" s="695"/>
      <c r="G467" s="1051"/>
      <c r="H467" s="1055"/>
      <c r="I467" s="1056"/>
      <c r="J467" s="29">
        <v>0</v>
      </c>
    </row>
    <row r="468" spans="1:10" ht="30" customHeight="1" x14ac:dyDescent="0.2">
      <c r="A468" s="796" t="s">
        <v>1529</v>
      </c>
      <c r="B468" s="832" t="s">
        <v>1530</v>
      </c>
      <c r="C468" s="695">
        <v>3000000</v>
      </c>
      <c r="D468" s="695">
        <v>3000000</v>
      </c>
      <c r="E468" s="695">
        <v>0</v>
      </c>
      <c r="F468" s="695"/>
      <c r="G468" s="1051"/>
      <c r="H468" s="1055"/>
      <c r="I468" s="1056"/>
      <c r="J468" s="29">
        <v>0</v>
      </c>
    </row>
    <row r="469" spans="1:10" ht="30" customHeight="1" x14ac:dyDescent="0.2">
      <c r="A469" s="796" t="s">
        <v>1967</v>
      </c>
      <c r="B469" s="832" t="s">
        <v>1968</v>
      </c>
      <c r="C469" s="695">
        <v>0</v>
      </c>
      <c r="D469" s="695">
        <v>1500000</v>
      </c>
      <c r="E469" s="695">
        <v>1399150.23</v>
      </c>
      <c r="F469" s="695"/>
      <c r="G469" s="1051"/>
      <c r="H469" s="1055"/>
      <c r="I469" s="1056"/>
      <c r="J469" s="29">
        <v>0</v>
      </c>
    </row>
    <row r="470" spans="1:10" ht="30" customHeight="1" x14ac:dyDescent="0.2">
      <c r="A470" s="796" t="s">
        <v>1969</v>
      </c>
      <c r="B470" s="832" t="s">
        <v>1970</v>
      </c>
      <c r="C470" s="695">
        <v>0</v>
      </c>
      <c r="D470" s="695">
        <v>1200000</v>
      </c>
      <c r="E470" s="695">
        <v>1119066.83</v>
      </c>
      <c r="F470" s="695"/>
      <c r="G470" s="1051"/>
      <c r="H470" s="1055"/>
      <c r="I470" s="1056"/>
      <c r="J470" s="29">
        <v>0</v>
      </c>
    </row>
    <row r="471" spans="1:10" ht="30" customHeight="1" x14ac:dyDescent="0.2">
      <c r="A471" s="838">
        <v>3613</v>
      </c>
      <c r="B471" s="730" t="s">
        <v>1283</v>
      </c>
      <c r="C471" s="798">
        <f>SUM(C472:C477)</f>
        <v>5200000</v>
      </c>
      <c r="D471" s="798">
        <f>SUM(D472:D477)</f>
        <v>7250000</v>
      </c>
      <c r="E471" s="798">
        <v>6853682.2300000004</v>
      </c>
      <c r="F471" s="1094">
        <f>SUM(E472:E477)</f>
        <v>6853682.2300000004</v>
      </c>
      <c r="G471" s="630"/>
      <c r="H471" s="1052"/>
      <c r="I471" s="631"/>
      <c r="J471" s="29">
        <v>36638</v>
      </c>
    </row>
    <row r="472" spans="1:10" ht="30" customHeight="1" x14ac:dyDescent="0.2">
      <c r="A472" s="796" t="s">
        <v>1517</v>
      </c>
      <c r="B472" s="832" t="s">
        <v>1518</v>
      </c>
      <c r="C472" s="695">
        <v>2550000</v>
      </c>
      <c r="D472" s="695">
        <f>2550000-2000000-500000</f>
        <v>50000</v>
      </c>
      <c r="E472" s="695">
        <v>0</v>
      </c>
      <c r="F472" s="695"/>
      <c r="G472" s="1051"/>
      <c r="H472" s="1055"/>
      <c r="I472" s="1056"/>
      <c r="J472" s="29">
        <v>0</v>
      </c>
    </row>
    <row r="473" spans="1:10" ht="30" customHeight="1" x14ac:dyDescent="0.2">
      <c r="A473" s="796" t="s">
        <v>1521</v>
      </c>
      <c r="B473" s="832" t="s">
        <v>1522</v>
      </c>
      <c r="C473" s="695">
        <v>1000000</v>
      </c>
      <c r="D473" s="695">
        <f>1000000-230000</f>
        <v>770000</v>
      </c>
      <c r="E473" s="695">
        <v>441650</v>
      </c>
      <c r="F473" s="695"/>
      <c r="G473" s="1051"/>
      <c r="H473" s="1055"/>
      <c r="I473" s="1056"/>
      <c r="J473" s="29">
        <v>0</v>
      </c>
    </row>
    <row r="474" spans="1:10" ht="30" customHeight="1" x14ac:dyDescent="0.2">
      <c r="A474" s="796" t="s">
        <v>1523</v>
      </c>
      <c r="B474" s="832" t="s">
        <v>1971</v>
      </c>
      <c r="C474" s="695">
        <v>1100000</v>
      </c>
      <c r="D474" s="695">
        <f>1100000-1100000</f>
        <v>0</v>
      </c>
      <c r="E474" s="695">
        <v>0</v>
      </c>
      <c r="F474" s="695"/>
      <c r="G474" s="1051"/>
      <c r="H474" s="1055"/>
      <c r="I474" s="1056"/>
      <c r="J474" s="29">
        <v>0</v>
      </c>
    </row>
    <row r="475" spans="1:10" ht="30" customHeight="1" x14ac:dyDescent="0.2">
      <c r="A475" s="796" t="s">
        <v>1525</v>
      </c>
      <c r="B475" s="832" t="s">
        <v>1526</v>
      </c>
      <c r="C475" s="695">
        <v>550000</v>
      </c>
      <c r="D475" s="695">
        <f>550000-550000</f>
        <v>0</v>
      </c>
      <c r="E475" s="695">
        <v>0</v>
      </c>
      <c r="F475" s="695"/>
      <c r="G475" s="1051"/>
      <c r="H475" s="1055"/>
      <c r="I475" s="1056"/>
      <c r="J475" s="29">
        <v>0</v>
      </c>
    </row>
    <row r="476" spans="1:10" ht="30" customHeight="1" x14ac:dyDescent="0.2">
      <c r="A476" s="796" t="s">
        <v>1972</v>
      </c>
      <c r="B476" s="832" t="s">
        <v>1973</v>
      </c>
      <c r="C476" s="695">
        <v>0</v>
      </c>
      <c r="D476" s="695">
        <f>1700000-258000</f>
        <v>1442000</v>
      </c>
      <c r="E476" s="695">
        <v>1438193.54</v>
      </c>
      <c r="F476" s="695"/>
      <c r="G476" s="1051"/>
      <c r="H476" s="1055"/>
      <c r="I476" s="1056"/>
      <c r="J476" s="29">
        <v>0</v>
      </c>
    </row>
    <row r="477" spans="1:10" ht="30" customHeight="1" x14ac:dyDescent="0.2">
      <c r="A477" s="796" t="s">
        <v>1974</v>
      </c>
      <c r="B477" s="832" t="s">
        <v>1975</v>
      </c>
      <c r="C477" s="695">
        <v>0</v>
      </c>
      <c r="D477" s="695">
        <f>4000000+988000</f>
        <v>4988000</v>
      </c>
      <c r="E477" s="695">
        <v>4973838.6900000004</v>
      </c>
      <c r="F477" s="695"/>
      <c r="G477" s="1051"/>
      <c r="H477" s="1055"/>
      <c r="I477" s="1056"/>
      <c r="J477" s="29">
        <v>0</v>
      </c>
    </row>
    <row r="478" spans="1:10" ht="30" customHeight="1" x14ac:dyDescent="0.2">
      <c r="A478" s="730">
        <v>3634</v>
      </c>
      <c r="B478" s="730" t="s">
        <v>1531</v>
      </c>
      <c r="C478" s="798">
        <f>SUM(C479:C487)</f>
        <v>38361250</v>
      </c>
      <c r="D478" s="798">
        <f>SUM(D479:D487)</f>
        <v>29931250</v>
      </c>
      <c r="E478" s="798">
        <v>28434429.359999999</v>
      </c>
      <c r="F478" s="1094">
        <f>SUM(E479:E487)</f>
        <v>28434429.359999999</v>
      </c>
      <c r="G478" s="630"/>
      <c r="H478" s="1052"/>
      <c r="I478" s="631"/>
      <c r="J478" s="29">
        <v>0</v>
      </c>
    </row>
    <row r="479" spans="1:10" ht="30" customHeight="1" x14ac:dyDescent="0.2">
      <c r="A479" s="796" t="s">
        <v>1556</v>
      </c>
      <c r="B479" s="832" t="s">
        <v>1557</v>
      </c>
      <c r="C479" s="695">
        <v>6000000</v>
      </c>
      <c r="D479" s="695">
        <f>6000000-1300000-1500000-800000</f>
        <v>2400000</v>
      </c>
      <c r="E479" s="695">
        <v>2386205.91</v>
      </c>
      <c r="F479" s="695"/>
      <c r="G479" s="1051"/>
      <c r="H479" s="1055"/>
      <c r="I479" s="1056"/>
      <c r="J479" s="29">
        <v>0</v>
      </c>
    </row>
    <row r="480" spans="1:10" ht="30" customHeight="1" x14ac:dyDescent="0.2">
      <c r="A480" s="796" t="s">
        <v>1542</v>
      </c>
      <c r="B480" s="832" t="s">
        <v>1976</v>
      </c>
      <c r="C480" s="695">
        <v>2151250</v>
      </c>
      <c r="D480" s="695">
        <v>2151250</v>
      </c>
      <c r="E480" s="695">
        <v>1788994.68</v>
      </c>
      <c r="F480" s="695"/>
      <c r="G480" s="1051"/>
      <c r="H480" s="1055"/>
      <c r="I480" s="1056"/>
      <c r="J480" s="29">
        <v>0</v>
      </c>
    </row>
    <row r="481" spans="1:10" ht="30" customHeight="1" x14ac:dyDescent="0.2">
      <c r="A481" s="796" t="s">
        <v>1544</v>
      </c>
      <c r="B481" s="832" t="s">
        <v>1977</v>
      </c>
      <c r="C481" s="695">
        <v>2500000</v>
      </c>
      <c r="D481" s="695">
        <f>2500000-1300000+1300000</f>
        <v>2500000</v>
      </c>
      <c r="E481" s="695">
        <v>1500462.92</v>
      </c>
      <c r="F481" s="695"/>
      <c r="G481" s="1051"/>
      <c r="H481" s="1055"/>
      <c r="I481" s="1056"/>
      <c r="J481" s="29">
        <v>0</v>
      </c>
    </row>
    <row r="482" spans="1:10" ht="30" customHeight="1" x14ac:dyDescent="0.2">
      <c r="A482" s="796" t="s">
        <v>1546</v>
      </c>
      <c r="B482" s="832" t="s">
        <v>1547</v>
      </c>
      <c r="C482" s="695">
        <v>210000</v>
      </c>
      <c r="D482" s="695">
        <f>210000</f>
        <v>210000</v>
      </c>
      <c r="E482" s="695">
        <v>176660</v>
      </c>
      <c r="F482" s="695"/>
      <c r="G482" s="1051"/>
      <c r="H482" s="1055"/>
      <c r="I482" s="1056"/>
      <c r="J482" s="29">
        <v>0</v>
      </c>
    </row>
    <row r="483" spans="1:10" ht="30" customHeight="1" x14ac:dyDescent="0.2">
      <c r="A483" s="796" t="s">
        <v>1548</v>
      </c>
      <c r="B483" s="832" t="s">
        <v>1549</v>
      </c>
      <c r="C483" s="695">
        <v>4500000</v>
      </c>
      <c r="D483" s="695">
        <f>4500000-1500000-450000</f>
        <v>2550000</v>
      </c>
      <c r="E483" s="695">
        <v>2541171.98</v>
      </c>
      <c r="F483" s="695"/>
      <c r="G483" s="1051"/>
      <c r="H483" s="1055"/>
      <c r="I483" s="1056"/>
      <c r="J483" s="29">
        <v>0</v>
      </c>
    </row>
    <row r="484" spans="1:10" ht="30" customHeight="1" x14ac:dyDescent="0.2">
      <c r="A484" s="796" t="s">
        <v>1550</v>
      </c>
      <c r="B484" s="832" t="s">
        <v>1551</v>
      </c>
      <c r="C484" s="695">
        <v>4800000</v>
      </c>
      <c r="D484" s="695">
        <f>4800000-1500000-480000</f>
        <v>2820000</v>
      </c>
      <c r="E484" s="695">
        <v>2811169.71</v>
      </c>
      <c r="F484" s="695"/>
      <c r="G484" s="1051"/>
      <c r="H484" s="1055"/>
      <c r="I484" s="1056"/>
      <c r="J484" s="29">
        <v>0</v>
      </c>
    </row>
    <row r="485" spans="1:10" ht="30" customHeight="1" x14ac:dyDescent="0.2">
      <c r="A485" s="796" t="s">
        <v>1552</v>
      </c>
      <c r="B485" s="832" t="s">
        <v>1553</v>
      </c>
      <c r="C485" s="695">
        <v>5000000</v>
      </c>
      <c r="D485" s="695">
        <f>5000000-40000-2000000</f>
        <v>2960000</v>
      </c>
      <c r="E485" s="695">
        <v>2947731.71</v>
      </c>
      <c r="F485" s="695"/>
      <c r="G485" s="1051"/>
      <c r="H485" s="1055"/>
      <c r="I485" s="1056"/>
      <c r="J485" s="29">
        <v>0</v>
      </c>
    </row>
    <row r="486" spans="1:10" ht="30" customHeight="1" x14ac:dyDescent="0.2">
      <c r="A486" s="796" t="s">
        <v>1554</v>
      </c>
      <c r="B486" s="832" t="s">
        <v>1555</v>
      </c>
      <c r="C486" s="695">
        <v>13000000</v>
      </c>
      <c r="D486" s="695">
        <f>13000000+1300000-200000</f>
        <v>14100000</v>
      </c>
      <c r="E486" s="695">
        <v>14042452.449999999</v>
      </c>
      <c r="F486" s="695"/>
      <c r="G486" s="1051"/>
      <c r="H486" s="1055"/>
      <c r="I486" s="1056"/>
      <c r="J486" s="29">
        <v>0</v>
      </c>
    </row>
    <row r="487" spans="1:10" ht="30" customHeight="1" x14ac:dyDescent="0.2">
      <c r="A487" s="799" t="s">
        <v>1558</v>
      </c>
      <c r="B487" s="1101" t="s">
        <v>1559</v>
      </c>
      <c r="C487" s="728">
        <v>200000</v>
      </c>
      <c r="D487" s="728">
        <f>200000+40000</f>
        <v>240000</v>
      </c>
      <c r="E487" s="728">
        <v>239580</v>
      </c>
      <c r="F487" s="728"/>
      <c r="G487" s="1051"/>
      <c r="H487" s="1055"/>
      <c r="I487" s="1056"/>
      <c r="J487" s="29">
        <v>0</v>
      </c>
    </row>
    <row r="488" spans="1:10" ht="30" customHeight="1" x14ac:dyDescent="0.2">
      <c r="A488" s="730">
        <v>4351</v>
      </c>
      <c r="B488" s="730" t="s">
        <v>1978</v>
      </c>
      <c r="C488" s="798">
        <f>SUM(C489)</f>
        <v>2500000</v>
      </c>
      <c r="D488" s="798">
        <f>SUM(D489)</f>
        <v>2500000</v>
      </c>
      <c r="E488" s="798">
        <v>9000</v>
      </c>
      <c r="F488" s="1094"/>
      <c r="G488" s="630"/>
      <c r="H488" s="1052"/>
      <c r="I488" s="631"/>
      <c r="J488" s="29">
        <v>0</v>
      </c>
    </row>
    <row r="489" spans="1:10" ht="30" customHeight="1" x14ac:dyDescent="0.2">
      <c r="A489" s="796" t="s">
        <v>1519</v>
      </c>
      <c r="B489" s="1101" t="s">
        <v>1520</v>
      </c>
      <c r="C489" s="728">
        <v>2500000</v>
      </c>
      <c r="D489" s="728">
        <v>2500000</v>
      </c>
      <c r="E489" s="728">
        <v>9000</v>
      </c>
      <c r="F489" s="728"/>
      <c r="G489" s="1051"/>
      <c r="H489" s="1055"/>
      <c r="I489" s="1056"/>
      <c r="J489" s="29">
        <v>0</v>
      </c>
    </row>
    <row r="490" spans="1:10" ht="30" customHeight="1" x14ac:dyDescent="0.2">
      <c r="A490" s="730">
        <v>4374</v>
      </c>
      <c r="B490" s="730" t="s">
        <v>753</v>
      </c>
      <c r="C490" s="798">
        <f>SUM(C491)</f>
        <v>500000</v>
      </c>
      <c r="D490" s="798">
        <f>SUM(D491)</f>
        <v>500000</v>
      </c>
      <c r="E490" s="798">
        <v>20400</v>
      </c>
      <c r="F490" s="1094"/>
      <c r="G490" s="630"/>
      <c r="H490" s="1052"/>
      <c r="I490" s="631"/>
      <c r="J490" s="29">
        <v>0</v>
      </c>
    </row>
    <row r="491" spans="1:10" ht="30" customHeight="1" x14ac:dyDescent="0.2">
      <c r="A491" s="796" t="s">
        <v>1527</v>
      </c>
      <c r="B491" s="833" t="s">
        <v>1528</v>
      </c>
      <c r="C491" s="828">
        <v>500000</v>
      </c>
      <c r="D491" s="828">
        <v>500000</v>
      </c>
      <c r="E491" s="828">
        <v>20400</v>
      </c>
      <c r="F491" s="828"/>
      <c r="G491" s="1051"/>
      <c r="H491" s="1055"/>
      <c r="I491" s="1056"/>
      <c r="J491" s="29">
        <v>0</v>
      </c>
    </row>
    <row r="492" spans="1:10" ht="30" customHeight="1" x14ac:dyDescent="0.25">
      <c r="A492" s="819"/>
      <c r="B492" s="802" t="s">
        <v>546</v>
      </c>
      <c r="C492" s="702">
        <f>SUM(C493,C500,C502,C507,C510)</f>
        <v>18780000</v>
      </c>
      <c r="D492" s="702">
        <f>SUM(D493,D500,D502,D507,D510)</f>
        <v>17920307</v>
      </c>
      <c r="E492" s="702">
        <v>15190701.75</v>
      </c>
      <c r="F492" s="1068">
        <f>SUM(E493,E500,E502,E507,E510)</f>
        <v>15190701.75</v>
      </c>
      <c r="G492" s="623"/>
      <c r="H492" s="623"/>
      <c r="I492" s="741"/>
      <c r="J492" s="29">
        <v>9381697.8100000005</v>
      </c>
    </row>
    <row r="493" spans="1:10" ht="30" customHeight="1" x14ac:dyDescent="0.2">
      <c r="A493" s="814">
        <v>3412</v>
      </c>
      <c r="B493" s="806" t="s">
        <v>1560</v>
      </c>
      <c r="C493" s="795">
        <f>SUM(C494:C499)</f>
        <v>13470000</v>
      </c>
      <c r="D493" s="795">
        <f>SUM(D494:D499)</f>
        <v>13610307</v>
      </c>
      <c r="E493" s="795">
        <v>11407803.800000001</v>
      </c>
      <c r="F493" s="1093">
        <f>SUM(E494:E499)</f>
        <v>11407803.800000001</v>
      </c>
      <c r="G493" s="630"/>
      <c r="H493" s="1052"/>
      <c r="I493" s="631"/>
      <c r="J493" s="29">
        <v>0</v>
      </c>
    </row>
    <row r="494" spans="1:10" ht="30" customHeight="1" x14ac:dyDescent="0.2">
      <c r="A494" s="796" t="s">
        <v>1979</v>
      </c>
      <c r="B494" s="809" t="s">
        <v>1980</v>
      </c>
      <c r="C494" s="695">
        <v>0</v>
      </c>
      <c r="D494" s="695">
        <f>153307+3000</f>
        <v>156307</v>
      </c>
      <c r="E494" s="695">
        <v>155937</v>
      </c>
      <c r="F494" s="695"/>
      <c r="G494" s="1051"/>
      <c r="H494" s="1055"/>
      <c r="I494" s="1056"/>
      <c r="J494" s="29">
        <v>0</v>
      </c>
    </row>
    <row r="495" spans="1:10" ht="30" customHeight="1" x14ac:dyDescent="0.2">
      <c r="A495" s="796" t="s">
        <v>1561</v>
      </c>
      <c r="B495" s="731" t="s">
        <v>1562</v>
      </c>
      <c r="C495" s="695">
        <v>11500000</v>
      </c>
      <c r="D495" s="695">
        <f>11500000-20000-3000-10000</f>
        <v>11467000</v>
      </c>
      <c r="E495" s="695">
        <v>10736252.300000001</v>
      </c>
      <c r="F495" s="695"/>
      <c r="G495" s="1051"/>
      <c r="H495" s="1055"/>
      <c r="I495" s="1056"/>
      <c r="J495" s="29">
        <v>0</v>
      </c>
    </row>
    <row r="496" spans="1:10" ht="30" customHeight="1" x14ac:dyDescent="0.2">
      <c r="A496" s="796" t="s">
        <v>1569</v>
      </c>
      <c r="B496" s="731" t="s">
        <v>1570</v>
      </c>
      <c r="C496" s="695">
        <v>440000</v>
      </c>
      <c r="D496" s="695">
        <f>440000+20000+10000+50000</f>
        <v>520000</v>
      </c>
      <c r="E496" s="695">
        <v>515614.5</v>
      </c>
      <c r="F496" s="695"/>
      <c r="G496" s="1051"/>
      <c r="H496" s="1055"/>
      <c r="I496" s="1056"/>
      <c r="J496" s="29">
        <v>0</v>
      </c>
    </row>
    <row r="497" spans="1:10" ht="30" customHeight="1" x14ac:dyDescent="0.2">
      <c r="A497" s="796" t="s">
        <v>1563</v>
      </c>
      <c r="B497" s="731" t="s">
        <v>1564</v>
      </c>
      <c r="C497" s="695">
        <v>1000000</v>
      </c>
      <c r="D497" s="695">
        <v>1000000</v>
      </c>
      <c r="E497" s="695">
        <v>0</v>
      </c>
      <c r="F497" s="695"/>
      <c r="G497" s="1051"/>
      <c r="H497" s="1055"/>
      <c r="I497" s="1056"/>
      <c r="J497" s="29">
        <v>0</v>
      </c>
    </row>
    <row r="498" spans="1:10" ht="30" customHeight="1" x14ac:dyDescent="0.2">
      <c r="A498" s="796" t="s">
        <v>1565</v>
      </c>
      <c r="B498" s="731" t="s">
        <v>1566</v>
      </c>
      <c r="C498" s="695">
        <v>330000</v>
      </c>
      <c r="D498" s="695">
        <v>330000</v>
      </c>
      <c r="E498" s="695">
        <v>0</v>
      </c>
      <c r="F498" s="695"/>
      <c r="G498" s="1051"/>
      <c r="H498" s="1055"/>
      <c r="I498" s="1056"/>
      <c r="J498" s="29">
        <v>0</v>
      </c>
    </row>
    <row r="499" spans="1:10" ht="30" customHeight="1" x14ac:dyDescent="0.2">
      <c r="A499" s="796" t="s">
        <v>1567</v>
      </c>
      <c r="B499" s="809" t="s">
        <v>1568</v>
      </c>
      <c r="C499" s="695">
        <v>200000</v>
      </c>
      <c r="D499" s="695">
        <f>200000-13000-50000</f>
        <v>137000</v>
      </c>
      <c r="E499" s="695">
        <v>0</v>
      </c>
      <c r="F499" s="695"/>
      <c r="G499" s="1051"/>
      <c r="H499" s="1055"/>
      <c r="I499" s="1056"/>
      <c r="J499" s="29">
        <v>0</v>
      </c>
    </row>
    <row r="500" spans="1:10" ht="30" customHeight="1" x14ac:dyDescent="0.2">
      <c r="A500" s="730">
        <v>3613</v>
      </c>
      <c r="B500" s="797" t="s">
        <v>1283</v>
      </c>
      <c r="C500" s="798">
        <f>SUM(C501:C501)</f>
        <v>300000</v>
      </c>
      <c r="D500" s="798">
        <f>SUM(D501:D501)</f>
        <v>300000</v>
      </c>
      <c r="E500" s="798">
        <v>0</v>
      </c>
      <c r="F500" s="1094">
        <f>SUM(E501)</f>
        <v>0</v>
      </c>
      <c r="G500" s="630"/>
      <c r="H500" s="1052"/>
      <c r="I500" s="631"/>
      <c r="J500" s="29">
        <v>0</v>
      </c>
    </row>
    <row r="501" spans="1:10" ht="30" customHeight="1" x14ac:dyDescent="0.2">
      <c r="A501" s="796" t="s">
        <v>553</v>
      </c>
      <c r="B501" s="731" t="s">
        <v>1571</v>
      </c>
      <c r="C501" s="695">
        <v>300000</v>
      </c>
      <c r="D501" s="695">
        <v>300000</v>
      </c>
      <c r="E501" s="695">
        <v>0</v>
      </c>
      <c r="F501" s="695"/>
      <c r="G501" s="1051"/>
      <c r="H501" s="1055"/>
      <c r="I501" s="1056"/>
      <c r="J501" s="29">
        <v>0</v>
      </c>
    </row>
    <row r="502" spans="1:10" ht="30" customHeight="1" x14ac:dyDescent="0.2">
      <c r="A502" s="730">
        <v>3631</v>
      </c>
      <c r="B502" s="797" t="s">
        <v>1294</v>
      </c>
      <c r="C502" s="798">
        <f>SUM(C503:C506)</f>
        <v>4150000</v>
      </c>
      <c r="D502" s="798">
        <f>SUM(D503:D506)</f>
        <v>3150000</v>
      </c>
      <c r="E502" s="798">
        <v>3028817.95</v>
      </c>
      <c r="F502" s="1094">
        <f>SUM(E503:E506)</f>
        <v>3028817.95</v>
      </c>
      <c r="G502" s="630"/>
      <c r="H502" s="1052"/>
      <c r="I502" s="631"/>
      <c r="J502" s="29">
        <v>5033773.3099999996</v>
      </c>
    </row>
    <row r="503" spans="1:10" ht="30" customHeight="1" x14ac:dyDescent="0.2">
      <c r="A503" s="796" t="s">
        <v>567</v>
      </c>
      <c r="B503" s="731" t="s">
        <v>1574</v>
      </c>
      <c r="C503" s="695">
        <v>100000</v>
      </c>
      <c r="D503" s="695">
        <f>100000+7500000-7500000</f>
        <v>100000</v>
      </c>
      <c r="E503" s="695">
        <v>86856.5</v>
      </c>
      <c r="F503" s="695"/>
      <c r="G503" s="1051"/>
      <c r="H503" s="1055"/>
      <c r="I503" s="1056"/>
      <c r="J503" s="29">
        <v>0</v>
      </c>
    </row>
    <row r="504" spans="1:10" ht="30" customHeight="1" x14ac:dyDescent="0.2">
      <c r="A504" s="796" t="s">
        <v>577</v>
      </c>
      <c r="B504" s="731" t="s">
        <v>578</v>
      </c>
      <c r="C504" s="695">
        <v>1750000</v>
      </c>
      <c r="D504" s="695">
        <f>1750000-20160-500000</f>
        <v>1229840</v>
      </c>
      <c r="E504" s="695">
        <v>1190395.27</v>
      </c>
      <c r="F504" s="695"/>
      <c r="G504" s="1051"/>
      <c r="H504" s="1055"/>
      <c r="I504" s="1056"/>
      <c r="J504" s="29">
        <v>0</v>
      </c>
    </row>
    <row r="505" spans="1:10" ht="30" customHeight="1" x14ac:dyDescent="0.2">
      <c r="A505" s="796" t="s">
        <v>581</v>
      </c>
      <c r="B505" s="731" t="s">
        <v>1579</v>
      </c>
      <c r="C505" s="695">
        <v>2300000</v>
      </c>
      <c r="D505" s="695">
        <f>2300000-500000</f>
        <v>1800000</v>
      </c>
      <c r="E505" s="695">
        <v>1751566.18</v>
      </c>
      <c r="F505" s="695"/>
      <c r="G505" s="1051"/>
      <c r="H505" s="1055"/>
      <c r="I505" s="1056"/>
      <c r="J505" s="29">
        <v>0</v>
      </c>
    </row>
    <row r="506" spans="1:10" ht="30" customHeight="1" x14ac:dyDescent="0.2">
      <c r="A506" s="796" t="s">
        <v>585</v>
      </c>
      <c r="B506" s="731" t="s">
        <v>1580</v>
      </c>
      <c r="C506" s="695">
        <v>0</v>
      </c>
      <c r="D506" s="695">
        <v>20160</v>
      </c>
      <c r="E506" s="695">
        <v>0</v>
      </c>
      <c r="F506" s="695"/>
      <c r="G506" s="1051"/>
      <c r="H506" s="1055"/>
      <c r="I506" s="1056"/>
      <c r="J506" s="29">
        <v>0</v>
      </c>
    </row>
    <row r="507" spans="1:10" ht="30" customHeight="1" x14ac:dyDescent="0.2">
      <c r="A507" s="730">
        <v>3632</v>
      </c>
      <c r="B507" s="797" t="s">
        <v>1309</v>
      </c>
      <c r="C507" s="798">
        <f>SUM(C508:C509)</f>
        <v>850000</v>
      </c>
      <c r="D507" s="798">
        <f>SUM(D508:D509)</f>
        <v>850000</v>
      </c>
      <c r="E507" s="798">
        <v>754080</v>
      </c>
      <c r="F507" s="1094">
        <f>SUM(E508:E509)</f>
        <v>754080</v>
      </c>
      <c r="G507" s="630"/>
      <c r="H507" s="1052"/>
      <c r="I507" s="631"/>
      <c r="J507" s="29">
        <v>0</v>
      </c>
    </row>
    <row r="508" spans="1:10" ht="30" customHeight="1" x14ac:dyDescent="0.2">
      <c r="A508" s="796" t="s">
        <v>1581</v>
      </c>
      <c r="B508" s="731" t="s">
        <v>1981</v>
      </c>
      <c r="C508" s="695">
        <f>620000+230000</f>
        <v>850000</v>
      </c>
      <c r="D508" s="695">
        <f>(620000+230000)-12000</f>
        <v>838000</v>
      </c>
      <c r="E508" s="695">
        <v>742080</v>
      </c>
      <c r="F508" s="695"/>
      <c r="G508" s="1051"/>
      <c r="H508" s="1055"/>
      <c r="I508" s="1056"/>
      <c r="J508" s="29">
        <v>0</v>
      </c>
    </row>
    <row r="509" spans="1:10" ht="30" customHeight="1" x14ac:dyDescent="0.2">
      <c r="A509" s="796" t="s">
        <v>1584</v>
      </c>
      <c r="B509" s="809" t="s">
        <v>1585</v>
      </c>
      <c r="C509" s="695">
        <v>0</v>
      </c>
      <c r="D509" s="695">
        <v>12000</v>
      </c>
      <c r="E509" s="695">
        <v>12000</v>
      </c>
      <c r="F509" s="695"/>
      <c r="G509" s="1051"/>
      <c r="H509" s="1055"/>
      <c r="I509" s="1056"/>
      <c r="J509" s="29">
        <v>0</v>
      </c>
    </row>
    <row r="510" spans="1:10" ht="30" customHeight="1" x14ac:dyDescent="0.2">
      <c r="A510" s="730">
        <v>3633</v>
      </c>
      <c r="B510" s="797" t="s">
        <v>1317</v>
      </c>
      <c r="C510" s="798">
        <f>SUM(C511:C511)</f>
        <v>10000</v>
      </c>
      <c r="D510" s="798">
        <f>SUM(D511:D511)</f>
        <v>10000</v>
      </c>
      <c r="E510" s="798">
        <v>0</v>
      </c>
      <c r="F510" s="1094"/>
      <c r="G510" s="630"/>
      <c r="H510" s="1052"/>
      <c r="I510" s="631"/>
      <c r="J510" s="29">
        <v>0</v>
      </c>
    </row>
    <row r="511" spans="1:10" ht="30" customHeight="1" x14ac:dyDescent="0.2">
      <c r="A511" s="796" t="s">
        <v>592</v>
      </c>
      <c r="B511" s="800" t="s">
        <v>593</v>
      </c>
      <c r="C511" s="695">
        <v>10000</v>
      </c>
      <c r="D511" s="695">
        <v>10000</v>
      </c>
      <c r="E511" s="695">
        <v>0</v>
      </c>
      <c r="F511" s="695"/>
      <c r="G511" s="1051"/>
      <c r="H511" s="1055"/>
      <c r="I511" s="1056"/>
      <c r="J511" s="29">
        <v>0</v>
      </c>
    </row>
    <row r="512" spans="1:10" ht="30" customHeight="1" x14ac:dyDescent="0.25">
      <c r="A512" s="621"/>
      <c r="B512" s="819" t="s">
        <v>1587</v>
      </c>
      <c r="C512" s="764">
        <f t="shared" ref="C512:D515" si="10">SUM(C513:C513)</f>
        <v>460000</v>
      </c>
      <c r="D512" s="764">
        <f t="shared" si="10"/>
        <v>47555</v>
      </c>
      <c r="E512" s="764">
        <v>47555</v>
      </c>
      <c r="F512" s="1102"/>
      <c r="G512" s="623"/>
      <c r="H512" s="623"/>
      <c r="I512" s="741"/>
      <c r="J512" s="29">
        <v>15000</v>
      </c>
    </row>
    <row r="513" spans="1:10" ht="30" customHeight="1" x14ac:dyDescent="0.2">
      <c r="A513" s="847" t="s">
        <v>603</v>
      </c>
      <c r="B513" s="848" t="s">
        <v>1588</v>
      </c>
      <c r="C513" s="849">
        <v>460000</v>
      </c>
      <c r="D513" s="849">
        <f>460000-412445</f>
        <v>47555</v>
      </c>
      <c r="E513" s="849">
        <v>47555</v>
      </c>
      <c r="F513" s="849"/>
      <c r="G513" s="1051"/>
      <c r="H513" s="1055"/>
      <c r="I513" s="1056"/>
      <c r="J513" s="29">
        <v>15000</v>
      </c>
    </row>
    <row r="514" spans="1:10" ht="30" customHeight="1" x14ac:dyDescent="0.2">
      <c r="A514" s="850"/>
      <c r="B514" s="851"/>
      <c r="C514" s="828"/>
      <c r="D514" s="828"/>
      <c r="E514" s="828"/>
      <c r="F514" s="828"/>
      <c r="G514" s="828"/>
      <c r="H514" s="828"/>
      <c r="I514" s="852"/>
    </row>
    <row r="515" spans="1:10" s="85" customFormat="1" ht="30" customHeight="1" x14ac:dyDescent="0.3">
      <c r="A515" s="853"/>
      <c r="B515" s="854" t="s">
        <v>31</v>
      </c>
      <c r="C515" s="855">
        <f t="shared" si="10"/>
        <v>15000</v>
      </c>
      <c r="D515" s="855">
        <f t="shared" si="10"/>
        <v>15000</v>
      </c>
      <c r="E515" s="855">
        <v>14000</v>
      </c>
      <c r="F515" s="1103"/>
      <c r="G515" s="735"/>
      <c r="H515" s="735"/>
      <c r="I515" s="1083"/>
      <c r="J515" s="1037">
        <v>5000</v>
      </c>
    </row>
    <row r="516" spans="1:10" ht="30" customHeight="1" x14ac:dyDescent="0.2">
      <c r="A516" s="856" t="s">
        <v>1589</v>
      </c>
      <c r="B516" s="688" t="s">
        <v>1590</v>
      </c>
      <c r="C516" s="637">
        <v>15000</v>
      </c>
      <c r="D516" s="637">
        <v>15000</v>
      </c>
      <c r="E516" s="637">
        <v>14000</v>
      </c>
      <c r="F516" s="644"/>
      <c r="G516" s="630"/>
      <c r="H516" s="1052"/>
      <c r="I516" s="631"/>
      <c r="J516" s="29">
        <v>5000</v>
      </c>
    </row>
    <row r="517" spans="1:10" s="244" customFormat="1" ht="30" customHeight="1" x14ac:dyDescent="0.25">
      <c r="A517" s="857"/>
      <c r="B517" s="738"/>
      <c r="C517" s="785"/>
      <c r="D517" s="785"/>
      <c r="E517" s="785"/>
      <c r="F517" s="785"/>
      <c r="G517" s="785"/>
      <c r="H517" s="785"/>
      <c r="I517" s="858"/>
      <c r="J517" s="1104"/>
    </row>
    <row r="518" spans="1:10" s="558" customFormat="1" ht="30" customHeight="1" x14ac:dyDescent="0.3">
      <c r="A518" s="734"/>
      <c r="B518" s="757" t="s">
        <v>608</v>
      </c>
      <c r="C518" s="859">
        <f t="shared" ref="C518:D518" si="11">SUM(C519:C522)</f>
        <v>13200772</v>
      </c>
      <c r="D518" s="859">
        <f t="shared" si="11"/>
        <v>13584681.83</v>
      </c>
      <c r="E518" s="859">
        <v>12914263.4</v>
      </c>
      <c r="F518" s="1084">
        <f>SUM(E519:E522)</f>
        <v>12914263.4</v>
      </c>
      <c r="G518" s="735"/>
      <c r="H518" s="735"/>
      <c r="I518" s="1083"/>
      <c r="J518" s="1037">
        <v>4598616.6100000003</v>
      </c>
    </row>
    <row r="519" spans="1:10" s="98" customFormat="1" ht="30" customHeight="1" x14ac:dyDescent="0.2">
      <c r="A519" s="660">
        <v>2141</v>
      </c>
      <c r="B519" s="688" t="s">
        <v>1591</v>
      </c>
      <c r="C519" s="637">
        <v>825800</v>
      </c>
      <c r="D519" s="637">
        <f>825800-594.97+145413.26</f>
        <v>970618.29</v>
      </c>
      <c r="E519" s="637">
        <v>966928.38</v>
      </c>
      <c r="F519" s="644"/>
      <c r="G519" s="630"/>
      <c r="H519" s="1052"/>
      <c r="I519" s="639"/>
      <c r="J519" s="1037">
        <v>293891.44</v>
      </c>
    </row>
    <row r="520" spans="1:10" s="98" customFormat="1" ht="60.75" x14ac:dyDescent="0.2">
      <c r="A520" s="663">
        <v>2143</v>
      </c>
      <c r="B520" s="634" t="s">
        <v>1592</v>
      </c>
      <c r="C520" s="637">
        <v>11485972</v>
      </c>
      <c r="D520" s="637">
        <f>11485972+(70804.8+217373.47)+33700+(50000+150000)+80000-217373.47</f>
        <v>11870476.799999999</v>
      </c>
      <c r="E520" s="637">
        <v>11229018.25</v>
      </c>
      <c r="F520" s="644"/>
      <c r="G520" s="630"/>
      <c r="H520" s="1052"/>
      <c r="I520" s="639"/>
      <c r="J520" s="1037">
        <v>4189962.67</v>
      </c>
    </row>
    <row r="521" spans="1:10" s="98" customFormat="1" ht="30" customHeight="1" x14ac:dyDescent="0.2">
      <c r="A521" s="663">
        <v>3399</v>
      </c>
      <c r="B521" s="634" t="s">
        <v>1593</v>
      </c>
      <c r="C521" s="637">
        <v>174000</v>
      </c>
      <c r="D521" s="637">
        <f>174000-145413.26</f>
        <v>28586.739999999991</v>
      </c>
      <c r="E521" s="637">
        <v>28586.74</v>
      </c>
      <c r="F521" s="644"/>
      <c r="G521" s="630"/>
      <c r="H521" s="1052"/>
      <c r="I521" s="639"/>
      <c r="J521" s="1037">
        <v>13664.54</v>
      </c>
    </row>
    <row r="522" spans="1:10" s="98" customFormat="1" ht="30" customHeight="1" x14ac:dyDescent="0.2">
      <c r="A522" s="663">
        <v>6223</v>
      </c>
      <c r="B522" s="634" t="s">
        <v>1594</v>
      </c>
      <c r="C522" s="637">
        <v>715000</v>
      </c>
      <c r="D522" s="637">
        <v>715000</v>
      </c>
      <c r="E522" s="637">
        <v>689730.03</v>
      </c>
      <c r="F522" s="644"/>
      <c r="G522" s="630"/>
      <c r="H522" s="1052"/>
      <c r="I522" s="639"/>
      <c r="J522" s="1037">
        <v>101097.96</v>
      </c>
    </row>
    <row r="523" spans="1:10" s="98" customFormat="1" ht="30" customHeight="1" x14ac:dyDescent="0.2">
      <c r="A523" s="861"/>
      <c r="B523" s="862"/>
      <c r="C523" s="785"/>
      <c r="D523" s="785"/>
      <c r="E523" s="785"/>
      <c r="F523" s="785"/>
      <c r="G523" s="785"/>
      <c r="H523" s="785"/>
      <c r="I523" s="863"/>
      <c r="J523" s="29"/>
    </row>
    <row r="524" spans="1:10" s="558" customFormat="1" ht="30" customHeight="1" x14ac:dyDescent="0.3">
      <c r="A524" s="864"/>
      <c r="B524" s="865" t="s">
        <v>33</v>
      </c>
      <c r="C524" s="866">
        <f>SUM(C525,C526)</f>
        <v>10220291</v>
      </c>
      <c r="D524" s="866">
        <f>SUM(D525,D526)</f>
        <v>10451291</v>
      </c>
      <c r="E524" s="866">
        <v>10297235.539999999</v>
      </c>
      <c r="F524" s="1105">
        <f>SUM(E525:E526)</f>
        <v>10297235.539999999</v>
      </c>
      <c r="G524" s="735"/>
      <c r="H524" s="735"/>
      <c r="I524" s="1083"/>
      <c r="J524" s="29">
        <v>5367776.42</v>
      </c>
    </row>
    <row r="525" spans="1:10" s="98" customFormat="1" ht="30" customHeight="1" x14ac:dyDescent="0.2">
      <c r="A525" s="663">
        <v>2223</v>
      </c>
      <c r="B525" s="634" t="s">
        <v>1595</v>
      </c>
      <c r="C525" s="687">
        <v>80000</v>
      </c>
      <c r="D525" s="687">
        <f>80000+200</f>
        <v>80200</v>
      </c>
      <c r="E525" s="687">
        <v>80191.509999999995</v>
      </c>
      <c r="F525" s="1089"/>
      <c r="G525" s="630"/>
      <c r="H525" s="1052"/>
      <c r="I525" s="639"/>
      <c r="J525" s="1037">
        <v>69393.17</v>
      </c>
    </row>
    <row r="526" spans="1:10" s="98" customFormat="1" ht="30" customHeight="1" x14ac:dyDescent="0.2">
      <c r="A526" s="663">
        <v>2292</v>
      </c>
      <c r="B526" s="629" t="s">
        <v>1596</v>
      </c>
      <c r="C526" s="637">
        <f>SUM(C527:C531)</f>
        <v>10140291</v>
      </c>
      <c r="D526" s="637">
        <f>SUM(D527:D531)</f>
        <v>10371091</v>
      </c>
      <c r="E526" s="637">
        <v>10217044.029999999</v>
      </c>
      <c r="F526" s="644">
        <f>SUM(E527:E531)</f>
        <v>10217044.029999999</v>
      </c>
      <c r="G526" s="630"/>
      <c r="H526" s="1052"/>
      <c r="I526" s="631"/>
      <c r="J526" s="29">
        <v>5298383.25</v>
      </c>
    </row>
    <row r="527" spans="1:10" s="98" customFormat="1" ht="30" customHeight="1" x14ac:dyDescent="0.2">
      <c r="A527" s="663"/>
      <c r="B527" s="643" t="s">
        <v>617</v>
      </c>
      <c r="C527" s="644">
        <v>2078191</v>
      </c>
      <c r="D527" s="644">
        <v>2078191</v>
      </c>
      <c r="E527" s="644">
        <v>2078191</v>
      </c>
      <c r="F527" s="644"/>
      <c r="G527" s="1051"/>
      <c r="H527" s="1055"/>
      <c r="I527" s="1056"/>
      <c r="J527" s="29">
        <v>1613300.25</v>
      </c>
    </row>
    <row r="528" spans="1:10" s="98" customFormat="1" ht="30" customHeight="1" x14ac:dyDescent="0.2">
      <c r="A528" s="663"/>
      <c r="B528" s="643" t="s">
        <v>1597</v>
      </c>
      <c r="C528" s="644">
        <v>7500000</v>
      </c>
      <c r="D528" s="644">
        <f>7500000+231000-30000</f>
        <v>7701000</v>
      </c>
      <c r="E528" s="644">
        <v>7638000</v>
      </c>
      <c r="F528" s="644"/>
      <c r="G528" s="1051"/>
      <c r="H528" s="1055"/>
      <c r="I528" s="1056"/>
      <c r="J528" s="29">
        <v>3089002</v>
      </c>
    </row>
    <row r="529" spans="1:10" s="98" customFormat="1" ht="30" customHeight="1" x14ac:dyDescent="0.2">
      <c r="A529" s="663"/>
      <c r="B529" s="650" t="s">
        <v>1598</v>
      </c>
      <c r="C529" s="644">
        <v>150000</v>
      </c>
      <c r="D529" s="644">
        <f>150000+30000</f>
        <v>180000</v>
      </c>
      <c r="E529" s="644">
        <v>177792</v>
      </c>
      <c r="F529" s="644"/>
      <c r="G529" s="1051"/>
      <c r="H529" s="1055"/>
      <c r="I529" s="1056"/>
      <c r="J529" s="88">
        <v>33408</v>
      </c>
    </row>
    <row r="530" spans="1:10" s="98" customFormat="1" ht="30" customHeight="1" x14ac:dyDescent="0.2">
      <c r="A530" s="710"/>
      <c r="B530" s="867" t="s">
        <v>1599</v>
      </c>
      <c r="C530" s="652">
        <v>400000</v>
      </c>
      <c r="D530" s="652">
        <v>400000</v>
      </c>
      <c r="E530" s="652">
        <v>315402</v>
      </c>
      <c r="F530" s="652"/>
      <c r="G530" s="1051"/>
      <c r="H530" s="1055"/>
      <c r="I530" s="1056"/>
      <c r="J530" s="29">
        <v>327001</v>
      </c>
    </row>
    <row r="531" spans="1:10" s="98" customFormat="1" ht="30" customHeight="1" x14ac:dyDescent="0.2">
      <c r="A531" s="729"/>
      <c r="B531" s="868" t="s">
        <v>1600</v>
      </c>
      <c r="C531" s="678">
        <v>12100</v>
      </c>
      <c r="D531" s="678">
        <f>12100-200</f>
        <v>11900</v>
      </c>
      <c r="E531" s="678">
        <v>7659.03</v>
      </c>
      <c r="F531" s="678"/>
      <c r="G531" s="1051"/>
      <c r="H531" s="1055"/>
      <c r="I531" s="1056"/>
      <c r="J531" s="29">
        <v>0</v>
      </c>
    </row>
    <row r="532" spans="1:10" s="98" customFormat="1" ht="30" customHeight="1" x14ac:dyDescent="0.2">
      <c r="A532" s="863"/>
      <c r="B532" s="868"/>
      <c r="C532" s="682"/>
      <c r="D532" s="682"/>
      <c r="E532" s="682"/>
      <c r="F532" s="682"/>
      <c r="G532" s="682"/>
      <c r="H532" s="682"/>
      <c r="I532" s="870"/>
      <c r="J532" s="29"/>
    </row>
    <row r="533" spans="1:10" s="558" customFormat="1" ht="30" customHeight="1" x14ac:dyDescent="0.3">
      <c r="A533" s="734"/>
      <c r="B533" s="757" t="s">
        <v>34</v>
      </c>
      <c r="C533" s="871">
        <f>SUM(C534:C535)</f>
        <v>162000</v>
      </c>
      <c r="D533" s="871">
        <f>SUM(D534:D535)</f>
        <v>162000</v>
      </c>
      <c r="E533" s="871">
        <v>72093</v>
      </c>
      <c r="F533" s="1068">
        <f>SUM(E534:E535)</f>
        <v>72093</v>
      </c>
      <c r="G533" s="735"/>
      <c r="H533" s="735"/>
      <c r="I533" s="1083"/>
      <c r="J533" s="29">
        <v>50542.080000000002</v>
      </c>
    </row>
    <row r="534" spans="1:10" s="98" customFormat="1" ht="30" customHeight="1" x14ac:dyDescent="0.2">
      <c r="A534" s="663">
        <v>2223</v>
      </c>
      <c r="B534" s="629" t="s">
        <v>1601</v>
      </c>
      <c r="C534" s="637">
        <v>150000</v>
      </c>
      <c r="D534" s="637">
        <v>150000</v>
      </c>
      <c r="E534" s="637">
        <v>68339</v>
      </c>
      <c r="F534" s="644"/>
      <c r="G534" s="630"/>
      <c r="H534" s="1052"/>
      <c r="I534" s="631"/>
      <c r="J534" s="29">
        <v>49271.08</v>
      </c>
    </row>
    <row r="535" spans="1:10" s="98" customFormat="1" ht="30" customHeight="1" x14ac:dyDescent="0.2">
      <c r="A535" s="663">
        <v>6171</v>
      </c>
      <c r="B535" s="629" t="s">
        <v>1602</v>
      </c>
      <c r="C535" s="637">
        <v>12000</v>
      </c>
      <c r="D535" s="637">
        <v>12000</v>
      </c>
      <c r="E535" s="637">
        <v>3754</v>
      </c>
      <c r="F535" s="644"/>
      <c r="G535" s="630"/>
      <c r="H535" s="1052"/>
      <c r="I535" s="631"/>
      <c r="J535" s="29">
        <v>1271</v>
      </c>
    </row>
    <row r="536" spans="1:10" s="98" customFormat="1" ht="30" customHeight="1" x14ac:dyDescent="0.2">
      <c r="A536" s="1106"/>
      <c r="B536" s="1107"/>
      <c r="C536" s="1108"/>
      <c r="D536" s="1108"/>
      <c r="E536" s="1108"/>
      <c r="F536" s="1108"/>
      <c r="G536" s="1108"/>
      <c r="H536" s="1108"/>
      <c r="I536" s="583"/>
      <c r="J536" s="29"/>
    </row>
    <row r="537" spans="1:10" s="558" customFormat="1" ht="30" customHeight="1" x14ac:dyDescent="0.3">
      <c r="A537" s="853"/>
      <c r="B537" s="1109" t="s">
        <v>624</v>
      </c>
      <c r="C537" s="871">
        <f>SUM(C538:C538)</f>
        <v>250000</v>
      </c>
      <c r="D537" s="871">
        <f>SUM(D538:D538)</f>
        <v>1114200</v>
      </c>
      <c r="E537" s="871">
        <v>988812.64</v>
      </c>
      <c r="F537" s="1110"/>
      <c r="G537" s="735"/>
      <c r="H537" s="735"/>
      <c r="I537" s="1111"/>
      <c r="J537" s="29">
        <v>0</v>
      </c>
    </row>
    <row r="538" spans="1:10" s="98" customFormat="1" ht="30" customHeight="1" x14ac:dyDescent="0.2">
      <c r="A538" s="660">
        <v>6118</v>
      </c>
      <c r="B538" s="626" t="s">
        <v>1604</v>
      </c>
      <c r="C538" s="637">
        <v>250000</v>
      </c>
      <c r="D538" s="637">
        <f>250000+864200</f>
        <v>1114200</v>
      </c>
      <c r="E538" s="637">
        <v>988812.64</v>
      </c>
      <c r="F538" s="644"/>
      <c r="G538" s="632"/>
      <c r="H538" s="1112"/>
      <c r="I538" s="631"/>
      <c r="J538" s="29">
        <v>0</v>
      </c>
    </row>
    <row r="539" spans="1:10" s="98" customFormat="1" ht="30" customHeight="1" x14ac:dyDescent="0.2">
      <c r="A539" s="732"/>
      <c r="B539" s="629"/>
      <c r="C539" s="873"/>
      <c r="D539" s="873"/>
      <c r="E539" s="873"/>
      <c r="F539" s="739"/>
      <c r="G539" s="873"/>
      <c r="H539" s="873"/>
      <c r="I539" s="874"/>
      <c r="J539" s="29"/>
    </row>
    <row r="540" spans="1:10" s="875" customFormat="1" ht="30" customHeight="1" x14ac:dyDescent="0.3">
      <c r="A540" s="853"/>
      <c r="B540" s="876" t="s">
        <v>36</v>
      </c>
      <c r="C540" s="871">
        <f>C541+C594+C618</f>
        <v>117668120</v>
      </c>
      <c r="D540" s="871">
        <f>D541+D594+D618</f>
        <v>133072098.18000001</v>
      </c>
      <c r="E540" s="871">
        <v>131209994.77</v>
      </c>
      <c r="F540" s="1068">
        <f>SUM(E541,E594,E618)</f>
        <v>131209994.77000001</v>
      </c>
      <c r="G540" s="735"/>
      <c r="H540" s="735"/>
      <c r="I540" s="1083"/>
      <c r="J540" s="1113">
        <v>71582892.900000006</v>
      </c>
    </row>
    <row r="541" spans="1:10" s="877" customFormat="1" ht="30" customHeight="1" x14ac:dyDescent="0.25">
      <c r="A541" s="802"/>
      <c r="B541" s="878" t="s">
        <v>627</v>
      </c>
      <c r="C541" s="702">
        <f>SUM(C542,C562,C593,C588)</f>
        <v>48246000</v>
      </c>
      <c r="D541" s="702">
        <f>SUM(D542,D562,D593,D588)</f>
        <v>62304341.450000003</v>
      </c>
      <c r="E541" s="702">
        <v>62304341.450000003</v>
      </c>
      <c r="F541" s="1114">
        <f>SUM(E542,E562,E588,E593)</f>
        <v>62304341.449999996</v>
      </c>
      <c r="G541" s="623"/>
      <c r="H541" s="623"/>
      <c r="I541" s="741"/>
      <c r="J541" s="1113">
        <v>24400095.289999999</v>
      </c>
    </row>
    <row r="542" spans="1:10" s="877" customFormat="1" ht="30" customHeight="1" x14ac:dyDescent="0.2">
      <c r="A542" s="793">
        <v>3111</v>
      </c>
      <c r="B542" s="880" t="s">
        <v>628</v>
      </c>
      <c r="C542" s="807">
        <f>SUM(C543:C545)</f>
        <v>11238000</v>
      </c>
      <c r="D542" s="807">
        <f>SUM(D543:D545)</f>
        <v>11381615.329999998</v>
      </c>
      <c r="E542" s="807">
        <v>11381615.33</v>
      </c>
      <c r="F542" s="808">
        <f>SUM(E543:E545)</f>
        <v>11381615.329999998</v>
      </c>
      <c r="G542" s="630"/>
      <c r="H542" s="1052"/>
      <c r="I542" s="631"/>
      <c r="J542" s="1113">
        <v>3533215</v>
      </c>
    </row>
    <row r="543" spans="1:10" s="877" customFormat="1" ht="30" customHeight="1" x14ac:dyDescent="0.2">
      <c r="A543" s="832"/>
      <c r="B543" s="881" t="s">
        <v>629</v>
      </c>
      <c r="C543" s="695">
        <f t="shared" ref="C543:D545" si="12">+C548+C553+C558</f>
        <v>8640000</v>
      </c>
      <c r="D543" s="695">
        <f t="shared" si="12"/>
        <v>8795725.7899999991</v>
      </c>
      <c r="E543" s="695">
        <f t="shared" ref="E543:E545" si="13">SUM(E548,E553,E558)</f>
        <v>8795725.7899999991</v>
      </c>
      <c r="F543" s="695"/>
      <c r="G543" s="1051"/>
      <c r="H543" s="1055"/>
      <c r="I543" s="1056"/>
      <c r="J543" s="1113">
        <v>3171000</v>
      </c>
    </row>
    <row r="544" spans="1:10" s="877" customFormat="1" ht="30" customHeight="1" x14ac:dyDescent="0.2">
      <c r="A544" s="832"/>
      <c r="B544" s="881" t="s">
        <v>1605</v>
      </c>
      <c r="C544" s="695">
        <f t="shared" si="12"/>
        <v>2001000</v>
      </c>
      <c r="D544" s="695">
        <f t="shared" si="12"/>
        <v>2059074</v>
      </c>
      <c r="E544" s="695">
        <f t="shared" si="13"/>
        <v>2059074</v>
      </c>
      <c r="F544" s="695"/>
      <c r="G544" s="1051"/>
      <c r="H544" s="1055"/>
      <c r="I544" s="1056"/>
      <c r="J544" s="1113">
        <v>362215</v>
      </c>
    </row>
    <row r="545" spans="1:10" s="882" customFormat="1" ht="30" customHeight="1" x14ac:dyDescent="0.25">
      <c r="A545" s="832"/>
      <c r="B545" s="881" t="s">
        <v>1606</v>
      </c>
      <c r="C545" s="695">
        <f t="shared" si="12"/>
        <v>597000</v>
      </c>
      <c r="D545" s="695">
        <f t="shared" si="12"/>
        <v>526815.54</v>
      </c>
      <c r="E545" s="695">
        <f t="shared" si="13"/>
        <v>526815.54</v>
      </c>
      <c r="F545" s="695"/>
      <c r="G545" s="1051"/>
      <c r="H545" s="1055"/>
      <c r="I545" s="1056"/>
      <c r="J545" s="1113">
        <v>0</v>
      </c>
    </row>
    <row r="546" spans="1:10" s="877" customFormat="1" ht="30" customHeight="1" x14ac:dyDescent="0.2">
      <c r="A546" s="832"/>
      <c r="B546" s="881"/>
      <c r="C546" s="695"/>
      <c r="D546" s="695"/>
      <c r="E546" s="695"/>
      <c r="F546" s="695"/>
      <c r="G546" s="695"/>
      <c r="H546" s="695"/>
      <c r="I546" s="1056"/>
      <c r="J546" s="1113"/>
    </row>
    <row r="547" spans="1:10" s="882" customFormat="1" ht="30" customHeight="1" x14ac:dyDescent="0.25">
      <c r="A547" s="832"/>
      <c r="B547" s="884" t="s">
        <v>1607</v>
      </c>
      <c r="C547" s="798">
        <f>C548+C549+C550</f>
        <v>4061000</v>
      </c>
      <c r="D547" s="798">
        <f>D548+D549+D550</f>
        <v>4179074</v>
      </c>
      <c r="E547" s="798">
        <v>4179074</v>
      </c>
      <c r="F547" s="695">
        <f>SUM(E548:E550)</f>
        <v>4179074</v>
      </c>
      <c r="G547" s="630"/>
      <c r="H547" s="1052"/>
      <c r="I547" s="631"/>
      <c r="J547" s="1113">
        <v>953000</v>
      </c>
    </row>
    <row r="548" spans="1:10" s="877" customFormat="1" ht="30" customHeight="1" x14ac:dyDescent="0.2">
      <c r="A548" s="832"/>
      <c r="B548" s="884" t="s">
        <v>1608</v>
      </c>
      <c r="C548" s="816">
        <v>2815000</v>
      </c>
      <c r="D548" s="816">
        <f>2815000+60000</f>
        <v>2875000</v>
      </c>
      <c r="E548" s="816">
        <v>2875000</v>
      </c>
      <c r="F548" s="816"/>
      <c r="G548" s="1051"/>
      <c r="H548" s="1055"/>
      <c r="I548" s="1056"/>
      <c r="J548" s="1113">
        <v>953000</v>
      </c>
    </row>
    <row r="549" spans="1:10" s="885" customFormat="1" ht="36.75" x14ac:dyDescent="0.2">
      <c r="A549" s="832" t="s">
        <v>634</v>
      </c>
      <c r="B549" s="884" t="s">
        <v>1609</v>
      </c>
      <c r="C549" s="816">
        <v>1246000</v>
      </c>
      <c r="D549" s="816">
        <f>1246000+58074</f>
        <v>1304074</v>
      </c>
      <c r="E549" s="816">
        <v>1304074</v>
      </c>
      <c r="F549" s="816"/>
      <c r="G549" s="1051"/>
      <c r="H549" s="1055"/>
      <c r="I549" s="670"/>
      <c r="J549" s="1115">
        <v>0</v>
      </c>
    </row>
    <row r="550" spans="1:10" s="885" customFormat="1" ht="30" customHeight="1" x14ac:dyDescent="0.2">
      <c r="A550" s="832"/>
      <c r="B550" s="884" t="s">
        <v>1610</v>
      </c>
      <c r="C550" s="816">
        <v>0</v>
      </c>
      <c r="D550" s="816">
        <v>0</v>
      </c>
      <c r="E550" s="816">
        <v>0</v>
      </c>
      <c r="F550" s="816"/>
      <c r="G550" s="1051"/>
      <c r="H550" s="1055"/>
      <c r="I550" s="1056"/>
      <c r="J550" s="1113">
        <v>0</v>
      </c>
    </row>
    <row r="551" spans="1:10" s="885" customFormat="1" ht="30" customHeight="1" x14ac:dyDescent="0.2">
      <c r="A551" s="832"/>
      <c r="B551" s="884"/>
      <c r="C551" s="695"/>
      <c r="D551" s="695"/>
      <c r="E551" s="695"/>
      <c r="F551" s="695"/>
      <c r="G551" s="695"/>
      <c r="H551" s="695"/>
      <c r="I551" s="1056"/>
      <c r="J551" s="1113"/>
    </row>
    <row r="552" spans="1:10" s="885" customFormat="1" ht="30" customHeight="1" x14ac:dyDescent="0.2">
      <c r="A552" s="832"/>
      <c r="B552" s="886" t="s">
        <v>1611</v>
      </c>
      <c r="C552" s="798">
        <f>SUM(C553:C555)</f>
        <v>3456000</v>
      </c>
      <c r="D552" s="798">
        <f>SUM(D553:D555)</f>
        <v>3512863.33</v>
      </c>
      <c r="E552" s="798">
        <v>3512863.33</v>
      </c>
      <c r="F552" s="695">
        <f>SUM(E553:E555)</f>
        <v>3512863.33</v>
      </c>
      <c r="G552" s="630"/>
      <c r="H552" s="1052"/>
      <c r="I552" s="631"/>
      <c r="J552" s="1113">
        <v>1632215</v>
      </c>
    </row>
    <row r="553" spans="1:10" s="885" customFormat="1" ht="30" customHeight="1" x14ac:dyDescent="0.2">
      <c r="A553" s="832"/>
      <c r="B553" s="884" t="s">
        <v>1612</v>
      </c>
      <c r="C553" s="816">
        <v>3179000</v>
      </c>
      <c r="D553" s="816">
        <f>3179000-3074.21+60000</f>
        <v>3235925.79</v>
      </c>
      <c r="E553" s="816">
        <v>3235925.79</v>
      </c>
      <c r="F553" s="816"/>
      <c r="G553" s="1051"/>
      <c r="H553" s="1055"/>
      <c r="I553" s="1056"/>
      <c r="J553" s="1113">
        <v>1270000</v>
      </c>
    </row>
    <row r="554" spans="1:10" s="885" customFormat="1" ht="30" customHeight="1" x14ac:dyDescent="0.2">
      <c r="A554" s="832"/>
      <c r="B554" s="884" t="s">
        <v>1613</v>
      </c>
      <c r="C554" s="816">
        <v>0</v>
      </c>
      <c r="D554" s="816">
        <v>0</v>
      </c>
      <c r="E554" s="816">
        <v>0</v>
      </c>
      <c r="F554" s="816"/>
      <c r="G554" s="1051"/>
      <c r="H554" s="1055"/>
      <c r="I554" s="670"/>
      <c r="J554" s="1113">
        <v>362215</v>
      </c>
    </row>
    <row r="555" spans="1:10" s="885" customFormat="1" ht="30" customHeight="1" x14ac:dyDescent="0.2">
      <c r="A555" s="832"/>
      <c r="B555" s="884" t="s">
        <v>1614</v>
      </c>
      <c r="C555" s="816">
        <v>277000</v>
      </c>
      <c r="D555" s="816">
        <f>277000-62.46</f>
        <v>276937.53999999998</v>
      </c>
      <c r="E555" s="816">
        <v>276937.53999999998</v>
      </c>
      <c r="F555" s="816"/>
      <c r="G555" s="1051"/>
      <c r="H555" s="1055"/>
      <c r="I555" s="1056"/>
      <c r="J555" s="1113">
        <v>0</v>
      </c>
    </row>
    <row r="556" spans="1:10" s="885" customFormat="1" ht="30" customHeight="1" x14ac:dyDescent="0.2">
      <c r="A556" s="832"/>
      <c r="B556" s="884"/>
      <c r="C556" s="816"/>
      <c r="D556" s="816"/>
      <c r="E556" s="816"/>
      <c r="F556" s="816"/>
      <c r="G556" s="816"/>
      <c r="H556" s="816"/>
      <c r="I556" s="1056"/>
      <c r="J556" s="1113"/>
    </row>
    <row r="557" spans="1:10" s="885" customFormat="1" ht="30" customHeight="1" x14ac:dyDescent="0.2">
      <c r="A557" s="832"/>
      <c r="B557" s="884" t="s">
        <v>1615</v>
      </c>
      <c r="C557" s="798">
        <f>SUM(C558:C560)</f>
        <v>3721000</v>
      </c>
      <c r="D557" s="798">
        <f>SUM(D558:D560)</f>
        <v>3689678</v>
      </c>
      <c r="E557" s="798">
        <v>3689678</v>
      </c>
      <c r="F557" s="695">
        <f>SUM(E558:E560)</f>
        <v>3689678</v>
      </c>
      <c r="G557" s="630"/>
      <c r="H557" s="1052"/>
      <c r="I557" s="631"/>
      <c r="J557" s="1113">
        <v>948000</v>
      </c>
    </row>
    <row r="558" spans="1:10" s="885" customFormat="1" ht="30" customHeight="1" x14ac:dyDescent="0.2">
      <c r="A558" s="832"/>
      <c r="B558" s="884" t="s">
        <v>1616</v>
      </c>
      <c r="C558" s="816">
        <v>2646000</v>
      </c>
      <c r="D558" s="816">
        <f>2646000+38800</f>
        <v>2684800</v>
      </c>
      <c r="E558" s="816">
        <v>2684800</v>
      </c>
      <c r="F558" s="816"/>
      <c r="G558" s="1051"/>
      <c r="H558" s="1055"/>
      <c r="I558" s="1056"/>
      <c r="J558" s="1113">
        <v>948000</v>
      </c>
    </row>
    <row r="559" spans="1:10" s="885" customFormat="1" ht="44.25" customHeight="1" x14ac:dyDescent="0.2">
      <c r="A559" s="832"/>
      <c r="B559" s="884" t="s">
        <v>1617</v>
      </c>
      <c r="C559" s="816">
        <v>755000</v>
      </c>
      <c r="D559" s="816">
        <v>755000</v>
      </c>
      <c r="E559" s="816">
        <v>755000</v>
      </c>
      <c r="F559" s="816"/>
      <c r="G559" s="1051"/>
      <c r="H559" s="1055"/>
      <c r="I559" s="670"/>
      <c r="J559" s="1115">
        <v>0</v>
      </c>
    </row>
    <row r="560" spans="1:10" s="885" customFormat="1" ht="38.25" customHeight="1" x14ac:dyDescent="0.2">
      <c r="A560" s="832"/>
      <c r="B560" s="884" t="s">
        <v>1618</v>
      </c>
      <c r="C560" s="816">
        <v>320000</v>
      </c>
      <c r="D560" s="816">
        <f>320000-70122</f>
        <v>249878</v>
      </c>
      <c r="E560" s="816">
        <v>249878</v>
      </c>
      <c r="F560" s="816"/>
      <c r="G560" s="1051"/>
      <c r="H560" s="1055"/>
      <c r="I560" s="670"/>
      <c r="J560" s="1115">
        <v>0</v>
      </c>
    </row>
    <row r="561" spans="1:10" s="885" customFormat="1" ht="30" customHeight="1" x14ac:dyDescent="0.2">
      <c r="A561" s="832"/>
      <c r="B561" s="884"/>
      <c r="C561" s="816"/>
      <c r="D561" s="816"/>
      <c r="E561" s="816"/>
      <c r="F561" s="816"/>
      <c r="G561" s="816"/>
      <c r="H561" s="816"/>
      <c r="I561" s="1056"/>
      <c r="J561" s="1113"/>
    </row>
    <row r="562" spans="1:10" s="885" customFormat="1" ht="30" customHeight="1" x14ac:dyDescent="0.2">
      <c r="A562" s="730">
        <v>3113</v>
      </c>
      <c r="B562" s="888" t="s">
        <v>644</v>
      </c>
      <c r="C562" s="798">
        <f>SUM(C563:C566)</f>
        <v>34258000</v>
      </c>
      <c r="D562" s="798">
        <f>SUM(D563:D566)</f>
        <v>45416146.120000005</v>
      </c>
      <c r="E562" s="798">
        <v>45416146.119999997</v>
      </c>
      <c r="F562" s="695">
        <f>SUM(E563:E566)</f>
        <v>45416146.120000005</v>
      </c>
      <c r="G562" s="630"/>
      <c r="H562" s="1052"/>
      <c r="I562" s="631"/>
      <c r="J562" s="1113">
        <v>17403024.539999999</v>
      </c>
    </row>
    <row r="563" spans="1:10" s="885" customFormat="1" ht="30" customHeight="1" x14ac:dyDescent="0.2">
      <c r="A563" s="730"/>
      <c r="B563" s="884" t="s">
        <v>645</v>
      </c>
      <c r="C563" s="816">
        <v>400000</v>
      </c>
      <c r="D563" s="816">
        <f>400000+6348-2107-96284-30000-58074-60000-60000-38800+(-29100-900)</f>
        <v>31083</v>
      </c>
      <c r="E563" s="816">
        <v>31083</v>
      </c>
      <c r="F563" s="816"/>
      <c r="G563" s="1051"/>
      <c r="H563" s="1055"/>
      <c r="I563" s="1056"/>
      <c r="J563" s="1113">
        <v>80373</v>
      </c>
    </row>
    <row r="564" spans="1:10" s="885" customFormat="1" ht="30" customHeight="1" x14ac:dyDescent="0.2">
      <c r="A564" s="832"/>
      <c r="B564" s="884" t="s">
        <v>646</v>
      </c>
      <c r="C564" s="695">
        <f t="shared" ref="C564:D566" si="14">+C569+C574+C579+C584</f>
        <v>26483000</v>
      </c>
      <c r="D564" s="695">
        <f t="shared" si="14"/>
        <v>37643327.870000005</v>
      </c>
      <c r="E564" s="695">
        <f t="shared" ref="E564:E566" si="15">SUM(E569,E574,E579,E584)</f>
        <v>37643327.870000005</v>
      </c>
      <c r="F564" s="695"/>
      <c r="G564" s="1051"/>
      <c r="H564" s="1055"/>
      <c r="I564" s="1056"/>
      <c r="J564" s="1113">
        <v>12660781.380000001</v>
      </c>
    </row>
    <row r="565" spans="1:10" s="885" customFormat="1" ht="30" customHeight="1" x14ac:dyDescent="0.2">
      <c r="A565" s="832"/>
      <c r="B565" s="884" t="s">
        <v>647</v>
      </c>
      <c r="C565" s="695">
        <f t="shared" si="14"/>
        <v>2985000</v>
      </c>
      <c r="D565" s="695">
        <f t="shared" si="14"/>
        <v>3894359</v>
      </c>
      <c r="E565" s="695">
        <f t="shared" si="15"/>
        <v>3894359</v>
      </c>
      <c r="F565" s="695"/>
      <c r="G565" s="1051"/>
      <c r="H565" s="1055"/>
      <c r="I565" s="1056"/>
      <c r="J565" s="1113">
        <v>36300</v>
      </c>
    </row>
    <row r="566" spans="1:10" s="885" customFormat="1" ht="30" customHeight="1" x14ac:dyDescent="0.2">
      <c r="A566" s="832"/>
      <c r="B566" s="884" t="s">
        <v>648</v>
      </c>
      <c r="C566" s="889">
        <f t="shared" si="14"/>
        <v>4390000</v>
      </c>
      <c r="D566" s="889">
        <f t="shared" si="14"/>
        <v>3847376.25</v>
      </c>
      <c r="E566" s="889">
        <f t="shared" si="15"/>
        <v>3847376.25</v>
      </c>
      <c r="F566" s="889"/>
      <c r="G566" s="1051"/>
      <c r="H566" s="1055"/>
      <c r="I566" s="1056"/>
      <c r="J566" s="1113">
        <v>4625570.16</v>
      </c>
    </row>
    <row r="567" spans="1:10" s="877" customFormat="1" ht="30" customHeight="1" x14ac:dyDescent="0.2">
      <c r="A567" s="832"/>
      <c r="B567" s="884"/>
      <c r="C567" s="889"/>
      <c r="D567" s="889"/>
      <c r="E567" s="889"/>
      <c r="F567" s="889"/>
      <c r="G567" s="889"/>
      <c r="H567" s="889"/>
      <c r="I567" s="1056"/>
      <c r="J567" s="1113"/>
    </row>
    <row r="568" spans="1:10" s="885" customFormat="1" ht="30" customHeight="1" x14ac:dyDescent="0.2">
      <c r="A568" s="832"/>
      <c r="B568" s="884" t="s">
        <v>1619</v>
      </c>
      <c r="C568" s="798">
        <f>SUM(C569:C571)</f>
        <v>10197000</v>
      </c>
      <c r="D568" s="798">
        <f>SUM(D569:D571)</f>
        <v>15808953.65</v>
      </c>
      <c r="E568" s="798">
        <v>15808953.65</v>
      </c>
      <c r="F568" s="1094">
        <f>SUM(E569:E571)</f>
        <v>15808953.65</v>
      </c>
      <c r="G568" s="630"/>
      <c r="H568" s="1052"/>
      <c r="I568" s="631"/>
      <c r="J568" s="1113">
        <v>5726529.5700000003</v>
      </c>
    </row>
    <row r="569" spans="1:10" s="885" customFormat="1" ht="30" customHeight="1" x14ac:dyDescent="0.2">
      <c r="A569" s="832"/>
      <c r="B569" s="884" t="s">
        <v>1620</v>
      </c>
      <c r="C569" s="816">
        <f>9447000</f>
        <v>9447000</v>
      </c>
      <c r="D569" s="816">
        <f>9447000+(4752.88+26932.97)+(-1607.13-9107.07)+(949089.62+3130384.38)-3504+262743+(4900+44100)</f>
        <v>13855684.65</v>
      </c>
      <c r="E569" s="816">
        <v>13855684.65</v>
      </c>
      <c r="F569" s="816"/>
      <c r="G569" s="1051"/>
      <c r="H569" s="1055"/>
      <c r="I569" s="1056"/>
      <c r="J569" s="1113">
        <v>3202951.28</v>
      </c>
    </row>
    <row r="570" spans="1:10" s="885" customFormat="1" ht="30" customHeight="1" x14ac:dyDescent="0.2">
      <c r="A570" s="832"/>
      <c r="B570" s="884" t="s">
        <v>1621</v>
      </c>
      <c r="C570" s="816">
        <v>150000</v>
      </c>
      <c r="D570" s="816">
        <f>150000+(89825+296450)</f>
        <v>536275</v>
      </c>
      <c r="E570" s="816">
        <v>536275</v>
      </c>
      <c r="F570" s="816"/>
      <c r="G570" s="1051"/>
      <c r="H570" s="1055"/>
      <c r="I570" s="670"/>
      <c r="J570" s="1115">
        <v>0</v>
      </c>
    </row>
    <row r="571" spans="1:10" s="885" customFormat="1" ht="30" customHeight="1" x14ac:dyDescent="0.2">
      <c r="A571" s="832"/>
      <c r="B571" s="884" t="s">
        <v>1982</v>
      </c>
      <c r="C571" s="816">
        <f>500000+600000-500000</f>
        <v>600000</v>
      </c>
      <c r="D571" s="816">
        <f>500000+600000-500000+603790+213204</f>
        <v>1416994</v>
      </c>
      <c r="E571" s="816">
        <v>1416994</v>
      </c>
      <c r="F571" s="816"/>
      <c r="G571" s="1051"/>
      <c r="H571" s="1055"/>
      <c r="I571" s="670"/>
      <c r="J571" s="1115">
        <v>2523578.29</v>
      </c>
    </row>
    <row r="572" spans="1:10" s="885" customFormat="1" ht="30" customHeight="1" x14ac:dyDescent="0.2">
      <c r="A572" s="832"/>
      <c r="B572" s="884"/>
      <c r="C572" s="695"/>
      <c r="D572" s="695"/>
      <c r="E572" s="695"/>
      <c r="F572" s="695"/>
      <c r="G572" s="695"/>
      <c r="H572" s="695"/>
      <c r="I572" s="1056"/>
      <c r="J572" s="1113"/>
    </row>
    <row r="573" spans="1:10" s="885" customFormat="1" ht="30" customHeight="1" x14ac:dyDescent="0.2">
      <c r="A573" s="832"/>
      <c r="B573" s="884" t="s">
        <v>1623</v>
      </c>
      <c r="C573" s="798">
        <f>SUM(C574:C576)</f>
        <v>6765000</v>
      </c>
      <c r="D573" s="798">
        <f>SUM(D574:D576)</f>
        <v>10195051.449999999</v>
      </c>
      <c r="E573" s="798">
        <v>10195051.449999999</v>
      </c>
      <c r="F573" s="1094">
        <f>SUM(E574:E576)</f>
        <v>10195051.449999999</v>
      </c>
      <c r="G573" s="630"/>
      <c r="H573" s="1052"/>
      <c r="I573" s="631"/>
      <c r="J573" s="1113">
        <v>1867186.7</v>
      </c>
    </row>
    <row r="574" spans="1:10" s="885" customFormat="1" ht="30" customHeight="1" x14ac:dyDescent="0.2">
      <c r="A574" s="832"/>
      <c r="B574" s="884" t="s">
        <v>1624</v>
      </c>
      <c r="C574" s="816">
        <v>5565000</v>
      </c>
      <c r="D574" s="816">
        <f>5565000+(1005316.48+3315837.52)+(1806.05+10234.3)+5595+(-1051.79-5960.11)+(7519+67671)</f>
        <v>9971967.4499999993</v>
      </c>
      <c r="E574" s="816">
        <v>9971967.4499999993</v>
      </c>
      <c r="F574" s="816"/>
      <c r="G574" s="1051"/>
      <c r="H574" s="1055"/>
      <c r="I574" s="1056"/>
      <c r="J574" s="1113">
        <v>1867186.1</v>
      </c>
    </row>
    <row r="575" spans="1:10" s="885" customFormat="1" ht="36.75" customHeight="1" x14ac:dyDescent="0.2">
      <c r="A575" s="832"/>
      <c r="B575" s="884" t="s">
        <v>1625</v>
      </c>
      <c r="C575" s="816">
        <v>0</v>
      </c>
      <c r="D575" s="816">
        <f>96800+96284+30000</f>
        <v>223084</v>
      </c>
      <c r="E575" s="816">
        <v>223084</v>
      </c>
      <c r="F575" s="816"/>
      <c r="G575" s="1051"/>
      <c r="H575" s="1055"/>
      <c r="I575" s="670"/>
      <c r="J575" s="1115">
        <v>0</v>
      </c>
    </row>
    <row r="576" spans="1:10" s="885" customFormat="1" ht="30" customHeight="1" x14ac:dyDescent="0.2">
      <c r="A576" s="832"/>
      <c r="B576" s="884" t="s">
        <v>1626</v>
      </c>
      <c r="C576" s="816">
        <f>1200000</f>
        <v>1200000</v>
      </c>
      <c r="D576" s="816">
        <f>1200000-1200000</f>
        <v>0</v>
      </c>
      <c r="E576" s="816">
        <v>0</v>
      </c>
      <c r="F576" s="816"/>
      <c r="G576" s="1051"/>
      <c r="H576" s="1055"/>
      <c r="I576" s="1056"/>
      <c r="J576" s="1113">
        <v>0</v>
      </c>
    </row>
    <row r="577" spans="1:10" s="885" customFormat="1" ht="30" customHeight="1" x14ac:dyDescent="0.2">
      <c r="A577" s="832"/>
      <c r="B577" s="884"/>
      <c r="C577" s="695"/>
      <c r="D577" s="695"/>
      <c r="E577" s="695"/>
      <c r="F577" s="695"/>
      <c r="G577" s="695"/>
      <c r="H577" s="695"/>
      <c r="I577" s="1056"/>
      <c r="J577" s="1113"/>
    </row>
    <row r="578" spans="1:10" s="885" customFormat="1" ht="30" customHeight="1" x14ac:dyDescent="0.2">
      <c r="A578" s="832"/>
      <c r="B578" s="884" t="s">
        <v>1627</v>
      </c>
      <c r="C578" s="798">
        <f>SUM(C579:C581)</f>
        <v>7346000</v>
      </c>
      <c r="D578" s="798">
        <f>SUM(D579:D581)</f>
        <v>7295786.9799999995</v>
      </c>
      <c r="E578" s="798">
        <v>7295786.9800000004</v>
      </c>
      <c r="F578" s="695">
        <f>SUM(E579:E581)</f>
        <v>7295786.9799999995</v>
      </c>
      <c r="G578" s="630"/>
      <c r="H578" s="1052"/>
      <c r="I578" s="631"/>
      <c r="J578" s="1113">
        <v>7106635.2699999996</v>
      </c>
    </row>
    <row r="579" spans="1:10" s="885" customFormat="1" ht="30" customHeight="1" x14ac:dyDescent="0.2">
      <c r="A579" s="832"/>
      <c r="B579" s="884" t="s">
        <v>1628</v>
      </c>
      <c r="C579" s="816">
        <v>4661000</v>
      </c>
      <c r="D579" s="816">
        <f>4661000+(5713.08+32374.09)+(-177.66-1006.74)+(6798+61182)</f>
        <v>4765882.7699999996</v>
      </c>
      <c r="E579" s="816">
        <v>4765882.7699999996</v>
      </c>
      <c r="F579" s="816"/>
      <c r="G579" s="1051"/>
      <c r="H579" s="1055"/>
      <c r="I579" s="1056"/>
      <c r="J579" s="1113">
        <v>5004643.4000000004</v>
      </c>
    </row>
    <row r="580" spans="1:10" s="885" customFormat="1" ht="30" customHeight="1" x14ac:dyDescent="0.2">
      <c r="A580" s="832"/>
      <c r="B580" s="884" t="s">
        <v>1629</v>
      </c>
      <c r="C580" s="816">
        <v>1285000</v>
      </c>
      <c r="D580" s="816">
        <f>1285000</f>
        <v>1285000</v>
      </c>
      <c r="E580" s="816">
        <v>1285000</v>
      </c>
      <c r="F580" s="816"/>
      <c r="G580" s="1051"/>
      <c r="H580" s="1055"/>
      <c r="I580" s="670"/>
      <c r="J580" s="1115">
        <v>0</v>
      </c>
    </row>
    <row r="581" spans="1:10" s="885" customFormat="1" ht="30" customHeight="1" x14ac:dyDescent="0.2">
      <c r="A581" s="832"/>
      <c r="B581" s="884" t="s">
        <v>1630</v>
      </c>
      <c r="C581" s="816">
        <f>1400000</f>
        <v>1400000</v>
      </c>
      <c r="D581" s="816">
        <f>1400000-155095.79</f>
        <v>1244904.21</v>
      </c>
      <c r="E581" s="816">
        <v>1244904.21</v>
      </c>
      <c r="F581" s="816"/>
      <c r="G581" s="1051"/>
      <c r="H581" s="1055"/>
      <c r="I581" s="1056"/>
      <c r="J581" s="1115">
        <v>2101991.87</v>
      </c>
    </row>
    <row r="582" spans="1:10" s="885" customFormat="1" ht="30" customHeight="1" x14ac:dyDescent="0.2">
      <c r="A582" s="832"/>
      <c r="B582" s="884"/>
      <c r="C582" s="795"/>
      <c r="D582" s="795"/>
      <c r="E582" s="795"/>
      <c r="F582" s="816"/>
      <c r="G582" s="795"/>
      <c r="H582" s="795"/>
      <c r="I582" s="1056"/>
      <c r="J582" s="1113"/>
    </row>
    <row r="583" spans="1:10" s="885" customFormat="1" ht="30" customHeight="1" x14ac:dyDescent="0.2">
      <c r="A583" s="832"/>
      <c r="B583" s="884" t="s">
        <v>1631</v>
      </c>
      <c r="C583" s="798">
        <f>SUM(C584:C586)</f>
        <v>9550000</v>
      </c>
      <c r="D583" s="798">
        <f>SUM(D584:D586)</f>
        <v>12085271.039999999</v>
      </c>
      <c r="E583" s="798">
        <v>12085271.039999999</v>
      </c>
      <c r="F583" s="695">
        <f>SUM(E584:E586)</f>
        <v>12085271.039999999</v>
      </c>
      <c r="G583" s="630"/>
      <c r="H583" s="1052"/>
      <c r="I583" s="631"/>
      <c r="J583" s="1113">
        <v>2622300</v>
      </c>
    </row>
    <row r="584" spans="1:10" s="885" customFormat="1" ht="30" customHeight="1" x14ac:dyDescent="0.2">
      <c r="A584" s="832"/>
      <c r="B584" s="884" t="s">
        <v>1632</v>
      </c>
      <c r="C584" s="816">
        <v>6810000</v>
      </c>
      <c r="D584" s="816">
        <f>6810000+5208+(519876.2+1714708.8)</f>
        <v>9049793</v>
      </c>
      <c r="E584" s="816">
        <v>9049793</v>
      </c>
      <c r="F584" s="816"/>
      <c r="G584" s="1051"/>
      <c r="H584" s="1055"/>
      <c r="I584" s="1056"/>
      <c r="J584" s="1113">
        <v>2586000</v>
      </c>
    </row>
    <row r="585" spans="1:10" s="885" customFormat="1" ht="30" customHeight="1" x14ac:dyDescent="0.2">
      <c r="A585" s="832"/>
      <c r="B585" s="884" t="s">
        <v>1633</v>
      </c>
      <c r="C585" s="816">
        <f>3250000-1700000</f>
        <v>1550000</v>
      </c>
      <c r="D585" s="816">
        <f>3250000-1700000+300000</f>
        <v>1850000</v>
      </c>
      <c r="E585" s="816">
        <v>1850000</v>
      </c>
      <c r="F585" s="816"/>
      <c r="G585" s="1051"/>
      <c r="H585" s="1055"/>
      <c r="I585" s="670"/>
      <c r="J585" s="1115">
        <v>36300</v>
      </c>
    </row>
    <row r="586" spans="1:10" s="885" customFormat="1" ht="30" customHeight="1" x14ac:dyDescent="0.2">
      <c r="A586" s="832"/>
      <c r="B586" s="884" t="s">
        <v>1634</v>
      </c>
      <c r="C586" s="816">
        <f>1190000</f>
        <v>1190000</v>
      </c>
      <c r="D586" s="816">
        <f>1190000+1700000+(-1100000-30000+48400+160000)-700000-82921.96</f>
        <v>1185478.04</v>
      </c>
      <c r="E586" s="816">
        <v>1185478.04</v>
      </c>
      <c r="F586" s="816"/>
      <c r="G586" s="1051"/>
      <c r="H586" s="1055"/>
      <c r="I586" s="670"/>
      <c r="J586" s="1115">
        <v>0</v>
      </c>
    </row>
    <row r="587" spans="1:10" s="885" customFormat="1" ht="30" customHeight="1" x14ac:dyDescent="0.2">
      <c r="A587" s="832"/>
      <c r="B587" s="884"/>
      <c r="C587" s="816"/>
      <c r="D587" s="816"/>
      <c r="E587" s="816"/>
      <c r="F587" s="816"/>
      <c r="G587" s="816"/>
      <c r="H587" s="816"/>
      <c r="I587" s="1056"/>
      <c r="J587" s="1113"/>
    </row>
    <row r="588" spans="1:10" s="885" customFormat="1" ht="30" customHeight="1" x14ac:dyDescent="0.2">
      <c r="A588" s="730">
        <v>3233</v>
      </c>
      <c r="B588" s="888" t="s">
        <v>665</v>
      </c>
      <c r="C588" s="798">
        <f>C589</f>
        <v>2670000</v>
      </c>
      <c r="D588" s="798">
        <f>D589</f>
        <v>5424473</v>
      </c>
      <c r="E588" s="798">
        <v>5424473</v>
      </c>
      <c r="F588" s="695"/>
      <c r="G588" s="630"/>
      <c r="H588" s="1052"/>
      <c r="I588" s="631"/>
      <c r="J588" s="1113">
        <v>3418946.05</v>
      </c>
    </row>
    <row r="589" spans="1:10" s="885" customFormat="1" ht="30" customHeight="1" x14ac:dyDescent="0.2">
      <c r="A589" s="730"/>
      <c r="B589" s="884" t="s">
        <v>1635</v>
      </c>
      <c r="C589" s="889">
        <f>SUM(C590:C592)</f>
        <v>2670000</v>
      </c>
      <c r="D589" s="889">
        <f>SUM(D590:D592)</f>
        <v>5424473</v>
      </c>
      <c r="E589" s="889">
        <v>5424473</v>
      </c>
      <c r="F589" s="889">
        <f>SUM(E590:E592)</f>
        <v>5424473</v>
      </c>
      <c r="G589" s="1051"/>
      <c r="H589" s="1055"/>
      <c r="I589" s="1056"/>
      <c r="J589" s="1113">
        <v>3418946.05</v>
      </c>
    </row>
    <row r="590" spans="1:10" s="885" customFormat="1" ht="30" customHeight="1" x14ac:dyDescent="0.2">
      <c r="A590" s="730"/>
      <c r="B590" s="884" t="s">
        <v>1636</v>
      </c>
      <c r="C590" s="816">
        <v>2267000</v>
      </c>
      <c r="D590" s="816">
        <f>2267000+210200+(551883.72+1820279.28)+170400+30000-28290</f>
        <v>5021473</v>
      </c>
      <c r="E590" s="816">
        <v>5021473</v>
      </c>
      <c r="F590" s="816"/>
      <c r="G590" s="1051"/>
      <c r="H590" s="1055"/>
      <c r="I590" s="1056"/>
      <c r="J590" s="1113">
        <v>9560000</v>
      </c>
    </row>
    <row r="591" spans="1:10" s="885" customFormat="1" ht="30" customHeight="1" x14ac:dyDescent="0.2">
      <c r="A591" s="730"/>
      <c r="B591" s="884" t="s">
        <v>1637</v>
      </c>
      <c r="C591" s="816">
        <v>275000</v>
      </c>
      <c r="D591" s="816">
        <v>275000</v>
      </c>
      <c r="E591" s="816">
        <v>275000</v>
      </c>
      <c r="F591" s="816"/>
      <c r="G591" s="1051"/>
      <c r="H591" s="1055"/>
      <c r="I591" s="670"/>
      <c r="J591" s="1115">
        <v>25319.73</v>
      </c>
    </row>
    <row r="592" spans="1:10" s="885" customFormat="1" ht="30" customHeight="1" x14ac:dyDescent="0.2">
      <c r="A592" s="730"/>
      <c r="B592" s="884" t="s">
        <v>1638</v>
      </c>
      <c r="C592" s="816">
        <f>+(4175+41+87-175-4000)*1000</f>
        <v>128000</v>
      </c>
      <c r="D592" s="816">
        <f>+(4175+41+87-175-4000)*1000</f>
        <v>128000</v>
      </c>
      <c r="E592" s="816">
        <v>128000</v>
      </c>
      <c r="F592" s="816"/>
      <c r="G592" s="1051"/>
      <c r="H592" s="1055"/>
      <c r="I592" s="670"/>
      <c r="J592" s="1115">
        <v>2437626.3199999998</v>
      </c>
    </row>
    <row r="593" spans="1:10" s="877" customFormat="1" ht="30" customHeight="1" x14ac:dyDescent="0.2">
      <c r="A593" s="730">
        <v>3419</v>
      </c>
      <c r="B593" s="888" t="s">
        <v>1639</v>
      </c>
      <c r="C593" s="795">
        <v>80000</v>
      </c>
      <c r="D593" s="795">
        <f>80000+2107</f>
        <v>82107</v>
      </c>
      <c r="E593" s="795">
        <v>82107</v>
      </c>
      <c r="F593" s="816"/>
      <c r="G593" s="630"/>
      <c r="H593" s="1052"/>
      <c r="I593" s="631"/>
      <c r="J593" s="1113">
        <v>44909.7</v>
      </c>
    </row>
    <row r="594" spans="1:10" s="877" customFormat="1" ht="30" customHeight="1" x14ac:dyDescent="0.25">
      <c r="A594" s="802"/>
      <c r="B594" s="878" t="s">
        <v>671</v>
      </c>
      <c r="C594" s="702">
        <f>SUM(C595,C598,C601,C606,C609,C616)</f>
        <v>47038000</v>
      </c>
      <c r="D594" s="702">
        <f>SUM(D595,D598,D601,D606,D609,D616)</f>
        <v>47687500.730000004</v>
      </c>
      <c r="E594" s="702">
        <v>47069154.57</v>
      </c>
      <c r="F594" s="1116"/>
      <c r="G594" s="623"/>
      <c r="H594" s="623"/>
      <c r="I594" s="741"/>
      <c r="J594" s="1113">
        <v>29051555.809999999</v>
      </c>
    </row>
    <row r="595" spans="1:10" s="877" customFormat="1" ht="30" customHeight="1" x14ac:dyDescent="0.2">
      <c r="A595" s="891">
        <v>3311</v>
      </c>
      <c r="B595" s="892" t="s">
        <v>1640</v>
      </c>
      <c r="C595" s="795">
        <f>SUM(C596:C597)</f>
        <v>14547000</v>
      </c>
      <c r="D595" s="795">
        <f>SUM(D596:D597)</f>
        <v>13903358</v>
      </c>
      <c r="E595" s="795">
        <v>13903358</v>
      </c>
      <c r="F595" s="816">
        <f>SUM(E596:E597)</f>
        <v>13903358</v>
      </c>
      <c r="G595" s="630"/>
      <c r="H595" s="1052"/>
      <c r="I595" s="631"/>
      <c r="J595" s="1113">
        <v>15725723.52</v>
      </c>
    </row>
    <row r="596" spans="1:10" s="877" customFormat="1" ht="30" customHeight="1" x14ac:dyDescent="0.2">
      <c r="A596" s="893"/>
      <c r="B596" s="894" t="s">
        <v>1641</v>
      </c>
      <c r="C596" s="816">
        <v>14547000</v>
      </c>
      <c r="D596" s="816">
        <f>14547000-45455-98187-200000-300000</f>
        <v>13903358</v>
      </c>
      <c r="E596" s="816">
        <v>13903358</v>
      </c>
      <c r="F596" s="816"/>
      <c r="G596" s="1051"/>
      <c r="H596" s="1055"/>
      <c r="I596" s="1056"/>
      <c r="J596" s="1113">
        <v>6300000</v>
      </c>
    </row>
    <row r="597" spans="1:10" s="877" customFormat="1" ht="30" customHeight="1" x14ac:dyDescent="0.2">
      <c r="A597" s="893"/>
      <c r="B597" s="894" t="s">
        <v>1642</v>
      </c>
      <c r="C597" s="816">
        <v>0</v>
      </c>
      <c r="D597" s="816">
        <v>0</v>
      </c>
      <c r="E597" s="816">
        <v>0</v>
      </c>
      <c r="F597" s="816"/>
      <c r="G597" s="1051"/>
      <c r="H597" s="1055"/>
      <c r="I597" s="1056"/>
      <c r="J597" s="1113">
        <v>9425723.5199999996</v>
      </c>
    </row>
    <row r="598" spans="1:10" s="885" customFormat="1" ht="30" customHeight="1" x14ac:dyDescent="0.2">
      <c r="A598" s="895">
        <v>3319</v>
      </c>
      <c r="B598" s="896" t="s">
        <v>676</v>
      </c>
      <c r="C598" s="798">
        <f>SUM(C599:C600)</f>
        <v>1160000</v>
      </c>
      <c r="D598" s="798">
        <f>SUM(D599:D600)</f>
        <v>1165000</v>
      </c>
      <c r="E598" s="798">
        <v>909335.31</v>
      </c>
      <c r="F598" s="695">
        <f>SUM(E599:E600)</f>
        <v>0</v>
      </c>
      <c r="G598" s="630"/>
      <c r="H598" s="1052"/>
      <c r="I598" s="631"/>
      <c r="J598" s="1113">
        <v>205056</v>
      </c>
    </row>
    <row r="599" spans="1:10" s="885" customFormat="1" ht="30" customHeight="1" x14ac:dyDescent="0.2">
      <c r="A599" s="895"/>
      <c r="B599" s="894" t="s">
        <v>1643</v>
      </c>
      <c r="C599" s="816">
        <v>530000</v>
      </c>
      <c r="D599" s="816">
        <v>530000</v>
      </c>
      <c r="E599" s="816"/>
      <c r="F599" s="816"/>
      <c r="G599" s="1051"/>
      <c r="H599" s="1055"/>
      <c r="I599" s="1056"/>
      <c r="J599" s="1113">
        <v>67551</v>
      </c>
    </row>
    <row r="600" spans="1:10" s="885" customFormat="1" ht="30" customHeight="1" x14ac:dyDescent="0.2">
      <c r="A600" s="895"/>
      <c r="B600" s="897" t="s">
        <v>678</v>
      </c>
      <c r="C600" s="816">
        <v>630000</v>
      </c>
      <c r="D600" s="816">
        <f>630000+5000</f>
        <v>635000</v>
      </c>
      <c r="E600" s="816"/>
      <c r="F600" s="816"/>
      <c r="G600" s="1051"/>
      <c r="H600" s="1055"/>
      <c r="I600" s="1056"/>
      <c r="J600" s="1113">
        <v>137505</v>
      </c>
    </row>
    <row r="601" spans="1:10" s="885" customFormat="1" ht="30" customHeight="1" x14ac:dyDescent="0.2">
      <c r="A601" s="895" t="s">
        <v>1644</v>
      </c>
      <c r="B601" s="896" t="s">
        <v>679</v>
      </c>
      <c r="C601" s="798">
        <f>C602+C603+C604+C605</f>
        <v>811000</v>
      </c>
      <c r="D601" s="798">
        <f>D602+D603+D604+D605</f>
        <v>530570</v>
      </c>
      <c r="E601" s="798">
        <v>370650</v>
      </c>
      <c r="F601" s="695">
        <f>SUM(E602:E605)</f>
        <v>0</v>
      </c>
      <c r="G601" s="630"/>
      <c r="H601" s="1052"/>
      <c r="I601" s="631"/>
      <c r="J601" s="1113">
        <v>0</v>
      </c>
    </row>
    <row r="602" spans="1:10" s="885" customFormat="1" ht="30" customHeight="1" x14ac:dyDescent="0.2">
      <c r="A602" s="893"/>
      <c r="B602" s="894" t="s">
        <v>1645</v>
      </c>
      <c r="C602" s="816">
        <v>20000</v>
      </c>
      <c r="D602" s="816">
        <f>20000-20000</f>
        <v>0</v>
      </c>
      <c r="E602" s="816">
        <v>0</v>
      </c>
      <c r="F602" s="816"/>
      <c r="G602" s="1051"/>
      <c r="H602" s="1055"/>
      <c r="I602" s="1056"/>
      <c r="J602" s="1113">
        <v>0</v>
      </c>
    </row>
    <row r="603" spans="1:10" s="885" customFormat="1" ht="30" customHeight="1" x14ac:dyDescent="0.2">
      <c r="A603" s="893"/>
      <c r="B603" s="894" t="s">
        <v>1646</v>
      </c>
      <c r="C603" s="816">
        <v>100000</v>
      </c>
      <c r="D603" s="816">
        <v>100000</v>
      </c>
      <c r="E603" s="816"/>
      <c r="F603" s="816"/>
      <c r="G603" s="1051"/>
      <c r="H603" s="1055"/>
      <c r="I603" s="1056"/>
      <c r="J603" s="1113">
        <v>0</v>
      </c>
    </row>
    <row r="604" spans="1:10" s="885" customFormat="1" ht="30" customHeight="1" x14ac:dyDescent="0.2">
      <c r="A604" s="893"/>
      <c r="B604" s="894" t="s">
        <v>1647</v>
      </c>
      <c r="C604" s="816">
        <v>91000</v>
      </c>
      <c r="D604" s="816">
        <v>91000</v>
      </c>
      <c r="E604" s="816"/>
      <c r="F604" s="816"/>
      <c r="G604" s="1051"/>
      <c r="H604" s="1055"/>
      <c r="I604" s="670"/>
      <c r="J604" s="1115">
        <v>0</v>
      </c>
    </row>
    <row r="605" spans="1:10" s="877" customFormat="1" ht="30" customHeight="1" x14ac:dyDescent="0.2">
      <c r="A605" s="893"/>
      <c r="B605" s="894" t="s">
        <v>1648</v>
      </c>
      <c r="C605" s="816">
        <v>600000</v>
      </c>
      <c r="D605" s="816">
        <f>600000+19570+100000-380000</f>
        <v>339570</v>
      </c>
      <c r="E605" s="816"/>
      <c r="F605" s="816"/>
      <c r="G605" s="1051"/>
      <c r="H605" s="1055"/>
      <c r="I605" s="670"/>
      <c r="J605" s="1115">
        <v>0</v>
      </c>
    </row>
    <row r="606" spans="1:10" s="877" customFormat="1" ht="30" customHeight="1" x14ac:dyDescent="0.2">
      <c r="A606" s="895" t="s">
        <v>1649</v>
      </c>
      <c r="B606" s="896" t="s">
        <v>684</v>
      </c>
      <c r="C606" s="798">
        <f>C607+C608</f>
        <v>1715000</v>
      </c>
      <c r="D606" s="798">
        <f>D607+D608</f>
        <v>565000</v>
      </c>
      <c r="E606" s="798">
        <v>421757.53</v>
      </c>
      <c r="F606" s="695">
        <f>SUM(E607:E608)</f>
        <v>421777.53</v>
      </c>
      <c r="G606" s="630"/>
      <c r="H606" s="1052"/>
      <c r="I606" s="631"/>
      <c r="J606" s="1113">
        <v>1398.29</v>
      </c>
    </row>
    <row r="607" spans="1:10" s="877" customFormat="1" ht="30" customHeight="1" x14ac:dyDescent="0.2">
      <c r="A607" s="893"/>
      <c r="B607" s="894" t="s">
        <v>1650</v>
      </c>
      <c r="C607" s="816">
        <v>1700000</v>
      </c>
      <c r="D607" s="816">
        <f>1700000-1150000</f>
        <v>550000</v>
      </c>
      <c r="E607" s="816">
        <v>419363.01</v>
      </c>
      <c r="F607" s="816"/>
      <c r="G607" s="1051"/>
      <c r="H607" s="1055"/>
      <c r="I607" s="670"/>
      <c r="J607" s="1113">
        <v>0</v>
      </c>
    </row>
    <row r="608" spans="1:10" s="877" customFormat="1" ht="30" customHeight="1" x14ac:dyDescent="0.2">
      <c r="A608" s="893"/>
      <c r="B608" s="894" t="s">
        <v>1651</v>
      </c>
      <c r="C608" s="816">
        <v>15000</v>
      </c>
      <c r="D608" s="816">
        <v>15000</v>
      </c>
      <c r="E608" s="816">
        <v>2414.52</v>
      </c>
      <c r="F608" s="816"/>
      <c r="G608" s="1051"/>
      <c r="H608" s="1055"/>
      <c r="I608" s="1056"/>
      <c r="J608" s="1113">
        <v>1398.29</v>
      </c>
    </row>
    <row r="609" spans="1:10" s="885" customFormat="1" ht="30" customHeight="1" x14ac:dyDescent="0.2">
      <c r="A609" s="895">
        <v>3392</v>
      </c>
      <c r="B609" s="896" t="s">
        <v>687</v>
      </c>
      <c r="C609" s="798">
        <f>C611+C610</f>
        <v>28535000</v>
      </c>
      <c r="D609" s="798">
        <f>D611+D610</f>
        <v>31253572.73</v>
      </c>
      <c r="E609" s="798">
        <v>31244420.73</v>
      </c>
      <c r="F609" s="695"/>
      <c r="G609" s="630"/>
      <c r="H609" s="1052"/>
      <c r="I609" s="631"/>
      <c r="J609" s="1113">
        <v>13044852</v>
      </c>
    </row>
    <row r="610" spans="1:10" s="885" customFormat="1" ht="30" customHeight="1" x14ac:dyDescent="0.2">
      <c r="A610" s="895"/>
      <c r="B610" s="894" t="s">
        <v>688</v>
      </c>
      <c r="C610" s="816">
        <v>26000</v>
      </c>
      <c r="D610" s="816">
        <v>26000</v>
      </c>
      <c r="E610" s="816">
        <v>16848</v>
      </c>
      <c r="F610" s="816"/>
      <c r="G610" s="1051"/>
      <c r="H610" s="1055"/>
      <c r="I610" s="1056"/>
      <c r="J610" s="1113">
        <v>955</v>
      </c>
    </row>
    <row r="611" spans="1:10" s="885" customFormat="1" ht="30" customHeight="1" x14ac:dyDescent="0.2">
      <c r="A611" s="893"/>
      <c r="B611" s="894" t="s">
        <v>1652</v>
      </c>
      <c r="C611" s="798">
        <f>SUM(C612+C614+C615)</f>
        <v>28509000</v>
      </c>
      <c r="D611" s="798">
        <f>SUM(D612+D614+D615)</f>
        <v>31227572.73</v>
      </c>
      <c r="E611" s="798">
        <v>31227572.73</v>
      </c>
      <c r="F611" s="695">
        <f>SUM(E612:E615)</f>
        <v>31227572.73</v>
      </c>
      <c r="G611" s="630"/>
      <c r="H611" s="1052"/>
      <c r="I611" s="631"/>
      <c r="J611" s="1113">
        <v>13043897</v>
      </c>
    </row>
    <row r="612" spans="1:10" s="885" customFormat="1" ht="30" customHeight="1" x14ac:dyDescent="0.2">
      <c r="A612" s="893"/>
      <c r="B612" s="894" t="s">
        <v>1653</v>
      </c>
      <c r="C612" s="816">
        <v>27025000</v>
      </c>
      <c r="D612" s="816">
        <f>27025000+4551000+4562-2989.27+300000-700000+50000</f>
        <v>31227572.73</v>
      </c>
      <c r="E612" s="816">
        <v>31227572.73</v>
      </c>
      <c r="F612" s="816"/>
      <c r="G612" s="1051"/>
      <c r="H612" s="1055"/>
      <c r="I612" s="1056"/>
      <c r="J612" s="1113">
        <v>12925000</v>
      </c>
    </row>
    <row r="613" spans="1:10" s="885" customFormat="1" ht="30" customHeight="1" x14ac:dyDescent="0.2">
      <c r="A613" s="893"/>
      <c r="B613" s="894" t="s">
        <v>1654</v>
      </c>
      <c r="C613" s="816"/>
      <c r="D613" s="816"/>
      <c r="E613" s="816"/>
      <c r="F613" s="816"/>
      <c r="G613" s="1051"/>
      <c r="H613" s="1055"/>
      <c r="I613" s="1056"/>
      <c r="J613" s="1113"/>
    </row>
    <row r="614" spans="1:10" s="877" customFormat="1" ht="30" customHeight="1" x14ac:dyDescent="0.2">
      <c r="A614" s="893"/>
      <c r="B614" s="894" t="s">
        <v>1656</v>
      </c>
      <c r="C614" s="816">
        <f>484000+1000000</f>
        <v>1484000</v>
      </c>
      <c r="D614" s="816">
        <f>484000+1000000-1000000-484000</f>
        <v>0</v>
      </c>
      <c r="E614" s="816">
        <v>0</v>
      </c>
      <c r="F614" s="816"/>
      <c r="G614" s="1051"/>
      <c r="H614" s="1055"/>
      <c r="I614" s="670"/>
      <c r="J614" s="1115">
        <v>0</v>
      </c>
    </row>
    <row r="615" spans="1:10" s="877" customFormat="1" ht="30" customHeight="1" x14ac:dyDescent="0.2">
      <c r="A615" s="893"/>
      <c r="B615" s="894" t="s">
        <v>1655</v>
      </c>
      <c r="C615" s="816">
        <v>0</v>
      </c>
      <c r="D615" s="816">
        <v>0</v>
      </c>
      <c r="E615" s="816">
        <v>0</v>
      </c>
      <c r="F615" s="816"/>
      <c r="G615" s="1051"/>
      <c r="H615" s="1055"/>
      <c r="I615" s="670"/>
      <c r="J615" s="1115">
        <v>118897</v>
      </c>
    </row>
    <row r="616" spans="1:10" s="885" customFormat="1" ht="30" customHeight="1" x14ac:dyDescent="0.2">
      <c r="A616" s="895">
        <v>3399</v>
      </c>
      <c r="B616" s="896" t="s">
        <v>694</v>
      </c>
      <c r="C616" s="798">
        <f>C617</f>
        <v>270000</v>
      </c>
      <c r="D616" s="798">
        <f>D617</f>
        <v>270000</v>
      </c>
      <c r="E616" s="798">
        <v>219633</v>
      </c>
      <c r="F616" s="695"/>
      <c r="G616" s="630"/>
      <c r="H616" s="1052"/>
      <c r="I616" s="631"/>
      <c r="J616" s="1113">
        <v>74526</v>
      </c>
    </row>
    <row r="617" spans="1:10" s="885" customFormat="1" ht="30" customHeight="1" x14ac:dyDescent="0.2">
      <c r="A617" s="893"/>
      <c r="B617" s="894" t="s">
        <v>695</v>
      </c>
      <c r="C617" s="816">
        <v>270000</v>
      </c>
      <c r="D617" s="816">
        <v>270000</v>
      </c>
      <c r="E617" s="816">
        <v>219633</v>
      </c>
      <c r="F617" s="816"/>
      <c r="G617" s="1051"/>
      <c r="H617" s="1055"/>
      <c r="I617" s="1056"/>
      <c r="J617" s="1113">
        <v>74526</v>
      </c>
    </row>
    <row r="618" spans="1:10" s="885" customFormat="1" ht="30" customHeight="1" x14ac:dyDescent="0.25">
      <c r="A618" s="802"/>
      <c r="B618" s="803" t="s">
        <v>696</v>
      </c>
      <c r="C618" s="898">
        <f t="shared" ref="C618:D618" si="16">C619</f>
        <v>22384120</v>
      </c>
      <c r="D618" s="898">
        <f t="shared" si="16"/>
        <v>23080256</v>
      </c>
      <c r="E618" s="898">
        <v>21836498.75</v>
      </c>
      <c r="F618" s="1117"/>
      <c r="G618" s="623"/>
      <c r="H618" s="623"/>
      <c r="I618" s="741"/>
      <c r="J618" s="1113">
        <v>18131241.800000001</v>
      </c>
    </row>
    <row r="619" spans="1:10" s="885" customFormat="1" ht="30" customHeight="1" x14ac:dyDescent="0.2">
      <c r="A619" s="730"/>
      <c r="B619" s="880" t="s">
        <v>697</v>
      </c>
      <c r="C619" s="632">
        <f>SUM(C620:C629)</f>
        <v>22384120</v>
      </c>
      <c r="D619" s="632">
        <f>SUM(D620:D629)</f>
        <v>23080256</v>
      </c>
      <c r="E619" s="632">
        <v>21836498.75</v>
      </c>
      <c r="F619" s="1053">
        <f>SUM(E620:E629)</f>
        <v>21836498.75</v>
      </c>
      <c r="G619" s="630"/>
      <c r="H619" s="1052"/>
      <c r="I619" s="631"/>
      <c r="J619" s="1113">
        <v>18131241.800000001</v>
      </c>
    </row>
    <row r="620" spans="1:10" s="877" customFormat="1" ht="30" customHeight="1" x14ac:dyDescent="0.2">
      <c r="A620" s="832"/>
      <c r="B620" s="884" t="s">
        <v>698</v>
      </c>
      <c r="C620" s="816">
        <v>1125000</v>
      </c>
      <c r="D620" s="816">
        <v>1125000</v>
      </c>
      <c r="E620" s="816">
        <v>970000</v>
      </c>
      <c r="F620" s="816"/>
      <c r="G620" s="1051"/>
      <c r="H620" s="1055"/>
      <c r="I620" s="1056"/>
      <c r="J620" s="1113">
        <v>885000</v>
      </c>
    </row>
    <row r="621" spans="1:10" s="877" customFormat="1" ht="30" customHeight="1" x14ac:dyDescent="0.2">
      <c r="A621" s="832"/>
      <c r="B621" s="884" t="s">
        <v>699</v>
      </c>
      <c r="C621" s="816">
        <v>375000</v>
      </c>
      <c r="D621" s="816">
        <f>375000-30000-40000</f>
        <v>305000</v>
      </c>
      <c r="E621" s="816">
        <v>130500</v>
      </c>
      <c r="F621" s="816"/>
      <c r="G621" s="1051"/>
      <c r="H621" s="1055"/>
      <c r="I621" s="1056"/>
      <c r="J621" s="1113">
        <v>162800</v>
      </c>
    </row>
    <row r="622" spans="1:10" s="877" customFormat="1" ht="30" customHeight="1" x14ac:dyDescent="0.2">
      <c r="A622" s="832"/>
      <c r="B622" s="884" t="s">
        <v>700</v>
      </c>
      <c r="C622" s="816">
        <v>3700000</v>
      </c>
      <c r="D622" s="816">
        <v>3700000</v>
      </c>
      <c r="E622" s="816">
        <v>3700000</v>
      </c>
      <c r="F622" s="816"/>
      <c r="G622" s="1051"/>
      <c r="H622" s="1055"/>
      <c r="I622" s="1056"/>
      <c r="J622" s="1113">
        <v>3417000</v>
      </c>
    </row>
    <row r="623" spans="1:10" s="885" customFormat="1" ht="30" customHeight="1" x14ac:dyDescent="0.2">
      <c r="A623" s="832"/>
      <c r="B623" s="884" t="s">
        <v>701</v>
      </c>
      <c r="C623" s="816">
        <v>6150000</v>
      </c>
      <c r="D623" s="816">
        <f>6150000-200000</f>
        <v>5950000</v>
      </c>
      <c r="E623" s="816">
        <v>5929000</v>
      </c>
      <c r="F623" s="816"/>
      <c r="G623" s="1051"/>
      <c r="H623" s="1055"/>
      <c r="I623" s="1056"/>
      <c r="J623" s="1113">
        <v>5888800</v>
      </c>
    </row>
    <row r="624" spans="1:10" s="885" customFormat="1" ht="30" customHeight="1" x14ac:dyDescent="0.2">
      <c r="A624" s="832"/>
      <c r="B624" s="884" t="s">
        <v>702</v>
      </c>
      <c r="C624" s="816">
        <v>50000</v>
      </c>
      <c r="D624" s="816">
        <v>50000</v>
      </c>
      <c r="E624" s="816">
        <v>41000</v>
      </c>
      <c r="F624" s="816"/>
      <c r="G624" s="1051"/>
      <c r="H624" s="1055"/>
      <c r="I624" s="1056"/>
      <c r="J624" s="1113">
        <v>31000</v>
      </c>
    </row>
    <row r="625" spans="1:10" s="885" customFormat="1" ht="30" customHeight="1" x14ac:dyDescent="0.2">
      <c r="A625" s="832"/>
      <c r="B625" s="884" t="s">
        <v>703</v>
      </c>
      <c r="C625" s="816">
        <v>8100000</v>
      </c>
      <c r="D625" s="816">
        <v>8100000</v>
      </c>
      <c r="E625" s="816">
        <v>8100000</v>
      </c>
      <c r="F625" s="816"/>
      <c r="G625" s="1051"/>
      <c r="H625" s="1055"/>
      <c r="I625" s="1056"/>
      <c r="J625" s="1113">
        <v>4800000</v>
      </c>
    </row>
    <row r="626" spans="1:10" s="885" customFormat="1" ht="30" customHeight="1" x14ac:dyDescent="0.2">
      <c r="A626" s="832"/>
      <c r="B626" s="884" t="s">
        <v>706</v>
      </c>
      <c r="C626" s="816">
        <v>1065000</v>
      </c>
      <c r="D626" s="816">
        <f>1065000-25000-10000-10000</f>
        <v>1020000</v>
      </c>
      <c r="E626" s="816">
        <v>856500</v>
      </c>
      <c r="F626" s="816"/>
      <c r="G626" s="1051"/>
      <c r="H626" s="1055"/>
      <c r="I626" s="1056"/>
      <c r="J626" s="1113">
        <v>643000</v>
      </c>
    </row>
    <row r="627" spans="1:10" s="885" customFormat="1" ht="30" customHeight="1" x14ac:dyDescent="0.2">
      <c r="A627" s="832"/>
      <c r="B627" s="884" t="s">
        <v>707</v>
      </c>
      <c r="C627" s="816">
        <v>135000</v>
      </c>
      <c r="D627" s="816">
        <v>135000</v>
      </c>
      <c r="E627" s="816">
        <v>50538</v>
      </c>
      <c r="F627" s="816"/>
      <c r="G627" s="1051"/>
      <c r="H627" s="1055"/>
      <c r="I627" s="1056"/>
      <c r="J627" s="1113">
        <v>84000</v>
      </c>
    </row>
    <row r="628" spans="1:10" s="885" customFormat="1" ht="30" customHeight="1" x14ac:dyDescent="0.2">
      <c r="A628" s="832"/>
      <c r="B628" s="884" t="s">
        <v>708</v>
      </c>
      <c r="C628" s="816">
        <v>500000</v>
      </c>
      <c r="D628" s="816">
        <v>500000</v>
      </c>
      <c r="E628" s="816">
        <v>195400</v>
      </c>
      <c r="F628" s="816"/>
      <c r="G628" s="1051"/>
      <c r="H628" s="1055"/>
      <c r="I628" s="1056"/>
      <c r="J628" s="1113">
        <v>500000</v>
      </c>
    </row>
    <row r="629" spans="1:10" s="885" customFormat="1" ht="37.5" customHeight="1" x14ac:dyDescent="0.2">
      <c r="A629" s="730"/>
      <c r="B629" s="884" t="s">
        <v>1657</v>
      </c>
      <c r="C629" s="816">
        <f>+(273+555.3+50.82+90+15+200)*1000</f>
        <v>1184120</v>
      </c>
      <c r="D629" s="816">
        <f>(+(273+555.3+50.82+90+15+200)*1000)+30000+25000+200000+10000+147136+49000+10000+500000+40000</f>
        <v>2195256</v>
      </c>
      <c r="E629" s="816">
        <v>1863560.75</v>
      </c>
      <c r="F629" s="816"/>
      <c r="G629" s="1051"/>
      <c r="H629" s="1055"/>
      <c r="I629" s="670"/>
      <c r="J629" s="1115">
        <v>1719641.8</v>
      </c>
    </row>
    <row r="630" spans="1:10" ht="30" customHeight="1" x14ac:dyDescent="0.2">
      <c r="A630" s="663"/>
      <c r="B630" s="899"/>
      <c r="C630" s="694"/>
      <c r="D630" s="694"/>
      <c r="E630" s="694"/>
      <c r="F630" s="694"/>
      <c r="G630" s="694"/>
      <c r="H630" s="694"/>
      <c r="I630" s="900"/>
    </row>
    <row r="631" spans="1:10" s="85" customFormat="1" ht="30" customHeight="1" x14ac:dyDescent="0.3">
      <c r="A631" s="734"/>
      <c r="B631" s="757" t="s">
        <v>710</v>
      </c>
      <c r="C631" s="901">
        <f>C632</f>
        <v>28556700</v>
      </c>
      <c r="D631" s="901">
        <f t="shared" ref="D631:D632" si="17">D632</f>
        <v>28556700</v>
      </c>
      <c r="E631" s="901">
        <v>27927809.969999999</v>
      </c>
      <c r="F631" s="1118"/>
      <c r="G631" s="735"/>
      <c r="H631" s="735"/>
      <c r="I631" s="1083"/>
      <c r="J631" s="29">
        <v>11319591.83</v>
      </c>
    </row>
    <row r="632" spans="1:10" ht="30" customHeight="1" x14ac:dyDescent="0.2">
      <c r="A632" s="663">
        <v>5311</v>
      </c>
      <c r="B632" s="629" t="s">
        <v>711</v>
      </c>
      <c r="C632" s="637">
        <f>SUM(18300+4538.4+1647+ 0+2+350+2+132.5+143+20+264+1+245+30+3+109+3+635+275+200+15+50+10+100+6+123.8+170+750+432 )*1000</f>
        <v>28556700</v>
      </c>
      <c r="D632" s="637">
        <f t="shared" si="17"/>
        <v>28556700</v>
      </c>
      <c r="E632" s="637">
        <v>27927809.969999999</v>
      </c>
      <c r="F632" s="644"/>
      <c r="G632" s="630"/>
      <c r="H632" s="1052"/>
      <c r="I632" s="631"/>
      <c r="J632" s="29">
        <v>11319591.83</v>
      </c>
    </row>
    <row r="633" spans="1:10" ht="76.5" x14ac:dyDescent="0.2">
      <c r="A633" s="663"/>
      <c r="B633" s="650" t="s">
        <v>1658</v>
      </c>
      <c r="C633" s="902" t="s">
        <v>1659</v>
      </c>
      <c r="D633" s="637">
        <f>(SUM(18300+4538.4+1647+ 0+2+350+2+132.5+143+20+264+1+245+30+3+109+3+635+275+200+15+50+10+100+6+123.8+170+750+432 )*1000)</f>
        <v>28556700</v>
      </c>
      <c r="E633" s="902" t="s">
        <v>2129</v>
      </c>
      <c r="F633" s="902"/>
      <c r="G633" s="1051"/>
      <c r="H633" s="1055"/>
      <c r="I633" s="670"/>
      <c r="J633" s="1037">
        <v>11319591.83</v>
      </c>
    </row>
    <row r="634" spans="1:10" ht="30" customHeight="1" x14ac:dyDescent="0.2">
      <c r="A634" s="732"/>
      <c r="B634" s="904"/>
      <c r="C634" s="682"/>
      <c r="D634" s="682"/>
      <c r="E634" s="682"/>
      <c r="F634" s="682"/>
      <c r="G634" s="682"/>
      <c r="H634" s="682"/>
      <c r="I634" s="900"/>
    </row>
    <row r="635" spans="1:10" s="85" customFormat="1" ht="30" customHeight="1" x14ac:dyDescent="0.3">
      <c r="A635" s="734"/>
      <c r="B635" s="757" t="s">
        <v>41</v>
      </c>
      <c r="C635" s="871">
        <f>SUM(C636:C642)+C651+C652</f>
        <v>31499210</v>
      </c>
      <c r="D635" s="871">
        <f>SUM(D636:D642)+D651+D652</f>
        <v>33962356.909999996</v>
      </c>
      <c r="E635" s="871">
        <v>27853687.370000001</v>
      </c>
      <c r="F635" s="1068">
        <f>SUM(E636:E642,E651:E652)</f>
        <v>27853687.370000001</v>
      </c>
      <c r="G635" s="735"/>
      <c r="H635" s="735"/>
      <c r="I635" s="1083"/>
      <c r="J635" s="29">
        <v>14164119.08</v>
      </c>
    </row>
    <row r="636" spans="1:10" ht="36.75" x14ac:dyDescent="0.2">
      <c r="A636" s="906">
        <v>3429</v>
      </c>
      <c r="B636" s="650" t="s">
        <v>1660</v>
      </c>
      <c r="C636" s="687">
        <v>690000</v>
      </c>
      <c r="D636" s="687">
        <f>690000+(70000+80000+50000)</f>
        <v>890000</v>
      </c>
      <c r="E636" s="687">
        <v>882258.02</v>
      </c>
      <c r="F636" s="1089"/>
      <c r="G636" s="630"/>
      <c r="H636" s="1052"/>
      <c r="I636" s="639"/>
      <c r="J636" s="1037">
        <v>111634</v>
      </c>
    </row>
    <row r="637" spans="1:10" s="98" customFormat="1" ht="36.75" x14ac:dyDescent="0.2">
      <c r="A637" s="660">
        <v>5212</v>
      </c>
      <c r="B637" s="688" t="s">
        <v>1661</v>
      </c>
      <c r="C637" s="637">
        <v>110000</v>
      </c>
      <c r="D637" s="637">
        <v>110000</v>
      </c>
      <c r="E637" s="637">
        <v>41805.5</v>
      </c>
      <c r="F637" s="644"/>
      <c r="G637" s="630"/>
      <c r="H637" s="1052"/>
      <c r="I637" s="639"/>
      <c r="J637" s="1037">
        <v>33617.519999999997</v>
      </c>
    </row>
    <row r="638" spans="1:10" s="244" customFormat="1" ht="36.75" x14ac:dyDescent="0.25">
      <c r="A638" s="663">
        <v>5213</v>
      </c>
      <c r="B638" s="634" t="s">
        <v>1662</v>
      </c>
      <c r="C638" s="637">
        <v>200000</v>
      </c>
      <c r="D638" s="637">
        <v>200000</v>
      </c>
      <c r="E638" s="637">
        <v>0</v>
      </c>
      <c r="F638" s="644"/>
      <c r="G638" s="630"/>
      <c r="H638" s="1052"/>
      <c r="I638" s="639"/>
      <c r="J638" s="1037">
        <v>56750</v>
      </c>
    </row>
    <row r="639" spans="1:10" s="98" customFormat="1" ht="30" customHeight="1" x14ac:dyDescent="0.2">
      <c r="A639" s="663">
        <v>5273</v>
      </c>
      <c r="B639" s="634" t="s">
        <v>1663</v>
      </c>
      <c r="C639" s="637">
        <v>5000</v>
      </c>
      <c r="D639" s="637">
        <v>5000</v>
      </c>
      <c r="E639" s="637">
        <v>0</v>
      </c>
      <c r="F639" s="644"/>
      <c r="G639" s="630"/>
      <c r="H639" s="1052"/>
      <c r="I639" s="639"/>
      <c r="J639" s="29">
        <v>0</v>
      </c>
    </row>
    <row r="640" spans="1:10" s="244" customFormat="1" ht="30" customHeight="1" x14ac:dyDescent="0.25">
      <c r="A640" s="663">
        <v>5511</v>
      </c>
      <c r="B640" s="634" t="s">
        <v>1664</v>
      </c>
      <c r="C640" s="637">
        <v>2100000</v>
      </c>
      <c r="D640" s="637">
        <v>2100000</v>
      </c>
      <c r="E640" s="637">
        <v>2029436</v>
      </c>
      <c r="F640" s="644"/>
      <c r="G640" s="630"/>
      <c r="H640" s="1052"/>
      <c r="I640" s="631"/>
      <c r="J640" s="29">
        <v>1763194</v>
      </c>
    </row>
    <row r="641" spans="1:11" s="244" customFormat="1" ht="36.75" x14ac:dyDescent="0.25">
      <c r="A641" s="663">
        <v>5512</v>
      </c>
      <c r="B641" s="634" t="s">
        <v>1665</v>
      </c>
      <c r="C641" s="637">
        <v>125000</v>
      </c>
      <c r="D641" s="637">
        <v>125000</v>
      </c>
      <c r="E641" s="637">
        <v>124627.49</v>
      </c>
      <c r="F641" s="644"/>
      <c r="G641" s="630"/>
      <c r="H641" s="1052"/>
      <c r="I641" s="639"/>
      <c r="J641" s="1037">
        <v>1800</v>
      </c>
    </row>
    <row r="642" spans="1:11" s="244" customFormat="1" ht="30" customHeight="1" x14ac:dyDescent="0.25">
      <c r="A642" s="663">
        <v>6171</v>
      </c>
      <c r="B642" s="629" t="s">
        <v>719</v>
      </c>
      <c r="C642" s="635">
        <f>SUM(C643:C650)</f>
        <v>26719210</v>
      </c>
      <c r="D642" s="635">
        <f>SUM(D643:D650)</f>
        <v>27329956.909999996</v>
      </c>
      <c r="E642" s="635">
        <v>21849688.359999999</v>
      </c>
      <c r="F642" s="652">
        <f>SUM(E643:E650)</f>
        <v>21849688.359999999</v>
      </c>
      <c r="G642" s="630"/>
      <c r="H642" s="1052"/>
      <c r="I642" s="631"/>
      <c r="J642" s="29">
        <v>9412429.5600000005</v>
      </c>
    </row>
    <row r="643" spans="1:11" s="244" customFormat="1" ht="132" x14ac:dyDescent="0.25">
      <c r="A643" s="663"/>
      <c r="B643" s="908" t="s">
        <v>1667</v>
      </c>
      <c r="C643" s="644">
        <v>19068500</v>
      </c>
      <c r="D643" s="644">
        <f>19068500-70000+16216+113800.5+121111+300000-126706-0.36</f>
        <v>19422921.140000001</v>
      </c>
      <c r="E643" s="644">
        <v>15520713.35</v>
      </c>
      <c r="F643" s="644"/>
      <c r="G643" s="1051"/>
      <c r="H643" s="1055"/>
      <c r="I643" s="670"/>
      <c r="J643" s="1037">
        <v>7038928.0700000003</v>
      </c>
    </row>
    <row r="644" spans="1:11" s="244" customFormat="1" ht="30" customHeight="1" x14ac:dyDescent="0.25">
      <c r="A644" s="663"/>
      <c r="B644" s="908" t="s">
        <v>1668</v>
      </c>
      <c r="C644" s="644">
        <v>200000</v>
      </c>
      <c r="D644" s="644">
        <f>200000+126706+0.36</f>
        <v>326706.36</v>
      </c>
      <c r="E644" s="644">
        <v>126706.36</v>
      </c>
      <c r="F644" s="644"/>
      <c r="G644" s="1051"/>
      <c r="H644" s="1055"/>
      <c r="I644" s="1056"/>
      <c r="J644" s="88">
        <v>752532.76</v>
      </c>
    </row>
    <row r="645" spans="1:11" ht="30" customHeight="1" x14ac:dyDescent="0.2">
      <c r="A645" s="646"/>
      <c r="B645" s="1119" t="s">
        <v>1984</v>
      </c>
      <c r="C645" s="644">
        <v>0</v>
      </c>
      <c r="D645" s="644">
        <f>(8051.9+68441.11)+(9438+4719+80223)+(27733.2+13866.6+235732.2)+(-8051.9-68441.11)+(37171.2+315955.2)</f>
        <v>724838.40000000002</v>
      </c>
      <c r="E645" s="816">
        <v>371712</v>
      </c>
      <c r="F645" s="816"/>
      <c r="G645" s="1051"/>
      <c r="H645" s="1055"/>
      <c r="I645" s="1056"/>
      <c r="J645" s="1072">
        <v>0</v>
      </c>
      <c r="K645" s="1037"/>
    </row>
    <row r="646" spans="1:11" s="98" customFormat="1" ht="36" x14ac:dyDescent="0.2">
      <c r="A646" s="664"/>
      <c r="B646" s="909" t="s">
        <v>1669</v>
      </c>
      <c r="C646" s="644">
        <v>5480300</v>
      </c>
      <c r="D646" s="644">
        <f>5480300-94380-277332+76493.01-427454.54-300000-285501-48795</f>
        <v>4123330.4699999997</v>
      </c>
      <c r="E646" s="644">
        <v>3317275.68</v>
      </c>
      <c r="F646" s="644"/>
      <c r="G646" s="1051"/>
      <c r="H646" s="1055"/>
      <c r="I646" s="670"/>
      <c r="J646" s="1037">
        <v>1347677.78</v>
      </c>
    </row>
    <row r="647" spans="1:11" ht="30" customHeight="1" x14ac:dyDescent="0.2">
      <c r="A647" s="664"/>
      <c r="B647" s="909" t="s">
        <v>1670</v>
      </c>
      <c r="C647" s="644">
        <v>1512810</v>
      </c>
      <c r="D647" s="644">
        <f>1512810+427454.54+285501+48795</f>
        <v>2274560.54</v>
      </c>
      <c r="E647" s="644">
        <v>2124559.04</v>
      </c>
      <c r="F647" s="644"/>
      <c r="G647" s="1051"/>
      <c r="H647" s="1055"/>
      <c r="I647" s="670"/>
      <c r="J647" s="1037">
        <v>102693</v>
      </c>
    </row>
    <row r="648" spans="1:11" ht="30" customHeight="1" x14ac:dyDescent="0.2">
      <c r="A648" s="664"/>
      <c r="B648" s="643" t="s">
        <v>1671</v>
      </c>
      <c r="C648" s="644">
        <v>200000</v>
      </c>
      <c r="D648" s="644">
        <v>200000</v>
      </c>
      <c r="E648" s="644">
        <v>162773.14000000001</v>
      </c>
      <c r="F648" s="644"/>
      <c r="G648" s="1051"/>
      <c r="H648" s="1055"/>
      <c r="I648" s="1056"/>
      <c r="J648" s="29">
        <v>90294.54</v>
      </c>
    </row>
    <row r="649" spans="1:11" ht="30" customHeight="1" x14ac:dyDescent="0.2">
      <c r="A649" s="664"/>
      <c r="B649" s="643" t="s">
        <v>1672</v>
      </c>
      <c r="C649" s="644">
        <v>60000</v>
      </c>
      <c r="D649" s="644">
        <v>60000</v>
      </c>
      <c r="E649" s="644">
        <v>30981.74</v>
      </c>
      <c r="F649" s="644"/>
      <c r="G649" s="1051"/>
      <c r="H649" s="1055"/>
      <c r="I649" s="1056"/>
      <c r="J649" s="29">
        <v>15802</v>
      </c>
    </row>
    <row r="650" spans="1:11" ht="30" customHeight="1" x14ac:dyDescent="0.2">
      <c r="A650" s="664"/>
      <c r="B650" s="650" t="s">
        <v>1673</v>
      </c>
      <c r="C650" s="644">
        <v>197600</v>
      </c>
      <c r="D650" s="644">
        <v>197600</v>
      </c>
      <c r="E650" s="644">
        <v>194967.05</v>
      </c>
      <c r="F650" s="644"/>
      <c r="G650" s="1051"/>
      <c r="H650" s="1055"/>
      <c r="I650" s="670"/>
      <c r="J650" s="1037">
        <v>64501.31</v>
      </c>
    </row>
    <row r="651" spans="1:11" ht="30" customHeight="1" x14ac:dyDescent="0.2">
      <c r="A651" s="663">
        <v>6221</v>
      </c>
      <c r="B651" s="1120" t="s">
        <v>1985</v>
      </c>
      <c r="C651" s="637">
        <v>0</v>
      </c>
      <c r="D651" s="637">
        <f>227100+232500+210000+231000+234000+241800+231000+45000</f>
        <v>1652400</v>
      </c>
      <c r="E651" s="637">
        <v>1652400</v>
      </c>
      <c r="F651" s="644"/>
      <c r="G651" s="630"/>
      <c r="H651" s="1052"/>
      <c r="I651" s="631"/>
      <c r="J651" s="29">
        <v>2186050</v>
      </c>
    </row>
    <row r="652" spans="1:11" ht="30" customHeight="1" x14ac:dyDescent="0.2">
      <c r="A652" s="663">
        <v>6320</v>
      </c>
      <c r="B652" s="629" t="s">
        <v>1675</v>
      </c>
      <c r="C652" s="637">
        <v>1550000</v>
      </c>
      <c r="D652" s="637">
        <v>1550000</v>
      </c>
      <c r="E652" s="637">
        <v>1273472</v>
      </c>
      <c r="F652" s="644"/>
      <c r="G652" s="630"/>
      <c r="H652" s="1052"/>
      <c r="I652" s="631"/>
      <c r="J652" s="29">
        <v>598644</v>
      </c>
    </row>
    <row r="653" spans="1:11" ht="30" customHeight="1" x14ac:dyDescent="0.2">
      <c r="A653" s="861"/>
      <c r="B653" s="910"/>
      <c r="C653" s="682"/>
      <c r="D653" s="682"/>
      <c r="E653" s="682"/>
      <c r="F653" s="682"/>
      <c r="G653" s="682"/>
      <c r="H653" s="682"/>
      <c r="I653" s="911"/>
    </row>
    <row r="654" spans="1:11" s="85" customFormat="1" ht="30" customHeight="1" x14ac:dyDescent="0.3">
      <c r="A654" s="734"/>
      <c r="B654" s="757" t="s">
        <v>729</v>
      </c>
      <c r="C654" s="912">
        <f t="shared" ref="C654:D654" si="18">C656+C657+C661+C655</f>
        <v>166253060</v>
      </c>
      <c r="D654" s="912">
        <f t="shared" si="18"/>
        <v>168024227.20999998</v>
      </c>
      <c r="E654" s="912">
        <v>162131523.28</v>
      </c>
      <c r="F654" s="1121">
        <f>SUM(E655:E657,E661)</f>
        <v>162131523.28</v>
      </c>
      <c r="G654" s="735"/>
      <c r="H654" s="735"/>
      <c r="I654" s="1091"/>
      <c r="J654" s="29">
        <v>65705455.140000001</v>
      </c>
    </row>
    <row r="655" spans="1:11" s="98" customFormat="1" ht="30" customHeight="1" x14ac:dyDescent="0.2">
      <c r="A655" s="737">
        <v>3341</v>
      </c>
      <c r="B655" s="914" t="s">
        <v>1676</v>
      </c>
      <c r="C655" s="637">
        <v>2601000</v>
      </c>
      <c r="D655" s="637">
        <f>2601000+508200</f>
        <v>3109200</v>
      </c>
      <c r="E655" s="637">
        <v>2958692</v>
      </c>
      <c r="F655" s="644"/>
      <c r="G655" s="630"/>
      <c r="H655" s="1052"/>
      <c r="I655" s="631"/>
      <c r="J655" s="29">
        <v>1275461</v>
      </c>
    </row>
    <row r="656" spans="1:11" s="98" customFormat="1" ht="36.75" x14ac:dyDescent="0.2">
      <c r="A656" s="663">
        <v>6112</v>
      </c>
      <c r="B656" s="634" t="s">
        <v>1677</v>
      </c>
      <c r="C656" s="637">
        <v>9066800</v>
      </c>
      <c r="D656" s="637">
        <f>9066800+(400000+36000)+67000</f>
        <v>9569800</v>
      </c>
      <c r="E656" s="637">
        <v>9246783.8699999992</v>
      </c>
      <c r="F656" s="644"/>
      <c r="G656" s="630"/>
      <c r="H656" s="1052"/>
      <c r="I656" s="639"/>
      <c r="J656" s="1037">
        <v>4187694.5</v>
      </c>
    </row>
    <row r="657" spans="1:10" ht="30" customHeight="1" x14ac:dyDescent="0.2">
      <c r="A657" s="663">
        <v>6171</v>
      </c>
      <c r="B657" s="629" t="s">
        <v>719</v>
      </c>
      <c r="C657" s="637">
        <f t="shared" ref="C657:D657" si="19">SUM(C658:C660)</f>
        <v>148579260</v>
      </c>
      <c r="D657" s="637">
        <f t="shared" si="19"/>
        <v>149339227.20999998</v>
      </c>
      <c r="E657" s="637">
        <v>143920047.41</v>
      </c>
      <c r="F657" s="644">
        <f>SUM(E658:E660)</f>
        <v>143920047.41</v>
      </c>
      <c r="G657" s="630"/>
      <c r="H657" s="1052"/>
      <c r="I657" s="631"/>
      <c r="J657" s="29">
        <v>57292125.170000002</v>
      </c>
    </row>
    <row r="658" spans="1:10" ht="45.75" customHeight="1" x14ac:dyDescent="0.2">
      <c r="A658" s="660"/>
      <c r="B658" s="917" t="s">
        <v>1678</v>
      </c>
      <c r="C658" s="644">
        <f>130618600+94000</f>
        <v>130712600</v>
      </c>
      <c r="D658" s="644">
        <f>130618600+94000-15000+(-103000-27000)+94000-67000+130000+150000+96967.21</f>
        <v>130971567.20999999</v>
      </c>
      <c r="E658" s="644">
        <v>127933559.65000001</v>
      </c>
      <c r="F658" s="644"/>
      <c r="G658" s="1051"/>
      <c r="H658" s="1055"/>
      <c r="I658" s="670"/>
      <c r="J658" s="1037">
        <v>50377787.100000001</v>
      </c>
    </row>
    <row r="659" spans="1:10" ht="30" customHeight="1" x14ac:dyDescent="0.25">
      <c r="A659" s="918"/>
      <c r="B659" s="650" t="s">
        <v>1679</v>
      </c>
      <c r="C659" s="644">
        <v>9025940</v>
      </c>
      <c r="D659" s="644">
        <f>9025940+15000-94000+804000</f>
        <v>9750940</v>
      </c>
      <c r="E659" s="644">
        <v>8721295.5</v>
      </c>
      <c r="F659" s="644"/>
      <c r="G659" s="1051"/>
      <c r="H659" s="1055"/>
      <c r="I659" s="1056"/>
      <c r="J659" s="29">
        <v>3116917</v>
      </c>
    </row>
    <row r="660" spans="1:10" ht="36.75" x14ac:dyDescent="0.25">
      <c r="A660" s="918"/>
      <c r="B660" s="634" t="s">
        <v>1680</v>
      </c>
      <c r="C660" s="644">
        <f>8934720-94000</f>
        <v>8840720</v>
      </c>
      <c r="D660" s="644">
        <f>8934720-94000-224000</f>
        <v>8616720</v>
      </c>
      <c r="E660" s="644">
        <v>7265192.2599999998</v>
      </c>
      <c r="F660" s="644"/>
      <c r="G660" s="1051"/>
      <c r="H660" s="1055"/>
      <c r="I660" s="670"/>
      <c r="J660" s="1037">
        <v>3797421.07</v>
      </c>
    </row>
    <row r="661" spans="1:10" ht="30" customHeight="1" x14ac:dyDescent="0.2">
      <c r="A661" s="663">
        <v>6330</v>
      </c>
      <c r="B661" s="629" t="s">
        <v>734</v>
      </c>
      <c r="C661" s="919">
        <v>6006000</v>
      </c>
      <c r="D661" s="919">
        <f>6006000</f>
        <v>6006000</v>
      </c>
      <c r="E661" s="919">
        <v>6006000</v>
      </c>
      <c r="F661" s="694"/>
      <c r="G661" s="630"/>
      <c r="H661" s="1052"/>
      <c r="I661" s="631"/>
      <c r="J661" s="29">
        <v>2950174.47</v>
      </c>
    </row>
    <row r="662" spans="1:10" s="85" customFormat="1" ht="30" customHeight="1" x14ac:dyDescent="0.3">
      <c r="A662" s="734"/>
      <c r="B662" s="757" t="s">
        <v>43</v>
      </c>
      <c r="C662" s="920">
        <f>C663+C679</f>
        <v>15923250</v>
      </c>
      <c r="D662" s="920">
        <f>D663+D679</f>
        <v>13923250</v>
      </c>
      <c r="E662" s="920">
        <v>13653274.91</v>
      </c>
      <c r="F662" s="1048">
        <f>SUM(E663,E679)</f>
        <v>13653274.91</v>
      </c>
      <c r="G662" s="735"/>
      <c r="H662" s="735"/>
      <c r="I662" s="1091"/>
      <c r="J662" s="29">
        <v>11927342.710000001</v>
      </c>
    </row>
    <row r="663" spans="1:10" ht="30" customHeight="1" x14ac:dyDescent="0.25">
      <c r="A663" s="621"/>
      <c r="B663" s="657" t="s">
        <v>735</v>
      </c>
      <c r="C663" s="623">
        <f>SUM(C664:C666,C669,C671,C677:C678)</f>
        <v>1300000</v>
      </c>
      <c r="D663" s="623">
        <f>SUM(D664:D666,D669,D671,D677:D678)</f>
        <v>1300000</v>
      </c>
      <c r="E663" s="623">
        <v>957000.89</v>
      </c>
      <c r="F663" s="1122">
        <f>SUM(E664:E666,E669,E671,E677:E678)</f>
        <v>957000.89</v>
      </c>
      <c r="G663" s="623"/>
      <c r="H663" s="623"/>
      <c r="I663" s="741"/>
      <c r="J663" s="29">
        <v>321602.71000000002</v>
      </c>
    </row>
    <row r="664" spans="1:10" ht="30" customHeight="1" x14ac:dyDescent="0.2">
      <c r="A664" s="663">
        <v>3613</v>
      </c>
      <c r="B664" s="629" t="s">
        <v>1681</v>
      </c>
      <c r="C664" s="637">
        <v>3000</v>
      </c>
      <c r="D664" s="637">
        <f>3000+1000</f>
        <v>4000</v>
      </c>
      <c r="E664" s="637">
        <v>3171.6</v>
      </c>
      <c r="F664" s="644"/>
      <c r="G664" s="630"/>
      <c r="H664" s="1052"/>
      <c r="I664" s="639"/>
      <c r="J664" s="29">
        <v>0</v>
      </c>
    </row>
    <row r="665" spans="1:10" s="244" customFormat="1" ht="30" customHeight="1" x14ac:dyDescent="0.25">
      <c r="A665" s="663">
        <v>3632</v>
      </c>
      <c r="B665" s="629" t="s">
        <v>1682</v>
      </c>
      <c r="C665" s="637">
        <v>200000</v>
      </c>
      <c r="D665" s="637">
        <f>200000+50000</f>
        <v>250000</v>
      </c>
      <c r="E665" s="637">
        <v>173811.41</v>
      </c>
      <c r="F665" s="644"/>
      <c r="G665" s="630"/>
      <c r="H665" s="1052"/>
      <c r="I665" s="639"/>
      <c r="J665" s="29">
        <v>114701.6</v>
      </c>
    </row>
    <row r="666" spans="1:10" s="244" customFormat="1" ht="30" customHeight="1" x14ac:dyDescent="0.25">
      <c r="A666" s="663">
        <v>4329</v>
      </c>
      <c r="B666" s="629" t="s">
        <v>739</v>
      </c>
      <c r="C666" s="635">
        <f t="shared" ref="C666:D666" si="20">SUM(C667:C668)</f>
        <v>258000</v>
      </c>
      <c r="D666" s="635">
        <f t="shared" si="20"/>
        <v>258000</v>
      </c>
      <c r="E666" s="635">
        <v>223968.8</v>
      </c>
      <c r="F666" s="652"/>
      <c r="G666" s="630"/>
      <c r="H666" s="1052"/>
      <c r="I666" s="639"/>
      <c r="J666" s="29">
        <v>-16251</v>
      </c>
    </row>
    <row r="667" spans="1:10" s="98" customFormat="1" ht="30" customHeight="1" x14ac:dyDescent="0.2">
      <c r="A667" s="663"/>
      <c r="B667" s="672" t="s">
        <v>1683</v>
      </c>
      <c r="C667" s="644">
        <v>8000</v>
      </c>
      <c r="D667" s="644">
        <f>8000+5000+200</f>
        <v>13200</v>
      </c>
      <c r="E667" s="644">
        <v>13168.8</v>
      </c>
      <c r="F667" s="644"/>
      <c r="G667" s="1051"/>
      <c r="H667" s="1055"/>
      <c r="I667" s="670"/>
      <c r="J667" s="29">
        <v>2949</v>
      </c>
    </row>
    <row r="668" spans="1:10" s="98" customFormat="1" ht="30" customHeight="1" x14ac:dyDescent="0.2">
      <c r="A668" s="663"/>
      <c r="B668" s="672" t="s">
        <v>1684</v>
      </c>
      <c r="C668" s="644">
        <v>250000</v>
      </c>
      <c r="D668" s="644">
        <f>250000-5000-200</f>
        <v>244800</v>
      </c>
      <c r="E668" s="644">
        <v>210800</v>
      </c>
      <c r="F668" s="644"/>
      <c r="G668" s="1051"/>
      <c r="H668" s="1055"/>
      <c r="I668" s="670"/>
      <c r="J668" s="29">
        <v>-19200</v>
      </c>
    </row>
    <row r="669" spans="1:10" ht="30" customHeight="1" x14ac:dyDescent="0.2">
      <c r="A669" s="663">
        <v>4349</v>
      </c>
      <c r="B669" s="629" t="s">
        <v>747</v>
      </c>
      <c r="C669" s="635">
        <f t="shared" ref="C669:D669" si="21">SUM(C670:C670)</f>
        <v>300000</v>
      </c>
      <c r="D669" s="635">
        <f t="shared" si="21"/>
        <v>300000</v>
      </c>
      <c r="E669" s="635">
        <v>171655.46</v>
      </c>
      <c r="F669" s="652"/>
      <c r="G669" s="630"/>
      <c r="H669" s="1052"/>
      <c r="I669" s="639"/>
      <c r="J669" s="29">
        <v>20769</v>
      </c>
    </row>
    <row r="670" spans="1:10" ht="30" customHeight="1" x14ac:dyDescent="0.2">
      <c r="A670" s="664"/>
      <c r="B670" s="643" t="s">
        <v>1686</v>
      </c>
      <c r="C670" s="644">
        <v>300000</v>
      </c>
      <c r="D670" s="644">
        <v>300000</v>
      </c>
      <c r="E670" s="644">
        <v>171655.46</v>
      </c>
      <c r="F670" s="644"/>
      <c r="G670" s="1051"/>
      <c r="H670" s="1055"/>
      <c r="I670" s="670"/>
      <c r="J670" s="29">
        <v>20769</v>
      </c>
    </row>
    <row r="671" spans="1:10" s="98" customFormat="1" ht="30" customHeight="1" x14ac:dyDescent="0.2">
      <c r="A671" s="663">
        <v>4379</v>
      </c>
      <c r="B671" s="629" t="s">
        <v>754</v>
      </c>
      <c r="C671" s="635">
        <f>SUM(C672:C676)</f>
        <v>434000</v>
      </c>
      <c r="D671" s="635">
        <f>SUM(D672:D676)</f>
        <v>483000</v>
      </c>
      <c r="E671" s="635">
        <v>380376.62</v>
      </c>
      <c r="F671" s="652"/>
      <c r="G671" s="630"/>
      <c r="H671" s="1052"/>
      <c r="I671" s="639"/>
      <c r="J671" s="29">
        <v>115585.11</v>
      </c>
    </row>
    <row r="672" spans="1:10" ht="30" customHeight="1" x14ac:dyDescent="0.2">
      <c r="A672" s="664"/>
      <c r="B672" s="643" t="s">
        <v>1688</v>
      </c>
      <c r="C672" s="644">
        <v>209000</v>
      </c>
      <c r="D672" s="644">
        <f>209000+30000</f>
        <v>239000</v>
      </c>
      <c r="E672" s="644">
        <v>199464.25</v>
      </c>
      <c r="F672" s="644"/>
      <c r="G672" s="1051"/>
      <c r="H672" s="1055"/>
      <c r="I672" s="670"/>
      <c r="J672" s="29">
        <v>66810.64</v>
      </c>
    </row>
    <row r="673" spans="1:10" s="419" customFormat="1" ht="30" customHeight="1" x14ac:dyDescent="0.2">
      <c r="A673" s="664"/>
      <c r="B673" s="643" t="s">
        <v>1689</v>
      </c>
      <c r="C673" s="644">
        <v>62000</v>
      </c>
      <c r="D673" s="644">
        <v>62000</v>
      </c>
      <c r="E673" s="644">
        <v>45842.29</v>
      </c>
      <c r="F673" s="644"/>
      <c r="G673" s="1051"/>
      <c r="H673" s="1055"/>
      <c r="I673" s="670"/>
      <c r="J673" s="29">
        <v>30430.34</v>
      </c>
    </row>
    <row r="674" spans="1:10" ht="30" customHeight="1" x14ac:dyDescent="0.2">
      <c r="A674" s="664"/>
      <c r="B674" s="643" t="s">
        <v>1690</v>
      </c>
      <c r="C674" s="644">
        <v>53000</v>
      </c>
      <c r="D674" s="644">
        <v>53000</v>
      </c>
      <c r="E674" s="644">
        <v>39626.35</v>
      </c>
      <c r="F674" s="644"/>
      <c r="G674" s="1051"/>
      <c r="H674" s="1055"/>
      <c r="I674" s="670"/>
      <c r="J674" s="29">
        <v>10917.13</v>
      </c>
    </row>
    <row r="675" spans="1:10" s="98" customFormat="1" ht="30" customHeight="1" x14ac:dyDescent="0.2">
      <c r="A675" s="664"/>
      <c r="B675" s="643" t="s">
        <v>1691</v>
      </c>
      <c r="C675" s="644">
        <v>10000</v>
      </c>
      <c r="D675" s="644">
        <v>10000</v>
      </c>
      <c r="E675" s="644">
        <v>0</v>
      </c>
      <c r="F675" s="644"/>
      <c r="G675" s="1051"/>
      <c r="H675" s="1055"/>
      <c r="I675" s="670"/>
      <c r="J675" s="29">
        <v>7427</v>
      </c>
    </row>
    <row r="676" spans="1:10" s="98" customFormat="1" ht="30" customHeight="1" x14ac:dyDescent="0.2">
      <c r="A676" s="664"/>
      <c r="B676" s="643" t="s">
        <v>1692</v>
      </c>
      <c r="C676" s="644">
        <v>100000</v>
      </c>
      <c r="D676" s="644">
        <f>100000+50000-30000-1000</f>
        <v>119000</v>
      </c>
      <c r="E676" s="644">
        <v>95443.73</v>
      </c>
      <c r="F676" s="644"/>
      <c r="G676" s="1051"/>
      <c r="H676" s="1055"/>
      <c r="I676" s="670"/>
      <c r="J676" s="29">
        <v>0</v>
      </c>
    </row>
    <row r="677" spans="1:10" ht="30" customHeight="1" x14ac:dyDescent="0.2">
      <c r="A677" s="663">
        <v>4399</v>
      </c>
      <c r="B677" s="629" t="s">
        <v>1986</v>
      </c>
      <c r="C677" s="637">
        <v>5000</v>
      </c>
      <c r="D677" s="637">
        <v>5000</v>
      </c>
      <c r="E677" s="637">
        <v>4017</v>
      </c>
      <c r="F677" s="644"/>
      <c r="G677" s="630"/>
      <c r="H677" s="1052"/>
      <c r="I677" s="639"/>
      <c r="J677" s="29">
        <v>26298</v>
      </c>
    </row>
    <row r="678" spans="1:10" ht="30" customHeight="1" x14ac:dyDescent="0.2">
      <c r="A678" s="699">
        <v>6409</v>
      </c>
      <c r="B678" s="924" t="s">
        <v>1696</v>
      </c>
      <c r="C678" s="919">
        <v>100000</v>
      </c>
      <c r="D678" s="919">
        <f>100000-50000-50000</f>
        <v>0</v>
      </c>
      <c r="E678" s="919">
        <v>0</v>
      </c>
      <c r="F678" s="694"/>
      <c r="G678" s="630"/>
      <c r="H678" s="1052"/>
      <c r="I678" s="639"/>
      <c r="J678" s="29">
        <v>0</v>
      </c>
    </row>
    <row r="679" spans="1:10" ht="30" customHeight="1" x14ac:dyDescent="0.25">
      <c r="A679" s="621"/>
      <c r="B679" s="657" t="s">
        <v>761</v>
      </c>
      <c r="C679" s="777">
        <f t="shared" ref="C679:D679" si="22">C680</f>
        <v>14623250</v>
      </c>
      <c r="D679" s="777">
        <f t="shared" si="22"/>
        <v>12623250</v>
      </c>
      <c r="E679" s="777">
        <v>12696274.02</v>
      </c>
      <c r="F679" s="1096"/>
      <c r="G679" s="623"/>
      <c r="H679" s="623"/>
      <c r="I679" s="741"/>
      <c r="J679" s="29">
        <v>11605740</v>
      </c>
    </row>
    <row r="680" spans="1:10" ht="30" customHeight="1" x14ac:dyDescent="0.2">
      <c r="A680" s="692"/>
      <c r="B680" s="626" t="s">
        <v>762</v>
      </c>
      <c r="C680" s="635">
        <f>SUM(C681:C692)</f>
        <v>14623250</v>
      </c>
      <c r="D680" s="635">
        <f>SUM(D681:D692)</f>
        <v>12623250</v>
      </c>
      <c r="E680" s="635">
        <v>12696274.02</v>
      </c>
      <c r="F680" s="652">
        <f>SUM(E681:E692)</f>
        <v>12696274.020000001</v>
      </c>
      <c r="G680" s="630"/>
      <c r="H680" s="1052"/>
      <c r="I680" s="639"/>
      <c r="J680" s="29">
        <v>11605740</v>
      </c>
    </row>
    <row r="681" spans="1:10" s="98" customFormat="1" ht="30" customHeight="1" x14ac:dyDescent="0.2">
      <c r="A681" s="692"/>
      <c r="B681" s="643" t="s">
        <v>763</v>
      </c>
      <c r="C681" s="644">
        <v>420000</v>
      </c>
      <c r="D681" s="644">
        <f>420000-157000</f>
        <v>263000</v>
      </c>
      <c r="E681" s="644">
        <v>221700</v>
      </c>
      <c r="F681" s="644"/>
      <c r="G681" s="1051"/>
      <c r="H681" s="1055"/>
      <c r="I681" s="670"/>
      <c r="J681" s="29">
        <v>190000</v>
      </c>
    </row>
    <row r="682" spans="1:10" ht="30" customHeight="1" x14ac:dyDescent="0.2">
      <c r="A682" s="692"/>
      <c r="B682" s="643" t="s">
        <v>764</v>
      </c>
      <c r="C682" s="644">
        <v>170000</v>
      </c>
      <c r="D682" s="644">
        <v>170000</v>
      </c>
      <c r="E682" s="644">
        <v>149500</v>
      </c>
      <c r="F682" s="644"/>
      <c r="G682" s="1051"/>
      <c r="H682" s="1055"/>
      <c r="I682" s="670"/>
      <c r="J682" s="29">
        <v>150000</v>
      </c>
    </row>
    <row r="683" spans="1:10" ht="30" customHeight="1" x14ac:dyDescent="0.2">
      <c r="A683" s="692"/>
      <c r="B683" s="643" t="s">
        <v>765</v>
      </c>
      <c r="C683" s="644">
        <v>8008175</v>
      </c>
      <c r="D683" s="644">
        <v>8008175</v>
      </c>
      <c r="E683" s="644">
        <v>7781900</v>
      </c>
      <c r="F683" s="644"/>
      <c r="G683" s="1051"/>
      <c r="H683" s="1055"/>
      <c r="I683" s="670"/>
      <c r="J683" s="29">
        <v>5937740</v>
      </c>
    </row>
    <row r="684" spans="1:10" ht="30" customHeight="1" x14ac:dyDescent="0.2">
      <c r="A684" s="692"/>
      <c r="B684" s="643" t="s">
        <v>766</v>
      </c>
      <c r="C684" s="644">
        <v>1102075</v>
      </c>
      <c r="D684" s="644">
        <v>1102075</v>
      </c>
      <c r="E684" s="644">
        <v>1096000</v>
      </c>
      <c r="F684" s="644"/>
      <c r="G684" s="1051"/>
      <c r="H684" s="1055"/>
      <c r="I684" s="670"/>
      <c r="J684" s="29">
        <v>1294200</v>
      </c>
    </row>
    <row r="685" spans="1:10" ht="30" customHeight="1" x14ac:dyDescent="0.2">
      <c r="A685" s="692"/>
      <c r="B685" s="643" t="s">
        <v>767</v>
      </c>
      <c r="C685" s="644">
        <v>200000</v>
      </c>
      <c r="D685" s="644">
        <f>200000-5000-15000-15000-3906-10000</f>
        <v>151094</v>
      </c>
      <c r="E685" s="644">
        <v>135000</v>
      </c>
      <c r="F685" s="644"/>
      <c r="G685" s="1051"/>
      <c r="H685" s="1055"/>
      <c r="I685" s="670"/>
      <c r="J685" s="29">
        <v>120000</v>
      </c>
    </row>
    <row r="686" spans="1:10" ht="30" customHeight="1" x14ac:dyDescent="0.2">
      <c r="A686" s="692"/>
      <c r="B686" s="643" t="s">
        <v>768</v>
      </c>
      <c r="C686" s="644">
        <v>220000</v>
      </c>
      <c r="D686" s="644">
        <v>220000</v>
      </c>
      <c r="E686" s="644">
        <v>210000</v>
      </c>
      <c r="F686" s="644"/>
      <c r="G686" s="1051"/>
      <c r="H686" s="1055"/>
      <c r="I686" s="670"/>
      <c r="J686" s="29">
        <v>190000</v>
      </c>
    </row>
    <row r="687" spans="1:10" ht="30" customHeight="1" x14ac:dyDescent="0.2">
      <c r="A687" s="692"/>
      <c r="B687" s="643" t="s">
        <v>1697</v>
      </c>
      <c r="C687" s="644">
        <v>2000000</v>
      </c>
      <c r="D687" s="644">
        <f>2000000-2000000</f>
        <v>0</v>
      </c>
      <c r="E687" s="644">
        <v>0</v>
      </c>
      <c r="F687" s="644"/>
      <c r="G687" s="1051"/>
      <c r="H687" s="1055"/>
      <c r="I687" s="670"/>
      <c r="J687" s="29">
        <v>300000</v>
      </c>
    </row>
    <row r="688" spans="1:10" ht="30" customHeight="1" x14ac:dyDescent="0.2">
      <c r="A688" s="663"/>
      <c r="B688" s="643" t="s">
        <v>769</v>
      </c>
      <c r="C688" s="644">
        <v>150000</v>
      </c>
      <c r="D688" s="644">
        <v>150000</v>
      </c>
      <c r="E688" s="644">
        <v>70444.89</v>
      </c>
      <c r="F688" s="644"/>
      <c r="G688" s="1051"/>
      <c r="H688" s="1055"/>
      <c r="I688" s="670"/>
      <c r="J688" s="29">
        <v>0</v>
      </c>
    </row>
    <row r="689" spans="1:10" ht="30" customHeight="1" x14ac:dyDescent="0.2">
      <c r="A689" s="663"/>
      <c r="B689" s="926" t="s">
        <v>2130</v>
      </c>
      <c r="C689" s="644">
        <v>2310000</v>
      </c>
      <c r="D689" s="644">
        <v>2310000</v>
      </c>
      <c r="E689" s="644">
        <v>2274800</v>
      </c>
      <c r="F689" s="644"/>
      <c r="G689" s="1051"/>
      <c r="H689" s="1055"/>
      <c r="I689" s="670"/>
      <c r="J689" s="1037">
        <v>0</v>
      </c>
    </row>
    <row r="690" spans="1:10" ht="30" customHeight="1" x14ac:dyDescent="0.2">
      <c r="A690" s="663"/>
      <c r="B690" s="643" t="s">
        <v>770</v>
      </c>
      <c r="C690" s="644">
        <v>0</v>
      </c>
      <c r="D690" s="644">
        <f>5000+15000+157000+15000+3906+10000</f>
        <v>205906</v>
      </c>
      <c r="E690" s="644">
        <v>205906</v>
      </c>
      <c r="F690" s="644"/>
      <c r="G690" s="1051"/>
      <c r="H690" s="1055"/>
      <c r="I690" s="670"/>
      <c r="J690" s="29">
        <v>165000</v>
      </c>
    </row>
    <row r="691" spans="1:10" ht="30" customHeight="1" x14ac:dyDescent="0.2">
      <c r="A691" s="663"/>
      <c r="B691" s="643" t="s">
        <v>1700</v>
      </c>
      <c r="C691" s="644">
        <v>43000</v>
      </c>
      <c r="D691" s="644">
        <v>43000</v>
      </c>
      <c r="E691" s="644">
        <v>43000</v>
      </c>
      <c r="F691" s="644"/>
      <c r="G691" s="1051"/>
      <c r="H691" s="1055"/>
      <c r="I691" s="670"/>
      <c r="J691" s="29">
        <v>43000</v>
      </c>
    </row>
    <row r="692" spans="1:10" ht="30" customHeight="1" x14ac:dyDescent="0.2">
      <c r="A692" s="628"/>
      <c r="B692" s="1123" t="s">
        <v>1987</v>
      </c>
      <c r="C692" s="644">
        <v>0</v>
      </c>
      <c r="D692" s="644">
        <v>0</v>
      </c>
      <c r="E692" s="695">
        <v>508023.13</v>
      </c>
      <c r="F692" s="695"/>
      <c r="G692" s="816"/>
      <c r="H692" s="816"/>
      <c r="I692" s="670"/>
      <c r="J692" s="29">
        <v>0</v>
      </c>
    </row>
    <row r="693" spans="1:10" ht="30" customHeight="1" x14ac:dyDescent="0.2">
      <c r="A693" s="699"/>
      <c r="B693" s="700"/>
      <c r="C693" s="694"/>
      <c r="D693" s="694"/>
      <c r="E693" s="694"/>
      <c r="F693" s="694"/>
      <c r="G693" s="694"/>
      <c r="H693" s="694"/>
      <c r="I693" s="647"/>
    </row>
    <row r="694" spans="1:10" s="85" customFormat="1" ht="30" customHeight="1" x14ac:dyDescent="0.3">
      <c r="A694" s="853"/>
      <c r="B694" s="854" t="s">
        <v>771</v>
      </c>
      <c r="C694" s="855">
        <f t="shared" ref="C694:D694" si="23">C695</f>
        <v>18717400</v>
      </c>
      <c r="D694" s="855">
        <f t="shared" si="23"/>
        <v>20225199.300000001</v>
      </c>
      <c r="E694" s="855">
        <v>15775641.263</v>
      </c>
      <c r="F694" s="1103"/>
      <c r="G694" s="735"/>
      <c r="H694" s="735"/>
      <c r="I694" s="1091"/>
      <c r="J694" s="29">
        <v>6364648.0199999996</v>
      </c>
    </row>
    <row r="695" spans="1:10" ht="30" customHeight="1" x14ac:dyDescent="0.2">
      <c r="A695" s="699">
        <v>4351</v>
      </c>
      <c r="B695" s="626" t="s">
        <v>772</v>
      </c>
      <c r="C695" s="927">
        <f>SUM(C696:C699)</f>
        <v>18717400</v>
      </c>
      <c r="D695" s="927">
        <f>SUM(D696:D699)</f>
        <v>20225199.300000001</v>
      </c>
      <c r="E695" s="927">
        <v>15775641.26</v>
      </c>
      <c r="F695" s="970">
        <f>SUM(E696:E699)</f>
        <v>15775641.259999998</v>
      </c>
      <c r="G695" s="630"/>
      <c r="H695" s="1052"/>
      <c r="I695" s="639"/>
      <c r="J695" s="29">
        <v>6364648.0199999996</v>
      </c>
    </row>
    <row r="696" spans="1:10" ht="60.75" x14ac:dyDescent="0.2">
      <c r="A696" s="664"/>
      <c r="B696" s="917" t="s">
        <v>1701</v>
      </c>
      <c r="C696" s="652">
        <v>8129900</v>
      </c>
      <c r="D696" s="652">
        <f>8129900+3134000+51728-1898394+1898394-2010000+7011-40000-2953.19-148656.7</f>
        <v>9121029.1100000013</v>
      </c>
      <c r="E696" s="652">
        <v>6767690.4000000004</v>
      </c>
      <c r="F696" s="652"/>
      <c r="G696" s="1051"/>
      <c r="H696" s="1055"/>
      <c r="I696" s="670"/>
      <c r="J696" s="1037">
        <v>3186762.47</v>
      </c>
    </row>
    <row r="697" spans="1:10" ht="30" customHeight="1" x14ac:dyDescent="0.2">
      <c r="A697" s="699"/>
      <c r="B697" s="929" t="s">
        <v>2132</v>
      </c>
      <c r="C697" s="678">
        <v>1900000</v>
      </c>
      <c r="D697" s="678">
        <f>1900000+(-1900000+2117.5+35997.5+93385.85+1587559.45)+40000+2953.19+148656.7</f>
        <v>1910670.19</v>
      </c>
      <c r="E697" s="678">
        <v>1910670.19</v>
      </c>
      <c r="F697" s="678"/>
      <c r="G697" s="1051"/>
      <c r="H697" s="1055"/>
      <c r="I697" s="670"/>
      <c r="J697" s="29">
        <v>0</v>
      </c>
    </row>
    <row r="698" spans="1:10" ht="48.75" x14ac:dyDescent="0.2">
      <c r="A698" s="664"/>
      <c r="B698" s="917" t="s">
        <v>1702</v>
      </c>
      <c r="C698" s="644">
        <v>2171000</v>
      </c>
      <c r="D698" s="644">
        <f>2171000+740000-400000</f>
        <v>2511000</v>
      </c>
      <c r="E698" s="644">
        <v>1844793.53</v>
      </c>
      <c r="F698" s="644"/>
      <c r="G698" s="1051"/>
      <c r="H698" s="1055"/>
      <c r="I698" s="670"/>
      <c r="J698" s="1037">
        <v>744599.6</v>
      </c>
    </row>
    <row r="699" spans="1:10" ht="36.75" x14ac:dyDescent="0.2">
      <c r="A699" s="663"/>
      <c r="B699" s="917" t="s">
        <v>1703</v>
      </c>
      <c r="C699" s="644">
        <v>6516500</v>
      </c>
      <c r="D699" s="644">
        <f>6516500+2086000+1898394-1898394-1920000</f>
        <v>6682500</v>
      </c>
      <c r="E699" s="644">
        <v>5252487.1399999997</v>
      </c>
      <c r="F699" s="644"/>
      <c r="G699" s="1051"/>
      <c r="H699" s="1055"/>
      <c r="I699" s="670"/>
      <c r="J699" s="1037">
        <v>2433285.9500000002</v>
      </c>
    </row>
    <row r="700" spans="1:10" ht="30" customHeight="1" x14ac:dyDescent="0.2">
      <c r="A700" s="732"/>
      <c r="B700" s="776"/>
      <c r="C700" s="732"/>
      <c r="D700" s="732"/>
      <c r="E700" s="732"/>
      <c r="F700" s="1124"/>
      <c r="G700" s="732"/>
      <c r="H700" s="732"/>
      <c r="I700" s="930"/>
    </row>
    <row r="701" spans="1:10" ht="30" customHeight="1" x14ac:dyDescent="0.2">
      <c r="A701" s="732"/>
      <c r="B701" s="776"/>
      <c r="C701" s="732"/>
      <c r="D701" s="732"/>
      <c r="E701" s="732"/>
      <c r="F701" s="1124"/>
      <c r="G701" s="732"/>
      <c r="H701" s="732"/>
      <c r="I701" s="930"/>
    </row>
    <row r="702" spans="1:10" s="85" customFormat="1" ht="30" customHeight="1" x14ac:dyDescent="0.3">
      <c r="A702" s="734"/>
      <c r="B702" s="757" t="s">
        <v>1871</v>
      </c>
      <c r="C702" s="859">
        <f>SUM(C703,C704,C705,C706,C707,C708,C709,C710,C714:C716,C721,C722)</f>
        <v>87547000</v>
      </c>
      <c r="D702" s="859">
        <f>SUM(D703,D704,D705,D706,D707,D708,D709,D710,D714:D716,D721,D722)</f>
        <v>86794109.460000008</v>
      </c>
      <c r="E702" s="859">
        <v>85252569.760000005</v>
      </c>
      <c r="F702" s="1084">
        <f>SUM(E703:E710,E714:E716,E721:E722)</f>
        <v>85252569.760000005</v>
      </c>
      <c r="G702" s="735"/>
      <c r="H702" s="735"/>
      <c r="I702" s="1083"/>
      <c r="J702" s="29">
        <v>23039058.989999998</v>
      </c>
    </row>
    <row r="703" spans="1:10" ht="30" customHeight="1" x14ac:dyDescent="0.2">
      <c r="A703" s="660">
        <v>1014</v>
      </c>
      <c r="B703" s="626" t="s">
        <v>776</v>
      </c>
      <c r="C703" s="637">
        <v>530000</v>
      </c>
      <c r="D703" s="637">
        <v>530000</v>
      </c>
      <c r="E703" s="637">
        <v>385617</v>
      </c>
      <c r="F703" s="644"/>
      <c r="G703" s="630"/>
      <c r="H703" s="1052"/>
      <c r="I703" s="639"/>
      <c r="J703" s="29">
        <v>97031</v>
      </c>
    </row>
    <row r="704" spans="1:10" ht="30" customHeight="1" x14ac:dyDescent="0.2">
      <c r="A704" s="663">
        <v>1031</v>
      </c>
      <c r="B704" s="629" t="s">
        <v>1705</v>
      </c>
      <c r="C704" s="637">
        <v>651000</v>
      </c>
      <c r="D704" s="637">
        <v>651000</v>
      </c>
      <c r="E704" s="637">
        <v>348703.46</v>
      </c>
      <c r="F704" s="644"/>
      <c r="G704" s="630"/>
      <c r="H704" s="1052"/>
      <c r="I704" s="639"/>
      <c r="J704" s="29">
        <v>217849.85</v>
      </c>
    </row>
    <row r="705" spans="1:10" ht="30" customHeight="1" x14ac:dyDescent="0.2">
      <c r="A705" s="663">
        <v>1036</v>
      </c>
      <c r="B705" s="629" t="s">
        <v>778</v>
      </c>
      <c r="C705" s="637">
        <v>120000</v>
      </c>
      <c r="D705" s="637">
        <f>120000+901049</f>
        <v>1021049</v>
      </c>
      <c r="E705" s="637">
        <v>1000465</v>
      </c>
      <c r="F705" s="644"/>
      <c r="G705" s="630"/>
      <c r="H705" s="1052"/>
      <c r="I705" s="639"/>
      <c r="J705" s="29">
        <v>49708</v>
      </c>
    </row>
    <row r="706" spans="1:10" s="244" customFormat="1" ht="30" customHeight="1" x14ac:dyDescent="0.25">
      <c r="A706" s="663">
        <v>1037</v>
      </c>
      <c r="B706" s="629" t="s">
        <v>1706</v>
      </c>
      <c r="C706" s="637">
        <v>21000</v>
      </c>
      <c r="D706" s="637">
        <v>21000</v>
      </c>
      <c r="E706" s="637">
        <v>20100</v>
      </c>
      <c r="F706" s="644"/>
      <c r="G706" s="630"/>
      <c r="H706" s="1052"/>
      <c r="I706" s="639"/>
      <c r="J706" s="29">
        <v>9500</v>
      </c>
    </row>
    <row r="707" spans="1:10" s="98" customFormat="1" ht="30" customHeight="1" x14ac:dyDescent="0.2">
      <c r="A707" s="663">
        <v>1039</v>
      </c>
      <c r="B707" s="629" t="s">
        <v>780</v>
      </c>
      <c r="C707" s="637">
        <v>260000</v>
      </c>
      <c r="D707" s="637">
        <f>260000-260000</f>
        <v>0</v>
      </c>
      <c r="E707" s="637">
        <v>0</v>
      </c>
      <c r="F707" s="644"/>
      <c r="G707" s="630"/>
      <c r="H707" s="1052"/>
      <c r="I707" s="639"/>
      <c r="J707" s="29">
        <v>0</v>
      </c>
    </row>
    <row r="708" spans="1:10" s="98" customFormat="1" ht="30" customHeight="1" x14ac:dyDescent="0.2">
      <c r="A708" s="663">
        <v>2369</v>
      </c>
      <c r="B708" s="629" t="s">
        <v>1707</v>
      </c>
      <c r="C708" s="637">
        <v>370000</v>
      </c>
      <c r="D708" s="637">
        <v>370000</v>
      </c>
      <c r="E708" s="637">
        <v>25436.62</v>
      </c>
      <c r="F708" s="644"/>
      <c r="G708" s="630"/>
      <c r="H708" s="1052"/>
      <c r="I708" s="639"/>
      <c r="J708" s="29">
        <v>1815</v>
      </c>
    </row>
    <row r="709" spans="1:10" s="98" customFormat="1" ht="30" customHeight="1" x14ac:dyDescent="0.2">
      <c r="A709" s="663">
        <v>3721</v>
      </c>
      <c r="B709" s="629" t="s">
        <v>1708</v>
      </c>
      <c r="C709" s="637">
        <v>50000</v>
      </c>
      <c r="D709" s="637">
        <v>50000</v>
      </c>
      <c r="E709" s="637">
        <v>50000</v>
      </c>
      <c r="F709" s="644"/>
      <c r="G709" s="630"/>
      <c r="H709" s="1052"/>
      <c r="I709" s="639"/>
      <c r="J709" s="29">
        <v>25200</v>
      </c>
    </row>
    <row r="710" spans="1:10" s="98" customFormat="1" ht="30" customHeight="1" x14ac:dyDescent="0.2">
      <c r="A710" s="663">
        <v>3722</v>
      </c>
      <c r="B710" s="629" t="s">
        <v>783</v>
      </c>
      <c r="C710" s="635">
        <f>SUM(C711:C713)</f>
        <v>37150000</v>
      </c>
      <c r="D710" s="635">
        <f>SUM(D711:D713)</f>
        <v>36413880</v>
      </c>
      <c r="E710" s="635">
        <v>36570674</v>
      </c>
      <c r="F710" s="652">
        <f>SUM(E711:E713)</f>
        <v>36570674</v>
      </c>
      <c r="G710" s="630"/>
      <c r="H710" s="1052"/>
      <c r="I710" s="639"/>
      <c r="J710" s="29">
        <v>14097642.140000001</v>
      </c>
    </row>
    <row r="711" spans="1:10" s="98" customFormat="1" ht="30" customHeight="1" x14ac:dyDescent="0.2">
      <c r="A711" s="663"/>
      <c r="B711" s="672" t="s">
        <v>784</v>
      </c>
      <c r="C711" s="644">
        <v>30600000</v>
      </c>
      <c r="D711" s="644">
        <f>30600000+400000-400000-900000</f>
        <v>29700000</v>
      </c>
      <c r="E711" s="644">
        <v>30600000</v>
      </c>
      <c r="F711" s="644"/>
      <c r="G711" s="1051"/>
      <c r="H711" s="1055"/>
      <c r="I711" s="670"/>
      <c r="J711" s="29">
        <v>13483458</v>
      </c>
    </row>
    <row r="712" spans="1:10" s="98" customFormat="1" ht="30" customHeight="1" x14ac:dyDescent="0.2">
      <c r="A712" s="663"/>
      <c r="B712" s="672" t="s">
        <v>785</v>
      </c>
      <c r="C712" s="644">
        <v>3050000</v>
      </c>
      <c r="D712" s="644">
        <v>3050000</v>
      </c>
      <c r="E712" s="644">
        <v>2366794</v>
      </c>
      <c r="F712" s="644"/>
      <c r="G712" s="1051"/>
      <c r="H712" s="1055"/>
      <c r="I712" s="670"/>
      <c r="J712" s="29">
        <v>478543.14</v>
      </c>
    </row>
    <row r="713" spans="1:10" s="98" customFormat="1" ht="30" customHeight="1" x14ac:dyDescent="0.2">
      <c r="A713" s="663"/>
      <c r="B713" s="650" t="s">
        <v>1989</v>
      </c>
      <c r="C713" s="644">
        <v>3500000</v>
      </c>
      <c r="D713" s="644">
        <f>3500000+3663880-162566-3337434</f>
        <v>3663880</v>
      </c>
      <c r="E713" s="644">
        <v>3603880</v>
      </c>
      <c r="F713" s="644"/>
      <c r="G713" s="1051"/>
      <c r="H713" s="1055"/>
      <c r="I713" s="670"/>
      <c r="J713" s="29">
        <v>135641</v>
      </c>
    </row>
    <row r="714" spans="1:10" s="98" customFormat="1" ht="30" customHeight="1" x14ac:dyDescent="0.2">
      <c r="A714" s="663">
        <v>3733</v>
      </c>
      <c r="B714" s="629" t="s">
        <v>1710</v>
      </c>
      <c r="C714" s="637">
        <v>65000</v>
      </c>
      <c r="D714" s="637">
        <v>65000</v>
      </c>
      <c r="E714" s="637">
        <v>39665.599999999999</v>
      </c>
      <c r="F714" s="644"/>
      <c r="G714" s="630"/>
      <c r="H714" s="1052"/>
      <c r="I714" s="639"/>
      <c r="J714" s="29">
        <v>0</v>
      </c>
    </row>
    <row r="715" spans="1:10" s="98" customFormat="1" ht="30" customHeight="1" x14ac:dyDescent="0.2">
      <c r="A715" s="663">
        <v>3742</v>
      </c>
      <c r="B715" s="634" t="s">
        <v>1711</v>
      </c>
      <c r="C715" s="637">
        <v>100000</v>
      </c>
      <c r="D715" s="637">
        <f>100000-100000</f>
        <v>0</v>
      </c>
      <c r="E715" s="637">
        <v>0</v>
      </c>
      <c r="F715" s="644"/>
      <c r="G715" s="630"/>
      <c r="H715" s="1052"/>
      <c r="I715" s="639"/>
      <c r="J715" s="29">
        <v>0</v>
      </c>
    </row>
    <row r="716" spans="1:10" s="98" customFormat="1" ht="30" customHeight="1" x14ac:dyDescent="0.2">
      <c r="A716" s="663">
        <v>3745</v>
      </c>
      <c r="B716" s="629" t="s">
        <v>790</v>
      </c>
      <c r="C716" s="635">
        <f>SUM(C717:C720)</f>
        <v>47785000</v>
      </c>
      <c r="D716" s="635">
        <f>SUM(D717:D720)</f>
        <v>46817775.460000001</v>
      </c>
      <c r="E716" s="635">
        <v>46308278.57</v>
      </c>
      <c r="F716" s="652">
        <f>SUM(E717:E720)</f>
        <v>46308278.57</v>
      </c>
      <c r="G716" s="630"/>
      <c r="H716" s="1052"/>
      <c r="I716" s="639"/>
      <c r="J716" s="29">
        <v>8540313</v>
      </c>
    </row>
    <row r="717" spans="1:10" s="98" customFormat="1" ht="30" customHeight="1" x14ac:dyDescent="0.2">
      <c r="A717" s="663"/>
      <c r="B717" s="672" t="s">
        <v>1712</v>
      </c>
      <c r="C717" s="644">
        <v>250000</v>
      </c>
      <c r="D717" s="644">
        <v>250000</v>
      </c>
      <c r="E717" s="644">
        <v>242736</v>
      </c>
      <c r="F717" s="644"/>
      <c r="G717" s="1051"/>
      <c r="H717" s="1055"/>
      <c r="I717" s="670"/>
      <c r="J717" s="29">
        <v>0</v>
      </c>
    </row>
    <row r="718" spans="1:10" s="98" customFormat="1" ht="30" customHeight="1" x14ac:dyDescent="0.2">
      <c r="A718" s="664"/>
      <c r="B718" s="672" t="s">
        <v>792</v>
      </c>
      <c r="C718" s="644">
        <v>19450000</v>
      </c>
      <c r="D718" s="644">
        <f>19450000-300000</f>
        <v>19150000</v>
      </c>
      <c r="E718" s="644">
        <v>19150000</v>
      </c>
      <c r="F718" s="644"/>
      <c r="G718" s="1051"/>
      <c r="H718" s="1055"/>
      <c r="I718" s="670"/>
      <c r="J718" s="29">
        <v>8399997</v>
      </c>
    </row>
    <row r="719" spans="1:10" s="98" customFormat="1" ht="30" customHeight="1" x14ac:dyDescent="0.2">
      <c r="A719" s="664"/>
      <c r="B719" s="672" t="s">
        <v>793</v>
      </c>
      <c r="C719" s="644">
        <v>2150000</v>
      </c>
      <c r="D719" s="644">
        <f>2150000+81550.55</f>
        <v>2231550.5499999998</v>
      </c>
      <c r="E719" s="644">
        <v>1729317.66</v>
      </c>
      <c r="F719" s="644"/>
      <c r="G719" s="1051"/>
      <c r="H719" s="1055"/>
      <c r="I719" s="670"/>
      <c r="J719" s="29">
        <v>140316</v>
      </c>
    </row>
    <row r="720" spans="1:10" s="98" customFormat="1" ht="30" customHeight="1" x14ac:dyDescent="0.2">
      <c r="A720" s="663"/>
      <c r="B720" s="650" t="s">
        <v>1713</v>
      </c>
      <c r="C720" s="644">
        <v>25935000</v>
      </c>
      <c r="D720" s="644">
        <f>25935000+(-686470.59-115000)+52695.5</f>
        <v>25186224.91</v>
      </c>
      <c r="E720" s="644">
        <v>25186224.91</v>
      </c>
      <c r="F720" s="644"/>
      <c r="G720" s="1051"/>
      <c r="H720" s="1055"/>
      <c r="I720" s="670"/>
      <c r="J720" s="29">
        <v>0</v>
      </c>
    </row>
    <row r="721" spans="1:10" ht="30" customHeight="1" x14ac:dyDescent="0.2">
      <c r="A721" s="663">
        <v>3792</v>
      </c>
      <c r="B721" s="629" t="s">
        <v>795</v>
      </c>
      <c r="C721" s="637">
        <v>145000</v>
      </c>
      <c r="D721" s="637">
        <f>145000+(14200+35205)+360000</f>
        <v>554405</v>
      </c>
      <c r="E721" s="637">
        <v>503629.51</v>
      </c>
      <c r="F721" s="644"/>
      <c r="G721" s="630"/>
      <c r="H721" s="1052"/>
      <c r="I721" s="639"/>
      <c r="J721" s="29">
        <v>0</v>
      </c>
    </row>
    <row r="722" spans="1:10" ht="30" customHeight="1" x14ac:dyDescent="0.25">
      <c r="A722" s="933"/>
      <c r="B722" s="934" t="s">
        <v>1715</v>
      </c>
      <c r="C722" s="935">
        <f>SUM(C723:C724)</f>
        <v>300000</v>
      </c>
      <c r="D722" s="935">
        <f>SUM(D723:D724)</f>
        <v>300000</v>
      </c>
      <c r="E722" s="935">
        <v>0</v>
      </c>
      <c r="F722" s="1125"/>
      <c r="G722" s="623"/>
      <c r="H722" s="623"/>
      <c r="I722" s="741"/>
      <c r="J722" s="29">
        <v>0</v>
      </c>
    </row>
    <row r="723" spans="1:10" ht="30" customHeight="1" x14ac:dyDescent="0.2">
      <c r="A723" s="937" t="s">
        <v>1991</v>
      </c>
      <c r="B723" s="938" t="s">
        <v>600</v>
      </c>
      <c r="C723" s="687">
        <v>150000</v>
      </c>
      <c r="D723" s="687">
        <v>150000</v>
      </c>
      <c r="E723" s="687">
        <v>0</v>
      </c>
      <c r="F723" s="1089"/>
      <c r="G723" s="630"/>
      <c r="H723" s="1052"/>
      <c r="I723" s="639"/>
      <c r="J723" s="29">
        <v>0</v>
      </c>
    </row>
    <row r="724" spans="1:10" ht="30" customHeight="1" x14ac:dyDescent="0.2">
      <c r="A724" s="1126" t="s">
        <v>1992</v>
      </c>
      <c r="B724" s="1127" t="s">
        <v>602</v>
      </c>
      <c r="C724" s="795">
        <v>150000</v>
      </c>
      <c r="D724" s="795">
        <v>150000</v>
      </c>
      <c r="E724" s="795">
        <v>0</v>
      </c>
      <c r="F724" s="816"/>
      <c r="G724" s="630"/>
      <c r="H724" s="1052"/>
      <c r="I724" s="639"/>
      <c r="J724" s="29">
        <v>0</v>
      </c>
    </row>
    <row r="725" spans="1:10" ht="30" customHeight="1" x14ac:dyDescent="0.2">
      <c r="A725" s="1128"/>
      <c r="B725" s="1129"/>
      <c r="C725" s="728"/>
      <c r="D725" s="728"/>
      <c r="E725" s="728"/>
      <c r="F725" s="728"/>
      <c r="G725" s="728"/>
      <c r="H725" s="728"/>
      <c r="I725" s="1130"/>
    </row>
    <row r="726" spans="1:10" s="85" customFormat="1" ht="30" customHeight="1" x14ac:dyDescent="0.3">
      <c r="A726" s="945"/>
      <c r="B726" s="865" t="s">
        <v>797</v>
      </c>
      <c r="C726" s="855">
        <f>SUM(C727,C728,C757,C791,C841,C849,C850,C854,)</f>
        <v>151698000</v>
      </c>
      <c r="D726" s="855">
        <f>SUM(D727,D728,D757,D791,D841,D849,D850,D854,)</f>
        <v>140468509.50999999</v>
      </c>
      <c r="E726" s="855">
        <v>122764276.02</v>
      </c>
      <c r="F726" s="1092">
        <f>SUM(E727:E728,E757,E791,E841,E849:E850,E854)</f>
        <v>122764276.02</v>
      </c>
      <c r="G726" s="735"/>
      <c r="H726" s="735"/>
      <c r="I726" s="1091"/>
      <c r="J726" s="29">
        <v>67252782.599999994</v>
      </c>
    </row>
    <row r="727" spans="1:10" ht="30" customHeight="1" x14ac:dyDescent="0.2">
      <c r="A727" s="946">
        <v>3122</v>
      </c>
      <c r="B727" s="947" t="s">
        <v>1718</v>
      </c>
      <c r="C727" s="637">
        <v>403000</v>
      </c>
      <c r="D727" s="637">
        <f>403000+9000</f>
        <v>412000</v>
      </c>
      <c r="E727" s="637">
        <v>313071.37</v>
      </c>
      <c r="F727" s="644"/>
      <c r="G727" s="630"/>
      <c r="H727" s="1052"/>
      <c r="I727" s="639"/>
      <c r="J727" s="88">
        <v>0</v>
      </c>
    </row>
    <row r="728" spans="1:10" ht="30" customHeight="1" x14ac:dyDescent="0.2">
      <c r="A728" s="628">
        <v>3412</v>
      </c>
      <c r="B728" s="629" t="s">
        <v>799</v>
      </c>
      <c r="C728" s="635">
        <f>C729+C745</f>
        <v>55320000</v>
      </c>
      <c r="D728" s="635">
        <f>D729+D745</f>
        <v>56177028.520000003</v>
      </c>
      <c r="E728" s="635">
        <v>55603788.390000001</v>
      </c>
      <c r="F728" s="652">
        <f>SUM(E729,E745)</f>
        <v>55603788.390000001</v>
      </c>
      <c r="G728" s="630"/>
      <c r="H728" s="1052"/>
      <c r="I728" s="639"/>
      <c r="J728" s="88">
        <v>19454038.469999999</v>
      </c>
    </row>
    <row r="729" spans="1:10" ht="30" customHeight="1" x14ac:dyDescent="0.2">
      <c r="A729" s="628"/>
      <c r="B729" s="949" t="s">
        <v>1719</v>
      </c>
      <c r="C729" s="972">
        <f>C730+C733+C741</f>
        <v>33650000</v>
      </c>
      <c r="D729" s="972">
        <f>D730+D733+D741</f>
        <v>36194197.810000002</v>
      </c>
      <c r="E729" s="972">
        <v>36064660.469999999</v>
      </c>
      <c r="F729" s="951">
        <f>SUM(E730,E733,E741)</f>
        <v>36064660.469999999</v>
      </c>
      <c r="G729" s="1131"/>
      <c r="H729" s="1132"/>
      <c r="I729" s="1133"/>
      <c r="J729" s="88">
        <v>13175000</v>
      </c>
    </row>
    <row r="730" spans="1:10" ht="30" customHeight="1" x14ac:dyDescent="0.2">
      <c r="A730" s="628"/>
      <c r="B730" s="720" t="s">
        <v>801</v>
      </c>
      <c r="C730" s="951">
        <f>SUM(C731:C732)</f>
        <v>1680000</v>
      </c>
      <c r="D730" s="951">
        <f>SUM(D731:D732)</f>
        <v>741374</v>
      </c>
      <c r="E730" s="951">
        <v>689946.75</v>
      </c>
      <c r="F730" s="951">
        <f>SUM(E731:E732)</f>
        <v>689946.75</v>
      </c>
      <c r="G730" s="1134"/>
      <c r="H730" s="1135"/>
      <c r="I730" s="1136"/>
      <c r="J730" s="88">
        <v>0</v>
      </c>
    </row>
    <row r="731" spans="1:10" ht="30" customHeight="1" x14ac:dyDescent="0.2">
      <c r="A731" s="628"/>
      <c r="B731" s="952" t="s">
        <v>1721</v>
      </c>
      <c r="C731" s="652">
        <v>1500000</v>
      </c>
      <c r="D731" s="652">
        <f>1500000-431000-152880-400000</f>
        <v>516120</v>
      </c>
      <c r="E731" s="652">
        <v>511542.02</v>
      </c>
      <c r="F731" s="652"/>
      <c r="G731" s="1051"/>
      <c r="H731" s="1055"/>
      <c r="I731" s="670"/>
      <c r="J731" s="88">
        <v>0</v>
      </c>
    </row>
    <row r="732" spans="1:10" ht="30" customHeight="1" x14ac:dyDescent="0.2">
      <c r="A732" s="628"/>
      <c r="B732" s="952" t="s">
        <v>1993</v>
      </c>
      <c r="C732" s="652">
        <v>180000</v>
      </c>
      <c r="D732" s="652">
        <f>180000+45254</f>
        <v>225254</v>
      </c>
      <c r="E732" s="652">
        <v>178404.73</v>
      </c>
      <c r="F732" s="652"/>
      <c r="G732" s="1051"/>
      <c r="H732" s="1055"/>
      <c r="I732" s="670"/>
      <c r="J732" s="32">
        <v>0</v>
      </c>
    </row>
    <row r="733" spans="1:10" s="953" customFormat="1" ht="30" customHeight="1" x14ac:dyDescent="0.2">
      <c r="A733" s="628"/>
      <c r="B733" s="954" t="s">
        <v>823</v>
      </c>
      <c r="C733" s="955">
        <f>SUM(C734:C740)</f>
        <v>1900000</v>
      </c>
      <c r="D733" s="955">
        <f>SUM(D734:D740)</f>
        <v>200000</v>
      </c>
      <c r="E733" s="955">
        <v>173630.16</v>
      </c>
      <c r="F733" s="955">
        <f>SUM(E734:E740)</f>
        <v>0</v>
      </c>
      <c r="G733" s="1134"/>
      <c r="H733" s="1135"/>
      <c r="I733" s="1136"/>
      <c r="J733" s="1137">
        <v>0</v>
      </c>
    </row>
    <row r="734" spans="1:10" ht="30" customHeight="1" x14ac:dyDescent="0.2">
      <c r="A734" s="628"/>
      <c r="B734" s="668" t="s">
        <v>1723</v>
      </c>
      <c r="C734" s="652">
        <v>150000</v>
      </c>
      <c r="D734" s="652">
        <f>150000-150000</f>
        <v>0</v>
      </c>
      <c r="E734" s="652">
        <v>0</v>
      </c>
      <c r="F734" s="652"/>
      <c r="G734" s="1051"/>
      <c r="H734" s="1055"/>
      <c r="I734" s="670"/>
      <c r="J734" s="88">
        <v>0</v>
      </c>
    </row>
    <row r="735" spans="1:10" ht="30" customHeight="1" x14ac:dyDescent="0.2">
      <c r="A735" s="628"/>
      <c r="B735" s="668" t="s">
        <v>1724</v>
      </c>
      <c r="C735" s="694">
        <v>100000</v>
      </c>
      <c r="D735" s="694">
        <f>100000-100000</f>
        <v>0</v>
      </c>
      <c r="E735" s="694">
        <v>0</v>
      </c>
      <c r="F735" s="694"/>
      <c r="G735" s="1051"/>
      <c r="H735" s="1055"/>
      <c r="I735" s="670"/>
      <c r="J735" s="88">
        <v>0</v>
      </c>
    </row>
    <row r="736" spans="1:10" ht="30" customHeight="1" x14ac:dyDescent="0.2">
      <c r="A736" s="628"/>
      <c r="B736" s="958" t="s">
        <v>1727</v>
      </c>
      <c r="C736" s="652">
        <v>350000</v>
      </c>
      <c r="D736" s="652">
        <f>350000-250000</f>
        <v>100000</v>
      </c>
      <c r="E736" s="652"/>
      <c r="F736" s="652"/>
      <c r="G736" s="1051"/>
      <c r="H736" s="1055"/>
      <c r="I736" s="670"/>
      <c r="J736" s="88">
        <v>0</v>
      </c>
    </row>
    <row r="737" spans="1:10" ht="30" customHeight="1" x14ac:dyDescent="0.2">
      <c r="A737" s="628"/>
      <c r="B737" s="958" t="s">
        <v>1728</v>
      </c>
      <c r="C737" s="652">
        <v>100000</v>
      </c>
      <c r="D737" s="652">
        <f>100000-100000</f>
        <v>0</v>
      </c>
      <c r="E737" s="652">
        <v>0</v>
      </c>
      <c r="F737" s="652"/>
      <c r="G737" s="1051"/>
      <c r="H737" s="1055"/>
      <c r="I737" s="670"/>
      <c r="J737" s="88">
        <v>0</v>
      </c>
    </row>
    <row r="738" spans="1:10" ht="30" customHeight="1" x14ac:dyDescent="0.2">
      <c r="A738" s="628"/>
      <c r="B738" s="958" t="s">
        <v>1729</v>
      </c>
      <c r="C738" s="652">
        <v>100000</v>
      </c>
      <c r="D738" s="652">
        <v>100000</v>
      </c>
      <c r="E738" s="652"/>
      <c r="F738" s="652"/>
      <c r="G738" s="1051"/>
      <c r="H738" s="1055"/>
      <c r="I738" s="670"/>
      <c r="J738" s="88">
        <v>0</v>
      </c>
    </row>
    <row r="739" spans="1:10" ht="30" customHeight="1" x14ac:dyDescent="0.2">
      <c r="A739" s="628"/>
      <c r="B739" s="958" t="s">
        <v>1730</v>
      </c>
      <c r="C739" s="652">
        <v>800000</v>
      </c>
      <c r="D739" s="652">
        <f>800000-800000</f>
        <v>0</v>
      </c>
      <c r="E739" s="652">
        <v>0</v>
      </c>
      <c r="F739" s="652"/>
      <c r="G739" s="1051"/>
      <c r="H739" s="1055"/>
      <c r="I739" s="670"/>
      <c r="J739" s="88">
        <v>0</v>
      </c>
    </row>
    <row r="740" spans="1:10" ht="30" customHeight="1" x14ac:dyDescent="0.2">
      <c r="A740" s="628"/>
      <c r="B740" s="958" t="s">
        <v>1731</v>
      </c>
      <c r="C740" s="652">
        <v>300000</v>
      </c>
      <c r="D740" s="652">
        <f>300000-300000</f>
        <v>0</v>
      </c>
      <c r="E740" s="652">
        <v>0</v>
      </c>
      <c r="F740" s="652"/>
      <c r="G740" s="1051"/>
      <c r="H740" s="1055"/>
      <c r="I740" s="670"/>
      <c r="J740" s="88">
        <v>0</v>
      </c>
    </row>
    <row r="741" spans="1:10" s="98" customFormat="1" ht="30" customHeight="1" x14ac:dyDescent="0.2">
      <c r="A741" s="628"/>
      <c r="B741" s="959" t="s">
        <v>813</v>
      </c>
      <c r="C741" s="951">
        <f>SUM(C742:C744)</f>
        <v>30070000</v>
      </c>
      <c r="D741" s="951">
        <f>SUM(D742:D744)</f>
        <v>35252823.810000002</v>
      </c>
      <c r="E741" s="951">
        <v>35201083.560000002</v>
      </c>
      <c r="F741" s="951">
        <f>SUM(E742:E744)</f>
        <v>35201083.560000002</v>
      </c>
      <c r="G741" s="1134"/>
      <c r="H741" s="1135"/>
      <c r="I741" s="1136"/>
      <c r="J741" s="88">
        <v>13175000</v>
      </c>
    </row>
    <row r="742" spans="1:10" ht="30" customHeight="1" x14ac:dyDescent="0.2">
      <c r="A742" s="628"/>
      <c r="B742" s="668" t="s">
        <v>1732</v>
      </c>
      <c r="C742" s="652">
        <v>30020000</v>
      </c>
      <c r="D742" s="652">
        <f>30020000+1812000-45254-20971-13463.31+2100000-63727+1163197.81-31878-1911-1036-18280.01</f>
        <v>34898677.490000002</v>
      </c>
      <c r="E742" s="652">
        <v>34898677.490000002</v>
      </c>
      <c r="F742" s="652"/>
      <c r="G742" s="1051"/>
      <c r="H742" s="1055"/>
      <c r="I742" s="670"/>
      <c r="J742" s="88">
        <v>13158448</v>
      </c>
    </row>
    <row r="743" spans="1:10" ht="30" customHeight="1" x14ac:dyDescent="0.2">
      <c r="A743" s="628"/>
      <c r="B743" s="679" t="s">
        <v>1994</v>
      </c>
      <c r="C743" s="652">
        <v>0</v>
      </c>
      <c r="D743" s="652">
        <f>152880+20971+13463.31+63727+31878+1911+1036+18280.01</f>
        <v>304146.32</v>
      </c>
      <c r="E743" s="652">
        <v>302406.07</v>
      </c>
      <c r="F743" s="652"/>
      <c r="G743" s="1051"/>
      <c r="H743" s="1055"/>
      <c r="I743" s="670"/>
      <c r="J743" s="88">
        <v>16552</v>
      </c>
    </row>
    <row r="744" spans="1:10" ht="30" customHeight="1" x14ac:dyDescent="0.2">
      <c r="A744" s="628"/>
      <c r="B744" s="679" t="s">
        <v>1733</v>
      </c>
      <c r="C744" s="652">
        <v>50000</v>
      </c>
      <c r="D744" s="652">
        <f>50000</f>
        <v>50000</v>
      </c>
      <c r="E744" s="652">
        <v>0</v>
      </c>
      <c r="F744" s="652"/>
      <c r="G744" s="1051"/>
      <c r="H744" s="1055"/>
      <c r="I744" s="670"/>
      <c r="J744" s="88">
        <v>0</v>
      </c>
    </row>
    <row r="745" spans="1:10" s="98" customFormat="1" ht="30" customHeight="1" x14ac:dyDescent="0.2">
      <c r="A745" s="628"/>
      <c r="B745" s="960" t="s">
        <v>1734</v>
      </c>
      <c r="C745" s="972">
        <f>C746+C749+C753</f>
        <v>21670000</v>
      </c>
      <c r="D745" s="972">
        <f>D746+D749+D753</f>
        <v>19982830.710000001</v>
      </c>
      <c r="E745" s="972">
        <v>19539127.920000002</v>
      </c>
      <c r="F745" s="951">
        <f>SUM(E746,E749,E753)</f>
        <v>19539127.930000003</v>
      </c>
      <c r="G745" s="1131"/>
      <c r="H745" s="1132"/>
      <c r="I745" s="1133"/>
      <c r="J745" s="88">
        <v>6279038.4699999997</v>
      </c>
    </row>
    <row r="746" spans="1:10" ht="30" customHeight="1" x14ac:dyDescent="0.2">
      <c r="A746" s="649"/>
      <c r="B746" s="720" t="s">
        <v>801</v>
      </c>
      <c r="C746" s="951">
        <f>C747+C748</f>
        <v>5500000</v>
      </c>
      <c r="D746" s="951">
        <f>D747+D748</f>
        <v>5931000</v>
      </c>
      <c r="E746" s="951">
        <v>5718770.6200000001</v>
      </c>
      <c r="F746" s="951">
        <f>SUM(E747:E748)</f>
        <v>5718770.6200000001</v>
      </c>
      <c r="G746" s="1134"/>
      <c r="H746" s="1135"/>
      <c r="I746" s="1136"/>
      <c r="J746" s="88">
        <v>0</v>
      </c>
    </row>
    <row r="747" spans="1:10" ht="30" customHeight="1" x14ac:dyDescent="0.2">
      <c r="A747" s="649"/>
      <c r="B747" s="672" t="s">
        <v>1735</v>
      </c>
      <c r="C747" s="652">
        <v>4650000</v>
      </c>
      <c r="D747" s="652">
        <f>4650000+431000</f>
        <v>5081000</v>
      </c>
      <c r="E747" s="652">
        <v>5080790</v>
      </c>
      <c r="F747" s="652"/>
      <c r="G747" s="1051"/>
      <c r="H747" s="1055"/>
      <c r="I747" s="670"/>
      <c r="J747" s="88">
        <v>0</v>
      </c>
    </row>
    <row r="748" spans="1:10" ht="30" customHeight="1" x14ac:dyDescent="0.2">
      <c r="A748" s="649"/>
      <c r="B748" s="672" t="s">
        <v>1736</v>
      </c>
      <c r="C748" s="652">
        <v>850000</v>
      </c>
      <c r="D748" s="652">
        <v>850000</v>
      </c>
      <c r="E748" s="652">
        <v>637980.62</v>
      </c>
      <c r="F748" s="652"/>
      <c r="G748" s="1051"/>
      <c r="H748" s="1055"/>
      <c r="I748" s="670"/>
      <c r="J748" s="88">
        <v>0</v>
      </c>
    </row>
    <row r="749" spans="1:10" ht="30" customHeight="1" x14ac:dyDescent="0.2">
      <c r="A749" s="649"/>
      <c r="B749" s="720" t="s">
        <v>813</v>
      </c>
      <c r="C749" s="961">
        <f>SUM(C750:C752)</f>
        <v>14350000</v>
      </c>
      <c r="D749" s="961">
        <f>SUM(D750:D752)</f>
        <v>13731830.710000001</v>
      </c>
      <c r="E749" s="961">
        <v>13690330.710000001</v>
      </c>
      <c r="F749" s="961">
        <f>SUM(E750:E752)</f>
        <v>13690330.710000001</v>
      </c>
      <c r="G749" s="1134"/>
      <c r="H749" s="1135"/>
      <c r="I749" s="1136"/>
      <c r="J749" s="88">
        <v>6279038.4699999997</v>
      </c>
    </row>
    <row r="750" spans="1:10" ht="30" customHeight="1" x14ac:dyDescent="0.2">
      <c r="A750" s="649"/>
      <c r="B750" s="668" t="s">
        <v>1737</v>
      </c>
      <c r="C750" s="652">
        <v>14300000</v>
      </c>
      <c r="D750" s="652">
        <f>14300000-617845.43-41009-12687.46-323.86-0.03</f>
        <v>13628134.220000001</v>
      </c>
      <c r="E750" s="652">
        <v>13628134.220000001</v>
      </c>
      <c r="F750" s="652"/>
      <c r="G750" s="1051"/>
      <c r="H750" s="1055"/>
      <c r="I750" s="670"/>
      <c r="J750" s="88">
        <v>6249913.4699999997</v>
      </c>
    </row>
    <row r="751" spans="1:10" ht="30" customHeight="1" x14ac:dyDescent="0.2">
      <c r="A751" s="628"/>
      <c r="B751" s="679" t="s">
        <v>2133</v>
      </c>
      <c r="C751" s="652">
        <v>0</v>
      </c>
      <c r="D751" s="652">
        <f>41009+12687.46+0.03</f>
        <v>53696.49</v>
      </c>
      <c r="E751" s="652">
        <v>53696.49</v>
      </c>
      <c r="F751" s="652"/>
      <c r="G751" s="1051"/>
      <c r="H751" s="1055"/>
      <c r="I751" s="670"/>
      <c r="J751" s="88">
        <v>16552</v>
      </c>
    </row>
    <row r="752" spans="1:10" ht="30" customHeight="1" x14ac:dyDescent="0.2">
      <c r="A752" s="649"/>
      <c r="B752" s="962" t="s">
        <v>1738</v>
      </c>
      <c r="C752" s="652">
        <v>50000</v>
      </c>
      <c r="D752" s="652">
        <v>50000</v>
      </c>
      <c r="E752" s="652">
        <v>8500</v>
      </c>
      <c r="F752" s="652"/>
      <c r="G752" s="1051"/>
      <c r="H752" s="1055"/>
      <c r="I752" s="670"/>
      <c r="J752" s="88">
        <v>0</v>
      </c>
    </row>
    <row r="753" spans="1:10" ht="30" customHeight="1" x14ac:dyDescent="0.2">
      <c r="A753" s="649"/>
      <c r="B753" s="720" t="s">
        <v>823</v>
      </c>
      <c r="C753" s="951">
        <f>SUM(C754:C756)</f>
        <v>1820000</v>
      </c>
      <c r="D753" s="951">
        <f>SUM(D754:D756)</f>
        <v>320000</v>
      </c>
      <c r="E753" s="951">
        <v>130026.6</v>
      </c>
      <c r="F753" s="951">
        <f>SUM(E754:E756)</f>
        <v>130026.6</v>
      </c>
      <c r="G753" s="1134"/>
      <c r="H753" s="1135"/>
      <c r="I753" s="1136"/>
      <c r="J753" s="88">
        <v>0</v>
      </c>
    </row>
    <row r="754" spans="1:10" ht="30" customHeight="1" x14ac:dyDescent="0.2">
      <c r="A754" s="649"/>
      <c r="B754" s="672" t="s">
        <v>824</v>
      </c>
      <c r="C754" s="652">
        <v>200000</v>
      </c>
      <c r="D754" s="652">
        <v>200000</v>
      </c>
      <c r="E754" s="652">
        <v>0</v>
      </c>
      <c r="F754" s="652"/>
      <c r="G754" s="1051"/>
      <c r="H754" s="1055"/>
      <c r="I754" s="670"/>
      <c r="J754" s="88">
        <v>0</v>
      </c>
    </row>
    <row r="755" spans="1:10" ht="30" customHeight="1" x14ac:dyDescent="0.2">
      <c r="A755" s="649"/>
      <c r="B755" s="672" t="s">
        <v>1740</v>
      </c>
      <c r="C755" s="652">
        <v>120000</v>
      </c>
      <c r="D755" s="652">
        <v>120000</v>
      </c>
      <c r="E755" s="652">
        <v>130026.6</v>
      </c>
      <c r="F755" s="652"/>
      <c r="G755" s="1051"/>
      <c r="H755" s="1055"/>
      <c r="I755" s="670"/>
      <c r="J755" s="88">
        <v>0</v>
      </c>
    </row>
    <row r="756" spans="1:10" ht="30" customHeight="1" x14ac:dyDescent="0.2">
      <c r="A756" s="649"/>
      <c r="B756" s="668" t="s">
        <v>826</v>
      </c>
      <c r="C756" s="652">
        <v>1500000</v>
      </c>
      <c r="D756" s="652">
        <f>1500000-1500000</f>
        <v>0</v>
      </c>
      <c r="E756" s="652">
        <v>0</v>
      </c>
      <c r="F756" s="652"/>
      <c r="G756" s="1051"/>
      <c r="H756" s="1055"/>
      <c r="I756" s="670"/>
      <c r="J756" s="88">
        <v>0</v>
      </c>
    </row>
    <row r="757" spans="1:10" ht="30" customHeight="1" x14ac:dyDescent="0.2">
      <c r="A757" s="628">
        <v>3612</v>
      </c>
      <c r="B757" s="629" t="s">
        <v>827</v>
      </c>
      <c r="C757" s="635">
        <f>C758+C760</f>
        <v>56000000</v>
      </c>
      <c r="D757" s="635">
        <f>D758+D760</f>
        <v>50963073</v>
      </c>
      <c r="E757" s="635">
        <v>45861277.729999997</v>
      </c>
      <c r="F757" s="652">
        <f>SUM(E758,E760)</f>
        <v>45861277.729999997</v>
      </c>
      <c r="G757" s="630"/>
      <c r="H757" s="1052"/>
      <c r="I757" s="639"/>
      <c r="J757" s="88">
        <v>37677193.520000003</v>
      </c>
    </row>
    <row r="758" spans="1:10" ht="30" customHeight="1" x14ac:dyDescent="0.2">
      <c r="A758" s="649"/>
      <c r="B758" s="720" t="s">
        <v>801</v>
      </c>
      <c r="C758" s="951">
        <f>SUM(C759)</f>
        <v>1000000</v>
      </c>
      <c r="D758" s="951">
        <f>SUM(D759)</f>
        <v>1000000</v>
      </c>
      <c r="E758" s="951">
        <v>192390</v>
      </c>
      <c r="F758" s="951"/>
      <c r="G758" s="1134"/>
      <c r="H758" s="1135"/>
      <c r="I758" s="1136"/>
      <c r="J758" s="88">
        <v>19732838.989999998</v>
      </c>
    </row>
    <row r="759" spans="1:10" ht="30" customHeight="1" x14ac:dyDescent="0.2">
      <c r="A759" s="649"/>
      <c r="B759" s="672" t="s">
        <v>1742</v>
      </c>
      <c r="C759" s="652">
        <v>1000000</v>
      </c>
      <c r="D759" s="652">
        <v>1000000</v>
      </c>
      <c r="E759" s="652">
        <v>192390</v>
      </c>
      <c r="F759" s="652"/>
      <c r="G759" s="1051"/>
      <c r="H759" s="1055"/>
      <c r="I759" s="670"/>
      <c r="J759" s="88">
        <v>0</v>
      </c>
    </row>
    <row r="760" spans="1:10" ht="30" customHeight="1" x14ac:dyDescent="0.2">
      <c r="A760" s="628"/>
      <c r="B760" s="963" t="s">
        <v>838</v>
      </c>
      <c r="C760" s="964">
        <f>C761+C766+C770+C777+C781+C782+C783+C784+C785+C790</f>
        <v>55000000</v>
      </c>
      <c r="D760" s="964">
        <f>D761+D766+D770+D777+D781+D782+D783+D784+D785+D790</f>
        <v>49963073</v>
      </c>
      <c r="E760" s="964">
        <v>45668887.729999997</v>
      </c>
      <c r="F760" s="964"/>
      <c r="G760" s="1134"/>
      <c r="H760" s="1135"/>
      <c r="I760" s="1136"/>
      <c r="J760" s="88">
        <v>17944354.530000001</v>
      </c>
    </row>
    <row r="761" spans="1:10" s="488" customFormat="1" ht="30" customHeight="1" x14ac:dyDescent="0.2">
      <c r="A761" s="965"/>
      <c r="B761" s="949" t="s">
        <v>839</v>
      </c>
      <c r="C761" s="966">
        <f>SUM(C762:C765)</f>
        <v>10750000</v>
      </c>
      <c r="D761" s="966">
        <f>SUM(D762:D765)</f>
        <v>7050000</v>
      </c>
      <c r="E761" s="966"/>
      <c r="F761" s="1138">
        <f>SUM(E762:E765)</f>
        <v>0</v>
      </c>
      <c r="G761" s="1131"/>
      <c r="H761" s="1132"/>
      <c r="I761" s="1133"/>
      <c r="J761" s="88">
        <v>1971834.13</v>
      </c>
    </row>
    <row r="762" spans="1:10" ht="30" customHeight="1" x14ac:dyDescent="0.2">
      <c r="A762" s="628"/>
      <c r="B762" s="668" t="s">
        <v>1747</v>
      </c>
      <c r="C762" s="712">
        <v>5750000</v>
      </c>
      <c r="D762" s="712">
        <f>5750000-700000</f>
        <v>5050000</v>
      </c>
      <c r="E762" s="712"/>
      <c r="F762" s="712"/>
      <c r="G762" s="1051"/>
      <c r="H762" s="1055"/>
      <c r="I762" s="670"/>
      <c r="J762" s="88">
        <v>1971834.13</v>
      </c>
    </row>
    <row r="763" spans="1:10" ht="30" customHeight="1" x14ac:dyDescent="0.2">
      <c r="A763" s="628"/>
      <c r="B763" s="668" t="s">
        <v>1748</v>
      </c>
      <c r="C763" s="709">
        <v>1000000</v>
      </c>
      <c r="D763" s="709">
        <f>1000000-1000000</f>
        <v>0</v>
      </c>
      <c r="E763" s="709"/>
      <c r="F763" s="709"/>
      <c r="G763" s="1051"/>
      <c r="H763" s="1055"/>
      <c r="I763" s="670"/>
      <c r="J763" s="88">
        <v>0</v>
      </c>
    </row>
    <row r="764" spans="1:10" ht="30" customHeight="1" x14ac:dyDescent="0.2">
      <c r="A764" s="628"/>
      <c r="B764" s="668" t="s">
        <v>1749</v>
      </c>
      <c r="C764" s="709">
        <v>2000000</v>
      </c>
      <c r="D764" s="709">
        <v>2000000</v>
      </c>
      <c r="E764" s="709"/>
      <c r="F764" s="709"/>
      <c r="G764" s="1051"/>
      <c r="H764" s="1055"/>
      <c r="I764" s="670"/>
      <c r="J764" s="88">
        <v>0</v>
      </c>
    </row>
    <row r="765" spans="1:10" ht="30" customHeight="1" x14ac:dyDescent="0.2">
      <c r="A765" s="628"/>
      <c r="B765" s="668" t="s">
        <v>1751</v>
      </c>
      <c r="C765" s="709">
        <v>2000000</v>
      </c>
      <c r="D765" s="709">
        <f>2000000-1500000-500000</f>
        <v>0</v>
      </c>
      <c r="E765" s="709"/>
      <c r="F765" s="709"/>
      <c r="G765" s="1051"/>
      <c r="H765" s="1055"/>
      <c r="I765" s="670"/>
      <c r="J765" s="88">
        <v>0</v>
      </c>
    </row>
    <row r="766" spans="1:10" s="98" customFormat="1" ht="30" customHeight="1" x14ac:dyDescent="0.2">
      <c r="A766" s="628"/>
      <c r="B766" s="971" t="s">
        <v>2134</v>
      </c>
      <c r="C766" s="972">
        <f>SUM(C767:C768)</f>
        <v>3400000</v>
      </c>
      <c r="D766" s="972">
        <f>D767+D768</f>
        <v>3200000</v>
      </c>
      <c r="E766" s="972"/>
      <c r="F766" s="951">
        <f>SUM(E767:E769)</f>
        <v>0</v>
      </c>
      <c r="G766" s="1131"/>
      <c r="H766" s="1132"/>
      <c r="I766" s="1133"/>
      <c r="J766" s="88">
        <v>1940719.67</v>
      </c>
    </row>
    <row r="767" spans="1:10" ht="30" customHeight="1" x14ac:dyDescent="0.2">
      <c r="A767" s="649"/>
      <c r="B767" s="668" t="s">
        <v>1754</v>
      </c>
      <c r="C767" s="652">
        <v>3000000</v>
      </c>
      <c r="D767" s="652">
        <v>3000000</v>
      </c>
      <c r="E767" s="652"/>
      <c r="F767" s="652"/>
      <c r="G767" s="1051"/>
      <c r="H767" s="1055"/>
      <c r="I767" s="670"/>
      <c r="J767" s="88">
        <v>1940719.67</v>
      </c>
    </row>
    <row r="768" spans="1:10" ht="30" customHeight="1" x14ac:dyDescent="0.2">
      <c r="A768" s="649"/>
      <c r="B768" s="679" t="s">
        <v>845</v>
      </c>
      <c r="C768" s="652">
        <f>SUM(C769)</f>
        <v>400000</v>
      </c>
      <c r="D768" s="652">
        <f>SUM(D769)</f>
        <v>200000</v>
      </c>
      <c r="E768" s="652"/>
      <c r="F768" s="652"/>
      <c r="G768" s="1051"/>
      <c r="H768" s="1055"/>
      <c r="I768" s="670"/>
      <c r="J768" s="88">
        <v>0</v>
      </c>
    </row>
    <row r="769" spans="1:10" ht="30" customHeight="1" x14ac:dyDescent="0.2">
      <c r="A769" s="649"/>
      <c r="B769" s="679" t="s">
        <v>1755</v>
      </c>
      <c r="C769" s="652">
        <v>400000</v>
      </c>
      <c r="D769" s="652">
        <f>400000-200000</f>
        <v>200000</v>
      </c>
      <c r="E769" s="652"/>
      <c r="F769" s="652"/>
      <c r="G769" s="1051"/>
      <c r="H769" s="1055"/>
      <c r="I769" s="670"/>
      <c r="J769" s="88">
        <v>0</v>
      </c>
    </row>
    <row r="770" spans="1:10" s="488" customFormat="1" ht="30" customHeight="1" x14ac:dyDescent="0.2">
      <c r="A770" s="969"/>
      <c r="B770" s="973" t="s">
        <v>2135</v>
      </c>
      <c r="C770" s="972">
        <f t="shared" ref="C770:D770" si="24">C771+C772</f>
        <v>5350000</v>
      </c>
      <c r="D770" s="972">
        <f t="shared" si="24"/>
        <v>2113073</v>
      </c>
      <c r="E770" s="972"/>
      <c r="F770" s="951">
        <f>SUM(E771:E776)</f>
        <v>0</v>
      </c>
      <c r="G770" s="1131"/>
      <c r="H770" s="1132"/>
      <c r="I770" s="1133"/>
      <c r="J770" s="88">
        <v>1927534.36</v>
      </c>
    </row>
    <row r="771" spans="1:10" s="488" customFormat="1" ht="30" customHeight="1" x14ac:dyDescent="0.2">
      <c r="A771" s="969"/>
      <c r="B771" s="974" t="s">
        <v>844</v>
      </c>
      <c r="C771" s="975">
        <v>3000000</v>
      </c>
      <c r="D771" s="975">
        <f>3000000-500000-1500000</f>
        <v>1000000</v>
      </c>
      <c r="E771" s="975"/>
      <c r="F771" s="975"/>
      <c r="G771" s="1051"/>
      <c r="H771" s="1055"/>
      <c r="I771" s="670"/>
      <c r="J771" s="88">
        <v>1757070.16</v>
      </c>
    </row>
    <row r="772" spans="1:10" s="488" customFormat="1" ht="30" customHeight="1" x14ac:dyDescent="0.2">
      <c r="A772" s="649"/>
      <c r="B772" s="679" t="s">
        <v>849</v>
      </c>
      <c r="C772" s="652">
        <f>SUM(C773:C776)</f>
        <v>2350000</v>
      </c>
      <c r="D772" s="652">
        <f>SUM(D773:D776)</f>
        <v>1113073</v>
      </c>
      <c r="E772" s="652"/>
      <c r="F772" s="652"/>
      <c r="G772" s="1051"/>
      <c r="H772" s="1055"/>
      <c r="I772" s="670"/>
      <c r="J772" s="88">
        <v>170464.3</v>
      </c>
    </row>
    <row r="773" spans="1:10" ht="30" customHeight="1" x14ac:dyDescent="0.2">
      <c r="A773" s="649"/>
      <c r="B773" s="672" t="s">
        <v>1760</v>
      </c>
      <c r="C773" s="652">
        <v>500000</v>
      </c>
      <c r="D773" s="652">
        <v>500000</v>
      </c>
      <c r="E773" s="652"/>
      <c r="F773" s="652"/>
      <c r="G773" s="1051"/>
      <c r="H773" s="1055"/>
      <c r="I773" s="670"/>
      <c r="J773" s="88">
        <v>0</v>
      </c>
    </row>
    <row r="774" spans="1:10" ht="30" customHeight="1" x14ac:dyDescent="0.2">
      <c r="A774" s="649"/>
      <c r="B774" s="679" t="s">
        <v>1761</v>
      </c>
      <c r="C774" s="644">
        <v>250000</v>
      </c>
      <c r="D774" s="644">
        <f>250000+13073-250000</f>
        <v>13073</v>
      </c>
      <c r="E774" s="644"/>
      <c r="F774" s="644"/>
      <c r="G774" s="1051"/>
      <c r="H774" s="1055"/>
      <c r="I774" s="670"/>
      <c r="J774" s="88">
        <v>0</v>
      </c>
    </row>
    <row r="775" spans="1:10" ht="30" customHeight="1" x14ac:dyDescent="0.2">
      <c r="A775" s="969"/>
      <c r="B775" s="668" t="s">
        <v>1762</v>
      </c>
      <c r="C775" s="652">
        <v>600000</v>
      </c>
      <c r="D775" s="652">
        <f>600000-300000</f>
        <v>300000</v>
      </c>
      <c r="E775" s="652"/>
      <c r="F775" s="652"/>
      <c r="G775" s="1051"/>
      <c r="H775" s="1055"/>
      <c r="I775" s="670"/>
      <c r="J775" s="88">
        <v>0</v>
      </c>
    </row>
    <row r="776" spans="1:10" ht="30" customHeight="1" x14ac:dyDescent="0.2">
      <c r="A776" s="969"/>
      <c r="B776" s="668" t="s">
        <v>1763</v>
      </c>
      <c r="C776" s="652">
        <v>1000000</v>
      </c>
      <c r="D776" s="652">
        <f>1000000-500000-200000</f>
        <v>300000</v>
      </c>
      <c r="E776" s="652"/>
      <c r="F776" s="652"/>
      <c r="G776" s="1051"/>
      <c r="H776" s="1055"/>
      <c r="I776" s="670"/>
      <c r="J776" s="88">
        <v>0</v>
      </c>
    </row>
    <row r="777" spans="1:10" s="488" customFormat="1" ht="30" customHeight="1" x14ac:dyDescent="0.2">
      <c r="A777" s="969"/>
      <c r="B777" s="976" t="s">
        <v>1766</v>
      </c>
      <c r="C777" s="977">
        <f t="shared" ref="C777:D777" si="25">C778+C779</f>
        <v>2750000</v>
      </c>
      <c r="D777" s="977">
        <f t="shared" si="25"/>
        <v>2500000</v>
      </c>
      <c r="E777" s="977"/>
      <c r="F777" s="961">
        <f>SUM(E778:E780)</f>
        <v>0</v>
      </c>
      <c r="G777" s="1131"/>
      <c r="H777" s="1132"/>
      <c r="I777" s="1133"/>
      <c r="J777" s="88">
        <v>630503.11</v>
      </c>
    </row>
    <row r="778" spans="1:10" s="488" customFormat="1" ht="30" customHeight="1" x14ac:dyDescent="0.2">
      <c r="A778" s="969"/>
      <c r="B778" s="668" t="s">
        <v>858</v>
      </c>
      <c r="C778" s="644">
        <v>2500000</v>
      </c>
      <c r="D778" s="644">
        <v>2500000</v>
      </c>
      <c r="E778" s="644"/>
      <c r="F778" s="644"/>
      <c r="G778" s="1051"/>
      <c r="H778" s="1055"/>
      <c r="I778" s="670"/>
      <c r="J778" s="88">
        <v>630503.11</v>
      </c>
    </row>
    <row r="779" spans="1:10" s="488" customFormat="1" ht="30" customHeight="1" x14ac:dyDescent="0.2">
      <c r="A779" s="649"/>
      <c r="B779" s="672" t="s">
        <v>859</v>
      </c>
      <c r="C779" s="644">
        <f>SUM(C780)</f>
        <v>250000</v>
      </c>
      <c r="D779" s="644">
        <f>SUM(D780)</f>
        <v>0</v>
      </c>
      <c r="E779" s="644"/>
      <c r="F779" s="644"/>
      <c r="G779" s="1051"/>
      <c r="H779" s="1055"/>
      <c r="I779" s="670"/>
      <c r="J779" s="88">
        <v>0</v>
      </c>
    </row>
    <row r="780" spans="1:10" ht="30" customHeight="1" x14ac:dyDescent="0.2">
      <c r="A780" s="649"/>
      <c r="B780" s="672" t="s">
        <v>863</v>
      </c>
      <c r="C780" s="644">
        <v>250000</v>
      </c>
      <c r="D780" s="644">
        <f>250000-250000</f>
        <v>0</v>
      </c>
      <c r="E780" s="644"/>
      <c r="F780" s="644"/>
      <c r="G780" s="1051"/>
      <c r="H780" s="1055"/>
      <c r="I780" s="670"/>
      <c r="J780" s="88">
        <v>0</v>
      </c>
    </row>
    <row r="781" spans="1:10" s="488" customFormat="1" ht="30" customHeight="1" x14ac:dyDescent="0.2">
      <c r="A781" s="969"/>
      <c r="B781" s="980" t="s">
        <v>1768</v>
      </c>
      <c r="C781" s="644">
        <v>400000</v>
      </c>
      <c r="D781" s="644">
        <v>400000</v>
      </c>
      <c r="E781" s="644">
        <v>182236</v>
      </c>
      <c r="F781" s="644"/>
      <c r="G781" s="1051"/>
      <c r="H781" s="1055"/>
      <c r="I781" s="670"/>
      <c r="J781" s="88">
        <v>99578</v>
      </c>
    </row>
    <row r="782" spans="1:10" s="488" customFormat="1" ht="30" customHeight="1" x14ac:dyDescent="0.2">
      <c r="A782" s="969"/>
      <c r="B782" s="980" t="s">
        <v>1769</v>
      </c>
      <c r="C782" s="644">
        <v>3000000</v>
      </c>
      <c r="D782" s="644">
        <v>3000000</v>
      </c>
      <c r="E782" s="644"/>
      <c r="F782" s="644"/>
      <c r="G782" s="1051"/>
      <c r="H782" s="1055"/>
      <c r="I782" s="670"/>
      <c r="J782" s="32">
        <v>1110664.55</v>
      </c>
    </row>
    <row r="783" spans="1:10" s="488" customFormat="1" ht="30" customHeight="1" x14ac:dyDescent="0.2">
      <c r="A783" s="969"/>
      <c r="B783" s="981" t="s">
        <v>1770</v>
      </c>
      <c r="C783" s="644">
        <v>100000</v>
      </c>
      <c r="D783" s="644">
        <v>100000</v>
      </c>
      <c r="E783" s="644">
        <v>91099</v>
      </c>
      <c r="F783" s="644"/>
      <c r="G783" s="1051"/>
      <c r="H783" s="1055"/>
      <c r="I783" s="670"/>
      <c r="J783" s="88">
        <v>43608</v>
      </c>
    </row>
    <row r="784" spans="1:10" s="488" customFormat="1" ht="30" customHeight="1" x14ac:dyDescent="0.2">
      <c r="A784" s="969"/>
      <c r="B784" s="982" t="s">
        <v>1771</v>
      </c>
      <c r="C784" s="951">
        <v>100000</v>
      </c>
      <c r="D784" s="951">
        <v>100000</v>
      </c>
      <c r="E784" s="951">
        <v>57834.1</v>
      </c>
      <c r="F784" s="951"/>
      <c r="G784" s="1134"/>
      <c r="H784" s="1135"/>
      <c r="I784" s="1136"/>
      <c r="J784" s="88">
        <v>8766</v>
      </c>
    </row>
    <row r="785" spans="1:10" s="488" customFormat="1" ht="30" customHeight="1" x14ac:dyDescent="0.2">
      <c r="A785" s="969"/>
      <c r="B785" s="982" t="s">
        <v>1772</v>
      </c>
      <c r="C785" s="961">
        <f>C786+C787+C788+C789</f>
        <v>29050000</v>
      </c>
      <c r="D785" s="961">
        <f>D786+D787+D788+D789</f>
        <v>31500000</v>
      </c>
      <c r="E785" s="961">
        <v>29885926.690000001</v>
      </c>
      <c r="F785" s="961">
        <f>SUM(E786:E790)</f>
        <v>29885926.690000001</v>
      </c>
      <c r="G785" s="1134"/>
      <c r="H785" s="1135"/>
      <c r="I785" s="1136"/>
      <c r="J785" s="88">
        <v>10026424.140000001</v>
      </c>
    </row>
    <row r="786" spans="1:10" s="488" customFormat="1" ht="30" customHeight="1" x14ac:dyDescent="0.2">
      <c r="A786" s="969"/>
      <c r="B786" s="983" t="s">
        <v>1773</v>
      </c>
      <c r="C786" s="652">
        <v>5600000</v>
      </c>
      <c r="D786" s="652">
        <f>5600000+2450000</f>
        <v>8050000</v>
      </c>
      <c r="E786" s="652">
        <v>8045892.1100000003</v>
      </c>
      <c r="F786" s="652"/>
      <c r="G786" s="1051"/>
      <c r="H786" s="1055"/>
      <c r="I786" s="670"/>
      <c r="J786" s="88">
        <v>2571149.94</v>
      </c>
    </row>
    <row r="787" spans="1:10" s="488" customFormat="1" ht="30" customHeight="1" x14ac:dyDescent="0.2">
      <c r="A787" s="649"/>
      <c r="B787" s="979" t="s">
        <v>1774</v>
      </c>
      <c r="C787" s="644">
        <v>20000000</v>
      </c>
      <c r="D787" s="644">
        <v>20000000</v>
      </c>
      <c r="E787" s="644">
        <v>19917859.59</v>
      </c>
      <c r="F787" s="644"/>
      <c r="G787" s="1051"/>
      <c r="H787" s="1055"/>
      <c r="I787" s="670"/>
      <c r="J787" s="88">
        <v>7140732.1100000003</v>
      </c>
    </row>
    <row r="788" spans="1:10" s="488" customFormat="1" ht="30" customHeight="1" x14ac:dyDescent="0.2">
      <c r="A788" s="649"/>
      <c r="B788" s="672" t="s">
        <v>1775</v>
      </c>
      <c r="C788" s="644">
        <v>900000</v>
      </c>
      <c r="D788" s="644">
        <v>900000</v>
      </c>
      <c r="E788" s="644">
        <v>383733.37</v>
      </c>
      <c r="F788" s="644"/>
      <c r="G788" s="1051"/>
      <c r="H788" s="1055"/>
      <c r="I788" s="670"/>
      <c r="J788" s="88">
        <v>76173.649999999994</v>
      </c>
    </row>
    <row r="789" spans="1:10" ht="30" customHeight="1" x14ac:dyDescent="0.2">
      <c r="A789" s="649"/>
      <c r="B789" s="668" t="s">
        <v>1776</v>
      </c>
      <c r="C789" s="644">
        <v>2550000</v>
      </c>
      <c r="D789" s="644">
        <v>2550000</v>
      </c>
      <c r="E789" s="644">
        <v>1538441.62</v>
      </c>
      <c r="F789" s="644"/>
      <c r="G789" s="1051"/>
      <c r="H789" s="1055"/>
      <c r="I789" s="670"/>
      <c r="J789" s="88">
        <v>238368.44</v>
      </c>
    </row>
    <row r="790" spans="1:10" ht="30" customHeight="1" x14ac:dyDescent="0.2">
      <c r="A790" s="649"/>
      <c r="B790" s="668" t="s">
        <v>872</v>
      </c>
      <c r="C790" s="644">
        <v>100000</v>
      </c>
      <c r="D790" s="644">
        <f>100000-80000-20000</f>
        <v>0</v>
      </c>
      <c r="E790" s="644">
        <v>0</v>
      </c>
      <c r="F790" s="644"/>
      <c r="G790" s="1051"/>
      <c r="H790" s="1055"/>
      <c r="I790" s="670"/>
      <c r="J790" s="88">
        <v>0</v>
      </c>
    </row>
    <row r="791" spans="1:10" s="98" customFormat="1" ht="30" customHeight="1" x14ac:dyDescent="0.2">
      <c r="A791" s="628">
        <v>3613</v>
      </c>
      <c r="B791" s="634" t="s">
        <v>873</v>
      </c>
      <c r="C791" s="637">
        <f>C792+C801+C802+C803+C808+C820+C821</f>
        <v>32875000</v>
      </c>
      <c r="D791" s="637">
        <f>D792+D801+D802+D803+D808+D820+D821</f>
        <v>25516407.989999998</v>
      </c>
      <c r="E791" s="637">
        <v>15201152.07</v>
      </c>
      <c r="F791" s="644"/>
      <c r="G791" s="630"/>
      <c r="H791" s="1052"/>
      <c r="I791" s="639"/>
      <c r="J791" s="88">
        <v>9073253.8800000008</v>
      </c>
    </row>
    <row r="792" spans="1:10" s="488" customFormat="1" ht="30" customHeight="1" x14ac:dyDescent="0.2">
      <c r="A792" s="984"/>
      <c r="B792" s="985" t="s">
        <v>874</v>
      </c>
      <c r="C792" s="961">
        <f>SUM(C793:C800)</f>
        <v>7570000</v>
      </c>
      <c r="D792" s="961">
        <f>SUM(D793:D800)</f>
        <v>1677022.18</v>
      </c>
      <c r="E792" s="961">
        <v>1159611.3500000001</v>
      </c>
      <c r="F792" s="961">
        <f>SUM(E793:E800)</f>
        <v>707958.35000000009</v>
      </c>
      <c r="G792" s="1134"/>
      <c r="H792" s="1135"/>
      <c r="I792" s="1136"/>
      <c r="J792" s="88">
        <v>4963012.2699999996</v>
      </c>
    </row>
    <row r="793" spans="1:10" ht="30" customHeight="1" x14ac:dyDescent="0.2">
      <c r="A793" s="625"/>
      <c r="B793" s="668" t="s">
        <v>1778</v>
      </c>
      <c r="C793" s="644">
        <v>400000</v>
      </c>
      <c r="D793" s="644">
        <f>400000-400000</f>
        <v>0</v>
      </c>
      <c r="E793" s="644">
        <v>0</v>
      </c>
      <c r="F793" s="644"/>
      <c r="G793" s="1051"/>
      <c r="H793" s="1055"/>
      <c r="I793" s="670"/>
      <c r="J793" s="88">
        <v>0</v>
      </c>
    </row>
    <row r="794" spans="1:10" ht="30" customHeight="1" x14ac:dyDescent="0.2">
      <c r="A794" s="965"/>
      <c r="B794" s="668" t="s">
        <v>1780</v>
      </c>
      <c r="C794" s="652">
        <v>220000</v>
      </c>
      <c r="D794" s="652">
        <v>220000</v>
      </c>
      <c r="E794" s="652">
        <v>200327.6</v>
      </c>
      <c r="F794" s="652"/>
      <c r="G794" s="1051"/>
      <c r="H794" s="1055"/>
      <c r="I794" s="670"/>
      <c r="J794" s="88">
        <v>0</v>
      </c>
    </row>
    <row r="795" spans="1:10" ht="30" customHeight="1" x14ac:dyDescent="0.2">
      <c r="A795" s="628"/>
      <c r="B795" s="986" t="s">
        <v>1995</v>
      </c>
      <c r="C795" s="644">
        <v>150000</v>
      </c>
      <c r="D795" s="644">
        <f>150000+150000+(-32630-110347.82)</f>
        <v>157022.18</v>
      </c>
      <c r="E795" s="644">
        <v>157022.18</v>
      </c>
      <c r="F795" s="644"/>
      <c r="G795" s="1051"/>
      <c r="H795" s="1055"/>
      <c r="I795" s="670"/>
      <c r="J795" s="88">
        <v>0</v>
      </c>
    </row>
    <row r="796" spans="1:10" ht="30" customHeight="1" x14ac:dyDescent="0.2">
      <c r="A796" s="625"/>
      <c r="B796" s="986" t="s">
        <v>1786</v>
      </c>
      <c r="C796" s="644">
        <v>800000</v>
      </c>
      <c r="D796" s="644">
        <f>800000-600000</f>
        <v>200000</v>
      </c>
      <c r="E796" s="644">
        <v>0</v>
      </c>
      <c r="F796" s="644"/>
      <c r="G796" s="1051"/>
      <c r="H796" s="1055"/>
      <c r="I796" s="670"/>
      <c r="J796" s="88">
        <v>0</v>
      </c>
    </row>
    <row r="797" spans="1:10" ht="30" customHeight="1" x14ac:dyDescent="0.2">
      <c r="A797" s="625"/>
      <c r="B797" s="672" t="s">
        <v>1787</v>
      </c>
      <c r="C797" s="644">
        <v>4000000</v>
      </c>
      <c r="D797" s="644">
        <f>4000000-4000000</f>
        <v>0</v>
      </c>
      <c r="E797" s="644"/>
      <c r="F797" s="644"/>
      <c r="G797" s="1051"/>
      <c r="H797" s="1055"/>
      <c r="I797" s="670"/>
      <c r="J797" s="88">
        <v>0</v>
      </c>
    </row>
    <row r="798" spans="1:10" ht="30" customHeight="1" x14ac:dyDescent="0.2">
      <c r="A798" s="625"/>
      <c r="B798" s="672" t="s">
        <v>1788</v>
      </c>
      <c r="C798" s="644">
        <v>700000</v>
      </c>
      <c r="D798" s="644">
        <v>700000</v>
      </c>
      <c r="E798" s="644"/>
      <c r="F798" s="644"/>
      <c r="G798" s="1051"/>
      <c r="H798" s="1055"/>
      <c r="I798" s="670"/>
      <c r="J798" s="88">
        <v>0</v>
      </c>
    </row>
    <row r="799" spans="1:10" ht="30" customHeight="1" x14ac:dyDescent="0.2">
      <c r="A799" s="625"/>
      <c r="B799" s="672" t="s">
        <v>1789</v>
      </c>
      <c r="C799" s="644">
        <v>900000</v>
      </c>
      <c r="D799" s="644">
        <f>900000-900000</f>
        <v>0</v>
      </c>
      <c r="E799" s="644"/>
      <c r="F799" s="644"/>
      <c r="G799" s="1051"/>
      <c r="H799" s="1055"/>
      <c r="I799" s="670"/>
      <c r="J799" s="88">
        <v>0</v>
      </c>
    </row>
    <row r="800" spans="1:10" ht="30" customHeight="1" x14ac:dyDescent="0.2">
      <c r="A800" s="625"/>
      <c r="B800" s="987" t="s">
        <v>1790</v>
      </c>
      <c r="C800" s="644">
        <v>400000</v>
      </c>
      <c r="D800" s="644">
        <v>400000</v>
      </c>
      <c r="E800" s="644">
        <v>350608.57</v>
      </c>
      <c r="F800" s="644"/>
      <c r="G800" s="1051"/>
      <c r="H800" s="1055"/>
      <c r="I800" s="670"/>
      <c r="J800" s="88">
        <v>0</v>
      </c>
    </row>
    <row r="801" spans="1:10" ht="30" customHeight="1" x14ac:dyDescent="0.2">
      <c r="A801" s="625"/>
      <c r="B801" s="720" t="s">
        <v>1791</v>
      </c>
      <c r="C801" s="951">
        <v>30000</v>
      </c>
      <c r="D801" s="951">
        <f>30000+4000+100000</f>
        <v>134000</v>
      </c>
      <c r="E801" s="951"/>
      <c r="F801" s="951"/>
      <c r="G801" s="1134"/>
      <c r="H801" s="1135"/>
      <c r="I801" s="1136"/>
      <c r="J801" s="88">
        <v>240977.55</v>
      </c>
    </row>
    <row r="802" spans="1:10" ht="30" customHeight="1" x14ac:dyDescent="0.2">
      <c r="A802" s="625"/>
      <c r="B802" s="720" t="s">
        <v>1792</v>
      </c>
      <c r="C802" s="961">
        <v>80000</v>
      </c>
      <c r="D802" s="961">
        <v>80000</v>
      </c>
      <c r="E802" s="961"/>
      <c r="F802" s="961"/>
      <c r="G802" s="1134"/>
      <c r="H802" s="1135"/>
      <c r="I802" s="1136"/>
      <c r="J802" s="88">
        <v>6442</v>
      </c>
    </row>
    <row r="803" spans="1:10" ht="30" customHeight="1" x14ac:dyDescent="0.2">
      <c r="A803" s="965"/>
      <c r="B803" s="720" t="s">
        <v>1793</v>
      </c>
      <c r="C803" s="961">
        <f>C804+C805+C806+C807</f>
        <v>7900000</v>
      </c>
      <c r="D803" s="961">
        <f>D804+D805+D806+D807</f>
        <v>7900000</v>
      </c>
      <c r="E803" s="961">
        <v>4870920.29</v>
      </c>
      <c r="F803" s="961">
        <f>SUM(E804:E807)</f>
        <v>4870920.29</v>
      </c>
      <c r="G803" s="1134"/>
      <c r="H803" s="1135"/>
      <c r="I803" s="1136"/>
      <c r="J803" s="88">
        <v>2045147.68</v>
      </c>
    </row>
    <row r="804" spans="1:10" ht="30" customHeight="1" x14ac:dyDescent="0.2">
      <c r="A804" s="965"/>
      <c r="B804" s="720" t="s">
        <v>1794</v>
      </c>
      <c r="C804" s="644">
        <v>1000000</v>
      </c>
      <c r="D804" s="644">
        <v>1000000</v>
      </c>
      <c r="E804" s="644">
        <v>661275.5</v>
      </c>
      <c r="F804" s="644"/>
      <c r="G804" s="1051"/>
      <c r="H804" s="1055"/>
      <c r="I804" s="1136"/>
      <c r="J804" s="88">
        <v>525045.07999999996</v>
      </c>
    </row>
    <row r="805" spans="1:10" ht="30" customHeight="1" x14ac:dyDescent="0.2">
      <c r="A805" s="965"/>
      <c r="B805" s="720" t="s">
        <v>891</v>
      </c>
      <c r="C805" s="644">
        <v>2000000</v>
      </c>
      <c r="D805" s="644">
        <v>2000000</v>
      </c>
      <c r="E805" s="644">
        <v>756560.93</v>
      </c>
      <c r="F805" s="644"/>
      <c r="G805" s="1051"/>
      <c r="H805" s="1055"/>
      <c r="I805" s="670"/>
      <c r="J805" s="88">
        <v>403482.95</v>
      </c>
    </row>
    <row r="806" spans="1:10" ht="30" customHeight="1" x14ac:dyDescent="0.2">
      <c r="A806" s="628"/>
      <c r="B806" s="979" t="s">
        <v>892</v>
      </c>
      <c r="C806" s="652">
        <v>2050000</v>
      </c>
      <c r="D806" s="652">
        <v>2050000</v>
      </c>
      <c r="E806" s="652">
        <v>1516403.54</v>
      </c>
      <c r="F806" s="652"/>
      <c r="G806" s="1051"/>
      <c r="H806" s="1055"/>
      <c r="I806" s="670"/>
      <c r="J806" s="88">
        <v>223475.31</v>
      </c>
    </row>
    <row r="807" spans="1:10" ht="30" customHeight="1" x14ac:dyDescent="0.2">
      <c r="A807" s="628"/>
      <c r="B807" s="979" t="s">
        <v>1795</v>
      </c>
      <c r="C807" s="652">
        <v>2850000</v>
      </c>
      <c r="D807" s="652">
        <v>2850000</v>
      </c>
      <c r="E807" s="652">
        <v>1936680.32</v>
      </c>
      <c r="F807" s="652"/>
      <c r="G807" s="1051"/>
      <c r="H807" s="1055"/>
      <c r="I807" s="670"/>
      <c r="J807" s="88">
        <v>893144.34</v>
      </c>
    </row>
    <row r="808" spans="1:10" ht="30" customHeight="1" x14ac:dyDescent="0.2">
      <c r="A808" s="628"/>
      <c r="B808" s="985" t="s">
        <v>894</v>
      </c>
      <c r="C808" s="951">
        <f>SUM(C809:C819)</f>
        <v>7495000</v>
      </c>
      <c r="D808" s="951">
        <f>SUM(D809:D819)</f>
        <v>4511000</v>
      </c>
      <c r="E808" s="951"/>
      <c r="F808" s="951">
        <f>SUM(E809:E819)</f>
        <v>2281597</v>
      </c>
      <c r="G808" s="1134"/>
      <c r="H808" s="1135"/>
      <c r="I808" s="1136"/>
      <c r="J808" s="88">
        <v>1421546.11</v>
      </c>
    </row>
    <row r="809" spans="1:10" ht="30" customHeight="1" x14ac:dyDescent="0.2">
      <c r="A809" s="628"/>
      <c r="B809" s="979" t="s">
        <v>1796</v>
      </c>
      <c r="C809" s="652">
        <v>700000</v>
      </c>
      <c r="D809" s="652">
        <v>700000</v>
      </c>
      <c r="E809" s="652"/>
      <c r="F809" s="652"/>
      <c r="G809" s="1051"/>
      <c r="H809" s="1055"/>
      <c r="I809" s="670"/>
      <c r="J809" s="88">
        <v>0</v>
      </c>
    </row>
    <row r="810" spans="1:10" ht="30" customHeight="1" x14ac:dyDescent="0.2">
      <c r="A810" s="628"/>
      <c r="B810" s="679" t="s">
        <v>1797</v>
      </c>
      <c r="C810" s="652">
        <v>1300000</v>
      </c>
      <c r="D810" s="652">
        <f>1300000-100000</f>
        <v>1200000</v>
      </c>
      <c r="E810" s="652"/>
      <c r="F810" s="652"/>
      <c r="G810" s="1051"/>
      <c r="H810" s="1055"/>
      <c r="I810" s="670"/>
      <c r="J810" s="88">
        <v>391960.61</v>
      </c>
    </row>
    <row r="811" spans="1:10" ht="30" customHeight="1" x14ac:dyDescent="0.2">
      <c r="A811" s="628"/>
      <c r="B811" s="679" t="s">
        <v>1798</v>
      </c>
      <c r="C811" s="652">
        <v>50000</v>
      </c>
      <c r="D811" s="652">
        <v>50000</v>
      </c>
      <c r="E811" s="652"/>
      <c r="F811" s="652"/>
      <c r="G811" s="1051"/>
      <c r="H811" s="1055"/>
      <c r="I811" s="670"/>
      <c r="J811" s="88">
        <v>0</v>
      </c>
    </row>
    <row r="812" spans="1:10" ht="30" customHeight="1" x14ac:dyDescent="0.2">
      <c r="A812" s="628"/>
      <c r="B812" s="672" t="s">
        <v>900</v>
      </c>
      <c r="C812" s="652">
        <v>100000</v>
      </c>
      <c r="D812" s="652">
        <v>100000</v>
      </c>
      <c r="E812" s="652">
        <v>0</v>
      </c>
      <c r="F812" s="652"/>
      <c r="G812" s="1051"/>
      <c r="H812" s="1055"/>
      <c r="I812" s="670"/>
      <c r="J812" s="88">
        <v>0</v>
      </c>
    </row>
    <row r="813" spans="1:10" ht="30" customHeight="1" x14ac:dyDescent="0.2">
      <c r="A813" s="628"/>
      <c r="B813" s="979" t="s">
        <v>1799</v>
      </c>
      <c r="C813" s="652">
        <v>50000</v>
      </c>
      <c r="D813" s="652">
        <f>50000+146700-4000</f>
        <v>192700</v>
      </c>
      <c r="E813" s="652">
        <v>93716</v>
      </c>
      <c r="F813" s="652"/>
      <c r="G813" s="1051"/>
      <c r="H813" s="1055"/>
      <c r="I813" s="670"/>
      <c r="J813" s="88">
        <v>48400</v>
      </c>
    </row>
    <row r="814" spans="1:10" ht="30" customHeight="1" x14ac:dyDescent="0.2">
      <c r="A814" s="628"/>
      <c r="B814" s="987" t="s">
        <v>1800</v>
      </c>
      <c r="C814" s="652">
        <v>350000</v>
      </c>
      <c r="D814" s="652">
        <v>350000</v>
      </c>
      <c r="E814" s="652">
        <v>272481</v>
      </c>
      <c r="F814" s="652"/>
      <c r="G814" s="1051"/>
      <c r="H814" s="1055"/>
      <c r="I814" s="670"/>
      <c r="J814" s="88">
        <v>146794</v>
      </c>
    </row>
    <row r="815" spans="1:10" ht="30" customHeight="1" x14ac:dyDescent="0.2">
      <c r="A815" s="628"/>
      <c r="B815" s="988" t="s">
        <v>1801</v>
      </c>
      <c r="C815" s="652">
        <v>150000</v>
      </c>
      <c r="D815" s="652">
        <f>150000-146700</f>
        <v>3300</v>
      </c>
      <c r="E815" s="652">
        <v>3300</v>
      </c>
      <c r="F815" s="652"/>
      <c r="G815" s="1051"/>
      <c r="H815" s="1055"/>
      <c r="I815" s="670"/>
      <c r="J815" s="88">
        <v>0</v>
      </c>
    </row>
    <row r="816" spans="1:10" ht="30" customHeight="1" x14ac:dyDescent="0.2">
      <c r="A816" s="628"/>
      <c r="B816" s="679" t="s">
        <v>1996</v>
      </c>
      <c r="C816" s="652">
        <v>2180000</v>
      </c>
      <c r="D816" s="652">
        <f>2180000-280000</f>
        <v>1900000</v>
      </c>
      <c r="E816" s="652">
        <v>1900000</v>
      </c>
      <c r="F816" s="652"/>
      <c r="G816" s="1051"/>
      <c r="H816" s="1055"/>
      <c r="I816" s="670"/>
      <c r="J816" s="88">
        <v>802871</v>
      </c>
    </row>
    <row r="817" spans="1:10" ht="30" customHeight="1" x14ac:dyDescent="0.2">
      <c r="A817" s="628"/>
      <c r="B817" s="987" t="s">
        <v>904</v>
      </c>
      <c r="C817" s="652">
        <v>100000</v>
      </c>
      <c r="D817" s="652">
        <f>100000-80000-20000</f>
        <v>0</v>
      </c>
      <c r="E817" s="652">
        <v>0</v>
      </c>
      <c r="F817" s="652"/>
      <c r="G817" s="1051"/>
      <c r="H817" s="1055"/>
      <c r="I817" s="670"/>
      <c r="J817" s="88">
        <v>0</v>
      </c>
    </row>
    <row r="818" spans="1:10" ht="30" customHeight="1" x14ac:dyDescent="0.2">
      <c r="A818" s="628"/>
      <c r="B818" s="672" t="s">
        <v>2137</v>
      </c>
      <c r="C818" s="652">
        <v>15000</v>
      </c>
      <c r="D818" s="652">
        <v>15000</v>
      </c>
      <c r="E818" s="652">
        <v>12100</v>
      </c>
      <c r="F818" s="652"/>
      <c r="G818" s="1051"/>
      <c r="H818" s="1055"/>
      <c r="I818" s="670"/>
      <c r="J818" s="88">
        <v>7260</v>
      </c>
    </row>
    <row r="819" spans="1:10" ht="28.9" customHeight="1" x14ac:dyDescent="0.2">
      <c r="A819" s="628"/>
      <c r="B819" s="668" t="s">
        <v>1804</v>
      </c>
      <c r="C819" s="652">
        <v>2500000</v>
      </c>
      <c r="D819" s="652">
        <f>2500000-2500000</f>
        <v>0</v>
      </c>
      <c r="E819" s="652">
        <v>0</v>
      </c>
      <c r="F819" s="652"/>
      <c r="G819" s="1051"/>
      <c r="H819" s="1055"/>
      <c r="I819" s="670"/>
      <c r="J819" s="32">
        <v>0</v>
      </c>
    </row>
    <row r="820" spans="1:10" ht="30" customHeight="1" x14ac:dyDescent="0.2">
      <c r="A820" s="965"/>
      <c r="B820" s="720" t="s">
        <v>907</v>
      </c>
      <c r="C820" s="951">
        <f>C822+C826+C835</f>
        <v>9470000</v>
      </c>
      <c r="D820" s="951">
        <f>D822+D826+D835</f>
        <v>10770000</v>
      </c>
      <c r="E820" s="951"/>
      <c r="F820" s="951"/>
      <c r="G820" s="1051"/>
      <c r="H820" s="1055"/>
      <c r="I820" s="670"/>
      <c r="J820" s="88">
        <v>323409.27</v>
      </c>
    </row>
    <row r="821" spans="1:10" ht="43.5" customHeight="1" x14ac:dyDescent="0.2">
      <c r="A821" s="965"/>
      <c r="B821" s="668" t="s">
        <v>1805</v>
      </c>
      <c r="C821" s="652">
        <v>330000</v>
      </c>
      <c r="D821" s="652">
        <f>330000-330000+180000+280000+(-15613.03-1.16)</f>
        <v>444385.81</v>
      </c>
      <c r="E821" s="652">
        <v>444385.81</v>
      </c>
      <c r="F821" s="652"/>
      <c r="G821" s="1051"/>
      <c r="H821" s="1055"/>
      <c r="I821" s="670"/>
      <c r="J821" s="88">
        <v>0</v>
      </c>
    </row>
    <row r="822" spans="1:10" ht="30" customHeight="1" x14ac:dyDescent="0.2">
      <c r="A822" s="965"/>
      <c r="B822" s="971" t="s">
        <v>1806</v>
      </c>
      <c r="C822" s="972">
        <f t="shared" ref="C822:D822" si="26">C823+C824</f>
        <v>3700000</v>
      </c>
      <c r="D822" s="972">
        <f t="shared" si="26"/>
        <v>5600000</v>
      </c>
      <c r="E822" s="972"/>
      <c r="F822" s="951"/>
      <c r="G822" s="1131"/>
      <c r="H822" s="1132"/>
      <c r="I822" s="1133"/>
      <c r="J822" s="88">
        <v>194592.94</v>
      </c>
    </row>
    <row r="823" spans="1:10" ht="30" customHeight="1" x14ac:dyDescent="0.2">
      <c r="A823" s="965"/>
      <c r="B823" s="987" t="s">
        <v>910</v>
      </c>
      <c r="C823" s="652">
        <v>2000000</v>
      </c>
      <c r="D823" s="652">
        <f>2000000-100000</f>
        <v>1900000</v>
      </c>
      <c r="E823" s="652"/>
      <c r="F823" s="652"/>
      <c r="G823" s="1051"/>
      <c r="H823" s="1055"/>
      <c r="I823" s="670"/>
      <c r="J823" s="88">
        <v>194592.94</v>
      </c>
    </row>
    <row r="824" spans="1:10" ht="30" customHeight="1" x14ac:dyDescent="0.2">
      <c r="A824" s="628"/>
      <c r="B824" s="672" t="s">
        <v>1807</v>
      </c>
      <c r="C824" s="652">
        <f>C825</f>
        <v>1700000</v>
      </c>
      <c r="D824" s="652">
        <f>D825</f>
        <v>3700000</v>
      </c>
      <c r="E824" s="652"/>
      <c r="F824" s="652"/>
      <c r="G824" s="1051"/>
      <c r="H824" s="1055"/>
      <c r="I824" s="670"/>
      <c r="J824" s="88">
        <v>0</v>
      </c>
    </row>
    <row r="825" spans="1:10" ht="30" customHeight="1" x14ac:dyDescent="0.2">
      <c r="A825" s="628"/>
      <c r="B825" s="672" t="s">
        <v>1808</v>
      </c>
      <c r="C825" s="652">
        <v>1700000</v>
      </c>
      <c r="D825" s="652">
        <f>1700000+2000000</f>
        <v>3700000</v>
      </c>
      <c r="E825" s="652"/>
      <c r="F825" s="652"/>
      <c r="G825" s="1051"/>
      <c r="H825" s="1055"/>
      <c r="I825" s="670"/>
      <c r="J825" s="88">
        <v>0</v>
      </c>
    </row>
    <row r="826" spans="1:10" s="488" customFormat="1" ht="30" customHeight="1" x14ac:dyDescent="0.2">
      <c r="A826" s="965"/>
      <c r="B826" s="1139" t="s">
        <v>1809</v>
      </c>
      <c r="C826" s="972">
        <f>SUM(C827:C828)</f>
        <v>3270000</v>
      </c>
      <c r="D826" s="972">
        <f>SUM(D827:D828)</f>
        <v>3370000</v>
      </c>
      <c r="E826" s="972"/>
      <c r="F826" s="951"/>
      <c r="G826" s="1131"/>
      <c r="H826" s="1132"/>
      <c r="I826" s="1133"/>
      <c r="J826" s="1140">
        <v>0</v>
      </c>
    </row>
    <row r="827" spans="1:10" s="488" customFormat="1" ht="30" customHeight="1" x14ac:dyDescent="0.2">
      <c r="A827" s="965"/>
      <c r="B827" s="990" t="s">
        <v>921</v>
      </c>
      <c r="C827" s="652">
        <v>1000000</v>
      </c>
      <c r="D827" s="652">
        <v>1000000</v>
      </c>
      <c r="E827" s="652"/>
      <c r="F827" s="652"/>
      <c r="G827" s="1051"/>
      <c r="H827" s="1055"/>
      <c r="I827" s="670"/>
      <c r="J827" s="88">
        <v>128816.33</v>
      </c>
    </row>
    <row r="828" spans="1:10" s="488" customFormat="1" ht="30" customHeight="1" x14ac:dyDescent="0.2">
      <c r="A828" s="965"/>
      <c r="B828" s="990" t="s">
        <v>1810</v>
      </c>
      <c r="C828" s="652">
        <f>SUM(C829:C833)</f>
        <v>2270000</v>
      </c>
      <c r="D828" s="652">
        <f>SUM(D829:D834)</f>
        <v>2370000</v>
      </c>
      <c r="E828" s="652"/>
      <c r="F828" s="652"/>
      <c r="G828" s="1051"/>
      <c r="H828" s="1055"/>
      <c r="I828" s="670"/>
      <c r="J828" s="88">
        <v>128816.33</v>
      </c>
    </row>
    <row r="829" spans="1:10" s="488" customFormat="1" ht="30" customHeight="1" x14ac:dyDescent="0.2">
      <c r="A829" s="628"/>
      <c r="B829" s="672" t="s">
        <v>926</v>
      </c>
      <c r="C829" s="652">
        <v>100000</v>
      </c>
      <c r="D829" s="652">
        <v>100000</v>
      </c>
      <c r="E829" s="652"/>
      <c r="F829" s="652"/>
      <c r="G829" s="1051"/>
      <c r="H829" s="1055"/>
      <c r="I829" s="670"/>
      <c r="J829" s="88">
        <v>0</v>
      </c>
    </row>
    <row r="830" spans="1:10" s="488" customFormat="1" ht="30" customHeight="1" x14ac:dyDescent="0.2">
      <c r="A830" s="628"/>
      <c r="B830" s="672" t="s">
        <v>1811</v>
      </c>
      <c r="C830" s="652">
        <v>850000</v>
      </c>
      <c r="D830" s="652">
        <v>850000</v>
      </c>
      <c r="E830" s="652"/>
      <c r="F830" s="652"/>
      <c r="G830" s="1051"/>
      <c r="H830" s="1055"/>
      <c r="I830" s="670"/>
      <c r="J830" s="88">
        <v>0</v>
      </c>
    </row>
    <row r="831" spans="1:10" ht="30" customHeight="1" x14ac:dyDescent="0.2">
      <c r="A831" s="965"/>
      <c r="B831" s="981" t="s">
        <v>1813</v>
      </c>
      <c r="C831" s="652">
        <v>620000</v>
      </c>
      <c r="D831" s="652">
        <v>620000</v>
      </c>
      <c r="E831" s="652"/>
      <c r="F831" s="652"/>
      <c r="G831" s="1051"/>
      <c r="H831" s="1055"/>
      <c r="I831" s="670"/>
      <c r="J831" s="88">
        <v>0</v>
      </c>
    </row>
    <row r="832" spans="1:10" s="488" customFormat="1" ht="30" customHeight="1" x14ac:dyDescent="0.2">
      <c r="A832" s="965"/>
      <c r="B832" s="981" t="s">
        <v>1814</v>
      </c>
      <c r="C832" s="652">
        <v>500000</v>
      </c>
      <c r="D832" s="652">
        <v>500000</v>
      </c>
      <c r="E832" s="652"/>
      <c r="F832" s="652"/>
      <c r="G832" s="1051"/>
      <c r="H832" s="1055"/>
      <c r="I832" s="670"/>
      <c r="J832" s="88">
        <v>0</v>
      </c>
    </row>
    <row r="833" spans="1:10" s="488" customFormat="1" ht="30" customHeight="1" x14ac:dyDescent="0.2">
      <c r="A833" s="965"/>
      <c r="B833" s="668" t="s">
        <v>1815</v>
      </c>
      <c r="C833" s="652">
        <v>200000</v>
      </c>
      <c r="D833" s="652">
        <v>200000</v>
      </c>
      <c r="E833" s="652"/>
      <c r="F833" s="652"/>
      <c r="G833" s="1051"/>
      <c r="H833" s="1055"/>
      <c r="I833" s="670"/>
      <c r="J833" s="88">
        <v>0</v>
      </c>
    </row>
    <row r="834" spans="1:10" s="488" customFormat="1" ht="30" customHeight="1" x14ac:dyDescent="0.2">
      <c r="A834" s="965"/>
      <c r="B834" s="958" t="s">
        <v>2140</v>
      </c>
      <c r="C834" s="652">
        <v>0</v>
      </c>
      <c r="D834" s="652">
        <v>100000</v>
      </c>
      <c r="E834" s="652"/>
      <c r="F834" s="652"/>
      <c r="G834" s="1051"/>
      <c r="H834" s="1055"/>
      <c r="I834" s="670"/>
      <c r="J834" s="88"/>
    </row>
    <row r="835" spans="1:10" s="488" customFormat="1" ht="30" customHeight="1" x14ac:dyDescent="0.2">
      <c r="A835" s="965"/>
      <c r="B835" s="991" t="s">
        <v>1816</v>
      </c>
      <c r="C835" s="951">
        <f>SUM(C836:C840)</f>
        <v>2500000</v>
      </c>
      <c r="D835" s="951">
        <f>SUM(D836:D840)</f>
        <v>1800000</v>
      </c>
      <c r="E835" s="951"/>
      <c r="F835" s="951"/>
      <c r="G835" s="1134"/>
      <c r="H835" s="1135"/>
      <c r="I835" s="1136"/>
      <c r="J835" s="88">
        <v>0</v>
      </c>
    </row>
    <row r="836" spans="1:10" s="488" customFormat="1" ht="30" customHeight="1" x14ac:dyDescent="0.2">
      <c r="A836" s="965"/>
      <c r="B836" s="981" t="s">
        <v>1817</v>
      </c>
      <c r="C836" s="644">
        <v>700000</v>
      </c>
      <c r="D836" s="644">
        <v>700000</v>
      </c>
      <c r="E836" s="644"/>
      <c r="F836" s="644"/>
      <c r="G836" s="1051"/>
      <c r="H836" s="1055"/>
      <c r="I836" s="670"/>
      <c r="J836" s="88">
        <v>0</v>
      </c>
    </row>
    <row r="837" spans="1:10" s="488" customFormat="1" ht="30" customHeight="1" x14ac:dyDescent="0.2">
      <c r="A837" s="965"/>
      <c r="B837" s="981" t="s">
        <v>1818</v>
      </c>
      <c r="C837" s="652">
        <v>700000</v>
      </c>
      <c r="D837" s="652">
        <f>700000-700000</f>
        <v>0</v>
      </c>
      <c r="E837" s="652"/>
      <c r="F837" s="652"/>
      <c r="G837" s="1051"/>
      <c r="H837" s="1055"/>
      <c r="I837" s="670"/>
      <c r="J837" s="88">
        <v>0</v>
      </c>
    </row>
    <row r="838" spans="1:10" s="488" customFormat="1" ht="30" customHeight="1" x14ac:dyDescent="0.2">
      <c r="A838" s="965"/>
      <c r="B838" s="980" t="s">
        <v>1819</v>
      </c>
      <c r="C838" s="644">
        <v>200000</v>
      </c>
      <c r="D838" s="644">
        <v>200000</v>
      </c>
      <c r="E838" s="644"/>
      <c r="F838" s="644"/>
      <c r="G838" s="1051"/>
      <c r="H838" s="1055"/>
      <c r="I838" s="670"/>
      <c r="J838" s="88">
        <v>0</v>
      </c>
    </row>
    <row r="839" spans="1:10" s="488" customFormat="1" ht="30" customHeight="1" x14ac:dyDescent="0.2">
      <c r="A839" s="965"/>
      <c r="B839" s="987" t="s">
        <v>1820</v>
      </c>
      <c r="C839" s="975">
        <v>200000</v>
      </c>
      <c r="D839" s="975">
        <v>200000</v>
      </c>
      <c r="E839" s="975"/>
      <c r="F839" s="975"/>
      <c r="G839" s="1051"/>
      <c r="H839" s="1055"/>
      <c r="I839" s="670"/>
      <c r="J839" s="88">
        <v>0</v>
      </c>
    </row>
    <row r="840" spans="1:10" s="488" customFormat="1" ht="30" customHeight="1" x14ac:dyDescent="0.2">
      <c r="A840" s="628"/>
      <c r="B840" s="979" t="s">
        <v>1821</v>
      </c>
      <c r="C840" s="644">
        <v>700000</v>
      </c>
      <c r="D840" s="644">
        <v>700000</v>
      </c>
      <c r="E840" s="644"/>
      <c r="F840" s="644"/>
      <c r="G840" s="1051"/>
      <c r="H840" s="1055"/>
      <c r="I840" s="670"/>
      <c r="J840" s="88">
        <v>0</v>
      </c>
    </row>
    <row r="841" spans="1:10" s="992" customFormat="1" ht="30" customHeight="1" x14ac:dyDescent="0.2">
      <c r="A841" s="628">
        <v>3634</v>
      </c>
      <c r="B841" s="993" t="s">
        <v>1822</v>
      </c>
      <c r="C841" s="637">
        <f>SUM(C842:C846)</f>
        <v>4450000</v>
      </c>
      <c r="D841" s="637">
        <f>SUM(D842:D846)</f>
        <v>5450000</v>
      </c>
      <c r="E841" s="637">
        <v>5028566.8600000003</v>
      </c>
      <c r="F841" s="644">
        <f>SUM(E842:E846)</f>
        <v>1111201.01</v>
      </c>
      <c r="G841" s="630"/>
      <c r="H841" s="1052"/>
      <c r="I841" s="639"/>
      <c r="J841" s="88">
        <v>911175.43</v>
      </c>
    </row>
    <row r="842" spans="1:10" s="488" customFormat="1" ht="30" customHeight="1" x14ac:dyDescent="0.2">
      <c r="A842" s="628"/>
      <c r="B842" s="981" t="s">
        <v>1823</v>
      </c>
      <c r="C842" s="644">
        <v>350000</v>
      </c>
      <c r="D842" s="644">
        <v>350000</v>
      </c>
      <c r="E842" s="644">
        <v>124486.01</v>
      </c>
      <c r="F842" s="644"/>
      <c r="G842" s="1051"/>
      <c r="H842" s="1055"/>
      <c r="I842" s="670"/>
      <c r="J842" s="88">
        <v>63139.01</v>
      </c>
    </row>
    <row r="843" spans="1:10" s="488" customFormat="1" ht="30" customHeight="1" x14ac:dyDescent="0.2">
      <c r="A843" s="628"/>
      <c r="B843" s="981" t="s">
        <v>1824</v>
      </c>
      <c r="C843" s="644">
        <v>1000000</v>
      </c>
      <c r="D843" s="644">
        <f>1000000+1000000</f>
        <v>2000000</v>
      </c>
      <c r="E843" s="644"/>
      <c r="F843" s="644"/>
      <c r="G843" s="1051"/>
      <c r="H843" s="1055"/>
      <c r="I843" s="670"/>
      <c r="J843" s="88">
        <v>715860.2</v>
      </c>
    </row>
    <row r="844" spans="1:10" ht="30" customHeight="1" x14ac:dyDescent="0.2">
      <c r="A844" s="1141"/>
      <c r="B844" s="1142" t="s">
        <v>943</v>
      </c>
      <c r="C844" s="678">
        <v>500000</v>
      </c>
      <c r="D844" s="678">
        <v>500000</v>
      </c>
      <c r="E844" s="678"/>
      <c r="F844" s="678"/>
      <c r="G844" s="1051"/>
      <c r="H844" s="1055"/>
      <c r="I844" s="670"/>
      <c r="J844" s="88">
        <v>0</v>
      </c>
    </row>
    <row r="845" spans="1:10" ht="30" customHeight="1" x14ac:dyDescent="0.2">
      <c r="A845" s="1143"/>
      <c r="B845" s="1144" t="s">
        <v>1825</v>
      </c>
      <c r="C845" s="1073">
        <v>500000</v>
      </c>
      <c r="D845" s="1073">
        <v>500000</v>
      </c>
      <c r="E845" s="1073"/>
      <c r="F845" s="1073"/>
      <c r="G845" s="1051"/>
      <c r="H845" s="1055"/>
      <c r="I845" s="670"/>
      <c r="J845" s="88">
        <v>34644.720000000001</v>
      </c>
    </row>
    <row r="846" spans="1:10" ht="30" customHeight="1" x14ac:dyDescent="0.2">
      <c r="A846" s="625"/>
      <c r="B846" s="995" t="s">
        <v>945</v>
      </c>
      <c r="C846" s="961">
        <f>SUM(C847:C848)</f>
        <v>2100000</v>
      </c>
      <c r="D846" s="961">
        <f>SUM(D847:D848)</f>
        <v>2100000</v>
      </c>
      <c r="E846" s="961">
        <v>986715</v>
      </c>
      <c r="F846" s="961"/>
      <c r="G846" s="1134"/>
      <c r="H846" s="1135"/>
      <c r="I846" s="1136"/>
      <c r="J846" s="88">
        <v>34644.720000000001</v>
      </c>
    </row>
    <row r="847" spans="1:10" s="2" customFormat="1" ht="30" customHeight="1" x14ac:dyDescent="0.2">
      <c r="A847" s="649"/>
      <c r="B847" s="997" t="s">
        <v>1831</v>
      </c>
      <c r="C847" s="652">
        <v>600000</v>
      </c>
      <c r="D847" s="652">
        <v>600000</v>
      </c>
      <c r="E847" s="652">
        <v>0</v>
      </c>
      <c r="F847" s="652"/>
      <c r="G847" s="1051"/>
      <c r="H847" s="1055"/>
      <c r="I847" s="670"/>
      <c r="J847" s="88">
        <v>0</v>
      </c>
    </row>
    <row r="848" spans="1:10" s="2" customFormat="1" ht="30" customHeight="1" x14ac:dyDescent="0.2">
      <c r="A848" s="649"/>
      <c r="B848" s="997" t="s">
        <v>1833</v>
      </c>
      <c r="C848" s="644">
        <v>1500000</v>
      </c>
      <c r="D848" s="644">
        <v>1500000</v>
      </c>
      <c r="E848" s="644"/>
      <c r="F848" s="644"/>
      <c r="G848" s="1051"/>
      <c r="H848" s="1055"/>
      <c r="I848" s="670"/>
      <c r="J848" s="88">
        <v>0</v>
      </c>
    </row>
    <row r="849" spans="1:253" s="2" customFormat="1" ht="30" customHeight="1" x14ac:dyDescent="0.2">
      <c r="A849" s="628">
        <v>4351</v>
      </c>
      <c r="B849" s="998" t="s">
        <v>1834</v>
      </c>
      <c r="C849" s="635">
        <v>10000</v>
      </c>
      <c r="D849" s="635">
        <v>10000</v>
      </c>
      <c r="E849" s="635">
        <v>12443.97</v>
      </c>
      <c r="F849" s="652"/>
      <c r="G849" s="630"/>
      <c r="H849" s="1052"/>
      <c r="I849" s="639"/>
      <c r="J849" s="88">
        <v>5062.82</v>
      </c>
    </row>
    <row r="850" spans="1:253" s="2" customFormat="1" ht="30" customHeight="1" x14ac:dyDescent="0.2">
      <c r="A850" s="628">
        <v>4374</v>
      </c>
      <c r="B850" s="998" t="s">
        <v>753</v>
      </c>
      <c r="C850" s="635">
        <f>C851</f>
        <v>1140000</v>
      </c>
      <c r="D850" s="635">
        <f>D851</f>
        <v>1140000</v>
      </c>
      <c r="E850" s="635">
        <v>405468.63</v>
      </c>
      <c r="F850" s="652"/>
      <c r="G850" s="630"/>
      <c r="H850" s="1052"/>
      <c r="I850" s="639"/>
      <c r="J850" s="88">
        <v>55526.69</v>
      </c>
    </row>
    <row r="851" spans="1:253" s="2" customFormat="1" ht="30" customHeight="1" x14ac:dyDescent="0.2">
      <c r="A851" s="649"/>
      <c r="B851" s="997" t="s">
        <v>1835</v>
      </c>
      <c r="C851" s="652">
        <f>C852+C853</f>
        <v>1140000</v>
      </c>
      <c r="D851" s="652">
        <f>D852+D853</f>
        <v>1140000</v>
      </c>
      <c r="E851" s="652">
        <v>405468.63</v>
      </c>
      <c r="F851" s="652">
        <f>SUM(E852:E853)</f>
        <v>405468.63</v>
      </c>
      <c r="G851" s="1051"/>
      <c r="H851" s="1055"/>
      <c r="I851" s="670"/>
      <c r="J851" s="88">
        <v>55526.69</v>
      </c>
    </row>
    <row r="852" spans="1:253" s="2" customFormat="1" ht="30" customHeight="1" x14ac:dyDescent="0.2">
      <c r="A852" s="649"/>
      <c r="B852" s="997" t="s">
        <v>1836</v>
      </c>
      <c r="C852" s="644">
        <v>1000000</v>
      </c>
      <c r="D852" s="644">
        <v>1000000</v>
      </c>
      <c r="E852" s="644">
        <v>405468.63</v>
      </c>
      <c r="F852" s="644"/>
      <c r="G852" s="1051"/>
      <c r="H852" s="1055"/>
      <c r="I852" s="670"/>
      <c r="J852" s="32">
        <v>52530.94</v>
      </c>
    </row>
    <row r="853" spans="1:253" s="2" customFormat="1" ht="30" customHeight="1" x14ac:dyDescent="0.2">
      <c r="A853" s="628"/>
      <c r="B853" s="679" t="s">
        <v>1837</v>
      </c>
      <c r="C853" s="652">
        <v>140000</v>
      </c>
      <c r="D853" s="652">
        <v>140000</v>
      </c>
      <c r="E853" s="652">
        <v>0</v>
      </c>
      <c r="F853" s="652"/>
      <c r="G853" s="1051"/>
      <c r="H853" s="1055"/>
      <c r="I853" s="670"/>
      <c r="J853" s="88">
        <v>2995.75</v>
      </c>
    </row>
    <row r="854" spans="1:253" s="2" customFormat="1" ht="30" customHeight="1" x14ac:dyDescent="0.2">
      <c r="A854" s="628">
        <v>6171</v>
      </c>
      <c r="B854" s="999" t="s">
        <v>969</v>
      </c>
      <c r="C854" s="637">
        <f>SUM(C855:C859)</f>
        <v>1500000</v>
      </c>
      <c r="D854" s="637">
        <f>SUM(D855:D859)</f>
        <v>800000</v>
      </c>
      <c r="E854" s="637">
        <v>338507</v>
      </c>
      <c r="F854" s="644">
        <f>SUM(E855:E859)</f>
        <v>165598</v>
      </c>
      <c r="G854" s="630"/>
      <c r="H854" s="1052"/>
      <c r="I854" s="639"/>
      <c r="J854" s="88">
        <v>76531.789999999994</v>
      </c>
    </row>
    <row r="855" spans="1:253" s="2" customFormat="1" ht="30" customHeight="1" x14ac:dyDescent="0.2">
      <c r="A855" s="628"/>
      <c r="B855" s="679" t="s">
        <v>970</v>
      </c>
      <c r="C855" s="652">
        <v>50000</v>
      </c>
      <c r="D855" s="652">
        <v>50000</v>
      </c>
      <c r="E855" s="652"/>
      <c r="F855" s="652"/>
      <c r="G855" s="1051"/>
      <c r="H855" s="1055"/>
      <c r="I855" s="670"/>
      <c r="J855" s="88">
        <v>0</v>
      </c>
    </row>
    <row r="856" spans="1:253" ht="30" customHeight="1" x14ac:dyDescent="0.2">
      <c r="A856" s="1000"/>
      <c r="B856" s="1001" t="s">
        <v>1997</v>
      </c>
      <c r="C856" s="652">
        <v>820000</v>
      </c>
      <c r="D856" s="652">
        <f>820000-500000</f>
        <v>320000</v>
      </c>
      <c r="E856" s="652">
        <v>165598</v>
      </c>
      <c r="F856" s="652"/>
      <c r="G856" s="1051"/>
      <c r="H856" s="1055"/>
      <c r="I856" s="670"/>
      <c r="J856" s="88">
        <v>0</v>
      </c>
    </row>
    <row r="857" spans="1:253" ht="30" customHeight="1" x14ac:dyDescent="0.2">
      <c r="A857" s="1000"/>
      <c r="B857" s="1001" t="s">
        <v>1839</v>
      </c>
      <c r="C857" s="652">
        <v>180000</v>
      </c>
      <c r="D857" s="652">
        <v>180000</v>
      </c>
      <c r="E857" s="652"/>
      <c r="F857" s="652"/>
      <c r="G857" s="1051"/>
      <c r="H857" s="1055"/>
      <c r="I857" s="670"/>
      <c r="J857" s="88">
        <v>0</v>
      </c>
    </row>
    <row r="858" spans="1:253" ht="30" customHeight="1" x14ac:dyDescent="0.2">
      <c r="A858" s="649"/>
      <c r="B858" s="679" t="s">
        <v>1841</v>
      </c>
      <c r="C858" s="652">
        <v>200000</v>
      </c>
      <c r="D858" s="652">
        <f>200000-200000</f>
        <v>0</v>
      </c>
      <c r="E858" s="652"/>
      <c r="F858" s="652"/>
      <c r="G858" s="1051"/>
      <c r="H858" s="1055"/>
      <c r="I858" s="670"/>
      <c r="J858" s="88">
        <v>21115</v>
      </c>
    </row>
    <row r="859" spans="1:253" ht="30" customHeight="1" x14ac:dyDescent="0.2">
      <c r="A859" s="1145"/>
      <c r="B859" s="1146" t="s">
        <v>1842</v>
      </c>
      <c r="C859" s="678">
        <v>250000</v>
      </c>
      <c r="D859" s="678">
        <v>250000</v>
      </c>
      <c r="E859" s="678"/>
      <c r="F859" s="678"/>
      <c r="G859" s="1051"/>
      <c r="H859" s="1055"/>
      <c r="I859" s="670"/>
      <c r="J859" s="88">
        <v>55416.79</v>
      </c>
    </row>
    <row r="860" spans="1:253" ht="30" customHeight="1" x14ac:dyDescent="0.2">
      <c r="A860" s="1147"/>
      <c r="B860" s="1148"/>
      <c r="C860" s="1020"/>
      <c r="D860" s="1020"/>
      <c r="E860" s="1020"/>
      <c r="F860" s="1020"/>
      <c r="G860" s="1020"/>
      <c r="H860" s="1020"/>
      <c r="I860" s="1008"/>
      <c r="J860" s="88"/>
    </row>
    <row r="861" spans="1:253" s="1009" customFormat="1" ht="30" customHeight="1" x14ac:dyDescent="0.3">
      <c r="A861" s="734"/>
      <c r="B861" s="757" t="s">
        <v>1872</v>
      </c>
      <c r="C861" s="859">
        <f>SUM(C862+C867+C869)</f>
        <v>1145000</v>
      </c>
      <c r="D861" s="859">
        <f>SUM(D862+D867+D869)</f>
        <v>1145000</v>
      </c>
      <c r="E861" s="859">
        <v>763550</v>
      </c>
      <c r="F861" s="758">
        <f>SUM(E862,E867,E869)</f>
        <v>763550</v>
      </c>
      <c r="G861" s="735"/>
      <c r="H861" s="735"/>
      <c r="I861" s="1083"/>
      <c r="J861" s="1150">
        <v>0</v>
      </c>
      <c r="IM861" s="558"/>
      <c r="IN861" s="558"/>
      <c r="IO861" s="558"/>
      <c r="IP861" s="558"/>
      <c r="IQ861" s="558"/>
      <c r="IR861" s="558"/>
      <c r="IS861" s="558"/>
    </row>
    <row r="862" spans="1:253" s="545" customFormat="1" ht="30" customHeight="1" x14ac:dyDescent="0.2">
      <c r="A862" s="660">
        <v>2169</v>
      </c>
      <c r="B862" s="626" t="s">
        <v>1844</v>
      </c>
      <c r="C862" s="637">
        <f t="shared" ref="C862:D862" si="27">SUM(C863:C865)</f>
        <v>250000</v>
      </c>
      <c r="D862" s="637">
        <f t="shared" si="27"/>
        <v>250000</v>
      </c>
      <c r="E862" s="637">
        <v>21000</v>
      </c>
      <c r="F862" s="644">
        <f>SUM(E863:E866)</f>
        <v>21000</v>
      </c>
      <c r="G862" s="630"/>
      <c r="H862" s="1052"/>
      <c r="I862" s="639"/>
      <c r="J862" s="1150">
        <v>0</v>
      </c>
      <c r="IM862" s="98"/>
      <c r="IN862" s="98"/>
      <c r="IO862" s="98"/>
      <c r="IP862" s="98"/>
      <c r="IQ862" s="98"/>
      <c r="IR862" s="98"/>
      <c r="IS862" s="98"/>
    </row>
    <row r="863" spans="1:253" s="545" customFormat="1" ht="30" customHeight="1" x14ac:dyDescent="0.2">
      <c r="A863" s="660"/>
      <c r="B863" s="679" t="s">
        <v>976</v>
      </c>
      <c r="C863" s="644">
        <v>47000</v>
      </c>
      <c r="D863" s="644">
        <v>47000</v>
      </c>
      <c r="E863" s="644">
        <v>0</v>
      </c>
      <c r="F863" s="644"/>
      <c r="G863" s="1051"/>
      <c r="H863" s="1055"/>
      <c r="I863" s="670"/>
      <c r="J863" s="1150">
        <v>0</v>
      </c>
      <c r="IM863" s="98"/>
      <c r="IN863" s="98"/>
      <c r="IO863" s="98"/>
      <c r="IP863" s="98"/>
      <c r="IQ863" s="98"/>
      <c r="IR863" s="98"/>
      <c r="IS863" s="98"/>
    </row>
    <row r="864" spans="1:253" s="545" customFormat="1" ht="30" customHeight="1" x14ac:dyDescent="0.2">
      <c r="A864" s="660"/>
      <c r="B864" s="679" t="s">
        <v>977</v>
      </c>
      <c r="C864" s="644">
        <v>200000</v>
      </c>
      <c r="D864" s="644">
        <v>200000</v>
      </c>
      <c r="E864" s="644">
        <v>0</v>
      </c>
      <c r="F864" s="644"/>
      <c r="G864" s="1051"/>
      <c r="H864" s="1055"/>
      <c r="I864" s="670"/>
      <c r="J864" s="1150">
        <v>0</v>
      </c>
      <c r="IM864" s="98"/>
      <c r="IN864" s="98"/>
      <c r="IO864" s="98"/>
      <c r="IP864" s="98"/>
      <c r="IQ864" s="98"/>
      <c r="IR864" s="98"/>
      <c r="IS864" s="98"/>
    </row>
    <row r="865" spans="1:253" s="545" customFormat="1" ht="30" customHeight="1" x14ac:dyDescent="0.2">
      <c r="A865" s="660"/>
      <c r="B865" s="679" t="s">
        <v>978</v>
      </c>
      <c r="C865" s="644">
        <v>3000</v>
      </c>
      <c r="D865" s="644">
        <v>3000</v>
      </c>
      <c r="E865" s="644">
        <v>0</v>
      </c>
      <c r="F865" s="644"/>
      <c r="G865" s="1051"/>
      <c r="H865" s="1055"/>
      <c r="I865" s="670"/>
      <c r="J865" s="1150">
        <v>0</v>
      </c>
      <c r="IM865" s="98"/>
      <c r="IN865" s="98"/>
      <c r="IO865" s="98"/>
      <c r="IP865" s="98"/>
      <c r="IQ865" s="98"/>
      <c r="IR865" s="98"/>
      <c r="IS865" s="98"/>
    </row>
    <row r="866" spans="1:253" s="545" customFormat="1" ht="30" customHeight="1" x14ac:dyDescent="0.2">
      <c r="A866" s="660"/>
      <c r="B866" s="679" t="s">
        <v>2141</v>
      </c>
      <c r="C866" s="644">
        <v>0</v>
      </c>
      <c r="D866" s="644">
        <v>0</v>
      </c>
      <c r="E866" s="644">
        <v>21000</v>
      </c>
      <c r="F866" s="644"/>
      <c r="G866" s="1051" t="e">
        <f t="shared" ref="G866" si="28">E866/C866*100</f>
        <v>#DIV/0!</v>
      </c>
      <c r="H866" s="1055" t="e">
        <f t="shared" ref="H866" si="29">E866/D866*100</f>
        <v>#DIV/0!</v>
      </c>
      <c r="I866" s="670">
        <v>0</v>
      </c>
      <c r="J866" s="1150">
        <v>0</v>
      </c>
      <c r="IM866" s="98"/>
      <c r="IN866" s="98"/>
      <c r="IO866" s="98"/>
      <c r="IP866" s="98"/>
      <c r="IQ866" s="98"/>
      <c r="IR866" s="98"/>
      <c r="IS866" s="98"/>
    </row>
    <row r="867" spans="1:253" s="545" customFormat="1" ht="30" customHeight="1" x14ac:dyDescent="0.2">
      <c r="A867" s="663">
        <v>3635</v>
      </c>
      <c r="B867" s="629" t="s">
        <v>980</v>
      </c>
      <c r="C867" s="635">
        <f>SUM(C868:C868)</f>
        <v>300000</v>
      </c>
      <c r="D867" s="635">
        <f>SUM(D868:D868)</f>
        <v>300000</v>
      </c>
      <c r="E867" s="635">
        <v>199650</v>
      </c>
      <c r="F867" s="652"/>
      <c r="G867" s="630"/>
      <c r="H867" s="1052"/>
      <c r="I867" s="639"/>
      <c r="J867" s="1150">
        <v>0</v>
      </c>
      <c r="IM867" s="98"/>
      <c r="IN867" s="98"/>
      <c r="IO867" s="98"/>
      <c r="IP867" s="98"/>
      <c r="IQ867" s="98"/>
      <c r="IR867" s="98"/>
      <c r="IS867" s="98"/>
    </row>
    <row r="868" spans="1:253" s="545" customFormat="1" ht="30" customHeight="1" x14ac:dyDescent="0.2">
      <c r="A868" s="664"/>
      <c r="B868" s="643" t="s">
        <v>1845</v>
      </c>
      <c r="C868" s="644">
        <v>300000</v>
      </c>
      <c r="D868" s="644">
        <v>300000</v>
      </c>
      <c r="E868" s="644">
        <v>199650</v>
      </c>
      <c r="F868" s="644"/>
      <c r="G868" s="1051"/>
      <c r="H868" s="1055"/>
      <c r="I868" s="670"/>
      <c r="J868" s="1150">
        <v>0</v>
      </c>
      <c r="IM868" s="98"/>
      <c r="IN868" s="98"/>
      <c r="IO868" s="98"/>
      <c r="IP868" s="98"/>
      <c r="IQ868" s="98"/>
      <c r="IR868" s="98"/>
      <c r="IS868" s="98"/>
    </row>
    <row r="869" spans="1:253" s="545" customFormat="1" ht="30" customHeight="1" x14ac:dyDescent="0.25">
      <c r="A869" s="1010"/>
      <c r="B869" s="657" t="s">
        <v>985</v>
      </c>
      <c r="C869" s="764">
        <v>595000</v>
      </c>
      <c r="D869" s="764">
        <v>595000</v>
      </c>
      <c r="E869" s="764">
        <v>542900</v>
      </c>
      <c r="F869" s="1102"/>
      <c r="G869" s="623"/>
      <c r="H869" s="623"/>
      <c r="I869" s="741"/>
      <c r="J869" s="1150">
        <v>0</v>
      </c>
      <c r="IM869" s="98"/>
      <c r="IN869" s="98"/>
      <c r="IO869" s="98"/>
      <c r="IP869" s="98"/>
      <c r="IQ869" s="98"/>
      <c r="IR869" s="98"/>
      <c r="IS869" s="98"/>
    </row>
    <row r="870" spans="1:253" s="545" customFormat="1" ht="30" customHeight="1" x14ac:dyDescent="0.2">
      <c r="A870" s="699">
        <v>3699</v>
      </c>
      <c r="B870" s="626" t="s">
        <v>1846</v>
      </c>
      <c r="C870" s="637">
        <v>595000</v>
      </c>
      <c r="D870" s="637">
        <v>595000</v>
      </c>
      <c r="E870" s="637">
        <v>542900</v>
      </c>
      <c r="F870" s="644"/>
      <c r="G870" s="630"/>
      <c r="H870" s="1052"/>
      <c r="I870" s="639"/>
      <c r="J870" s="1150">
        <v>0</v>
      </c>
      <c r="IM870" s="98"/>
      <c r="IN870" s="98"/>
      <c r="IO870" s="98"/>
      <c r="IP870" s="98"/>
      <c r="IQ870" s="98"/>
      <c r="IR870" s="98"/>
      <c r="IS870" s="98"/>
    </row>
    <row r="871" spans="1:253" s="550" customFormat="1" ht="30" customHeight="1" x14ac:dyDescent="0.2">
      <c r="A871" s="692"/>
      <c r="B871" s="1013"/>
      <c r="C871" s="785"/>
      <c r="D871" s="785"/>
      <c r="E871" s="785"/>
      <c r="F871" s="785"/>
      <c r="G871" s="785"/>
      <c r="H871" s="785"/>
      <c r="I871" s="1014"/>
      <c r="J871" s="1150"/>
      <c r="IM871" s="1"/>
      <c r="IN871" s="1"/>
      <c r="IO871" s="1"/>
      <c r="IP871" s="1"/>
      <c r="IQ871" s="1"/>
      <c r="IR871" s="1"/>
      <c r="IS871" s="1"/>
    </row>
    <row r="872" spans="1:253" s="558" customFormat="1" ht="30" customHeight="1" x14ac:dyDescent="0.3">
      <c r="A872" s="1015"/>
      <c r="B872" s="787" t="s">
        <v>54</v>
      </c>
      <c r="C872" s="871">
        <f>SUM(C873:C879,C880,C881,C885,C893)-C875</f>
        <v>85052500</v>
      </c>
      <c r="D872" s="871">
        <f>SUM(D873:D879,D880,D881,D885,D893)-D875</f>
        <v>156989114.43999997</v>
      </c>
      <c r="E872" s="871">
        <v>70903600.329999998</v>
      </c>
      <c r="F872" s="1068">
        <f>SUM(E873:E874,E876:E881,E885,E893)</f>
        <v>70903600.329999998</v>
      </c>
      <c r="G872" s="735"/>
      <c r="H872" s="735"/>
      <c r="I872" s="1091"/>
      <c r="J872" s="29">
        <v>157975434.25</v>
      </c>
    </row>
    <row r="873" spans="1:253" s="553" customFormat="1" ht="30" customHeight="1" x14ac:dyDescent="0.2">
      <c r="A873" s="1016" t="s">
        <v>1847</v>
      </c>
      <c r="B873" s="688" t="s">
        <v>1848</v>
      </c>
      <c r="C873" s="637">
        <v>242500</v>
      </c>
      <c r="D873" s="637">
        <f>242500-242500</f>
        <v>0</v>
      </c>
      <c r="E873" s="637">
        <v>0</v>
      </c>
      <c r="F873" s="644">
        <f>E872-F872</f>
        <v>0</v>
      </c>
      <c r="G873" s="630"/>
      <c r="H873" s="1052"/>
      <c r="I873" s="639"/>
      <c r="J873" s="1037">
        <v>0</v>
      </c>
    </row>
    <row r="874" spans="1:253" s="98" customFormat="1" ht="30" customHeight="1" x14ac:dyDescent="0.3">
      <c r="A874" s="628" t="s">
        <v>1949</v>
      </c>
      <c r="B874" s="629" t="s">
        <v>1849</v>
      </c>
      <c r="C874" s="637">
        <f>C875</f>
        <v>0</v>
      </c>
      <c r="D874" s="637">
        <f>D875</f>
        <v>858339.22</v>
      </c>
      <c r="E874" s="637">
        <v>858339.22</v>
      </c>
      <c r="F874" s="644"/>
      <c r="G874" s="630"/>
      <c r="H874" s="1052"/>
      <c r="I874" s="639"/>
      <c r="J874" s="29">
        <v>175248.3</v>
      </c>
      <c r="K874" s="557"/>
    </row>
    <row r="875" spans="1:253" s="98" customFormat="1" ht="30" customHeight="1" x14ac:dyDescent="0.3">
      <c r="A875" s="663"/>
      <c r="B875" s="672" t="s">
        <v>1998</v>
      </c>
      <c r="C875" s="644">
        <v>0</v>
      </c>
      <c r="D875" s="644">
        <f>(15614.79+57246.53+130295.27+210485.42+444697.21)</f>
        <v>858339.22</v>
      </c>
      <c r="E875" s="644">
        <v>858339.22</v>
      </c>
      <c r="F875" s="644"/>
      <c r="G875" s="1051"/>
      <c r="H875" s="1055"/>
      <c r="I875" s="670"/>
      <c r="J875" s="29">
        <v>175248.3</v>
      </c>
      <c r="K875" s="557"/>
    </row>
    <row r="876" spans="1:253" s="98" customFormat="1" ht="30" customHeight="1" x14ac:dyDescent="0.3">
      <c r="A876" s="663">
        <v>3612</v>
      </c>
      <c r="B876" s="629" t="s">
        <v>1999</v>
      </c>
      <c r="C876" s="637">
        <v>0</v>
      </c>
      <c r="D876" s="637">
        <v>1000000</v>
      </c>
      <c r="E876" s="637">
        <v>878924.22</v>
      </c>
      <c r="F876" s="644"/>
      <c r="G876" s="630"/>
      <c r="H876" s="1052"/>
      <c r="I876" s="639"/>
      <c r="J876" s="29">
        <v>0</v>
      </c>
      <c r="K876" s="558"/>
    </row>
    <row r="877" spans="1:253" s="98" customFormat="1" ht="30" customHeight="1" x14ac:dyDescent="0.3">
      <c r="A877" s="663">
        <v>3634</v>
      </c>
      <c r="B877" s="629" t="s">
        <v>1851</v>
      </c>
      <c r="C877" s="637">
        <v>8000000</v>
      </c>
      <c r="D877" s="637">
        <f>8000000-285281</f>
        <v>7714719</v>
      </c>
      <c r="E877" s="637">
        <v>7714719</v>
      </c>
      <c r="F877" s="644"/>
      <c r="G877" s="630"/>
      <c r="H877" s="1052"/>
      <c r="I877" s="639"/>
      <c r="J877" s="29">
        <v>8135516</v>
      </c>
      <c r="K877" s="558"/>
    </row>
    <row r="878" spans="1:253" s="553" customFormat="1" ht="30" customHeight="1" x14ac:dyDescent="0.2">
      <c r="A878" s="660">
        <v>3639</v>
      </c>
      <c r="B878" s="626" t="s">
        <v>1852</v>
      </c>
      <c r="C878" s="637">
        <v>200000</v>
      </c>
      <c r="D878" s="637">
        <f>200000+300000</f>
        <v>500000</v>
      </c>
      <c r="E878" s="637">
        <v>418275.54</v>
      </c>
      <c r="F878" s="644"/>
      <c r="G878" s="630"/>
      <c r="H878" s="1052"/>
      <c r="I878" s="639"/>
      <c r="J878" s="1037">
        <v>18883</v>
      </c>
    </row>
    <row r="879" spans="1:253" ht="30" customHeight="1" x14ac:dyDescent="0.2">
      <c r="A879" s="663">
        <v>6171</v>
      </c>
      <c r="B879" s="1017" t="s">
        <v>1853</v>
      </c>
      <c r="C879" s="637">
        <v>100000</v>
      </c>
      <c r="D879" s="637">
        <v>100000</v>
      </c>
      <c r="E879" s="637">
        <v>112951</v>
      </c>
      <c r="F879" s="644"/>
      <c r="G879" s="630"/>
      <c r="H879" s="1052"/>
      <c r="I879" s="639"/>
      <c r="J879" s="1037">
        <v>58680</v>
      </c>
    </row>
    <row r="880" spans="1:253" ht="30" customHeight="1" x14ac:dyDescent="0.2">
      <c r="A880" s="663">
        <v>6310</v>
      </c>
      <c r="B880" s="629" t="s">
        <v>1856</v>
      </c>
      <c r="C880" s="637">
        <v>200000</v>
      </c>
      <c r="D880" s="637">
        <f>200000+50000+(50000+50000)+100000+10000</f>
        <v>460000</v>
      </c>
      <c r="E880" s="637">
        <v>459723.5</v>
      </c>
      <c r="F880" s="644"/>
      <c r="G880" s="630"/>
      <c r="H880" s="1052"/>
      <c r="I880" s="639"/>
      <c r="J880" s="29">
        <v>212055.74</v>
      </c>
    </row>
    <row r="881" spans="1:11" ht="30" customHeight="1" x14ac:dyDescent="0.2">
      <c r="A881" s="663">
        <v>6399</v>
      </c>
      <c r="B881" s="629" t="s">
        <v>999</v>
      </c>
      <c r="C881" s="635">
        <f t="shared" ref="C881:D881" si="30">SUM(C882:C883)</f>
        <v>73000000</v>
      </c>
      <c r="D881" s="635">
        <f t="shared" si="30"/>
        <v>64949700</v>
      </c>
      <c r="E881" s="635">
        <v>57747838</v>
      </c>
      <c r="F881" s="652">
        <f>SUM(E882:E884)</f>
        <v>57747838</v>
      </c>
      <c r="G881" s="630"/>
      <c r="H881" s="1052"/>
      <c r="I881" s="639"/>
      <c r="J881" s="29">
        <v>46641954</v>
      </c>
    </row>
    <row r="882" spans="1:11" ht="30" customHeight="1" x14ac:dyDescent="0.2">
      <c r="A882" s="664"/>
      <c r="B882" s="643" t="s">
        <v>1857</v>
      </c>
      <c r="C882" s="712">
        <v>40000000</v>
      </c>
      <c r="D882" s="712">
        <f>40000000-10050300</f>
        <v>29949700</v>
      </c>
      <c r="E882" s="712">
        <v>29949700</v>
      </c>
      <c r="F882" s="712"/>
      <c r="G882" s="1051"/>
      <c r="H882" s="1055"/>
      <c r="I882" s="670"/>
      <c r="J882" s="29">
        <v>37622280</v>
      </c>
    </row>
    <row r="883" spans="1:11" ht="30" customHeight="1" x14ac:dyDescent="0.2">
      <c r="A883" s="664"/>
      <c r="B883" s="643" t="s">
        <v>1858</v>
      </c>
      <c r="C883" s="644">
        <v>33000000</v>
      </c>
      <c r="D883" s="644">
        <f>33000000-3000000+5000000</f>
        <v>35000000</v>
      </c>
      <c r="E883" s="644">
        <v>27797138</v>
      </c>
      <c r="F883" s="644"/>
      <c r="G883" s="1051"/>
      <c r="H883" s="1055"/>
      <c r="I883" s="670"/>
      <c r="J883" s="29">
        <v>9019674</v>
      </c>
    </row>
    <row r="884" spans="1:11" ht="30" customHeight="1" x14ac:dyDescent="0.2">
      <c r="A884" s="664"/>
      <c r="B884" s="643" t="s">
        <v>2142</v>
      </c>
      <c r="C884" s="644">
        <v>0</v>
      </c>
      <c r="D884" s="644">
        <v>0</v>
      </c>
      <c r="E884" s="644">
        <v>1000</v>
      </c>
      <c r="F884" s="644"/>
      <c r="G884" s="1051">
        <v>0</v>
      </c>
      <c r="H884" s="1055">
        <v>0</v>
      </c>
      <c r="I884" s="670">
        <v>0</v>
      </c>
      <c r="J884" s="29">
        <v>0</v>
      </c>
    </row>
    <row r="885" spans="1:11" s="98" customFormat="1" ht="30" customHeight="1" x14ac:dyDescent="0.3">
      <c r="A885" s="663">
        <v>6402</v>
      </c>
      <c r="B885" s="629" t="s">
        <v>1002</v>
      </c>
      <c r="C885" s="635">
        <f>SUM(C887:C892)</f>
        <v>0</v>
      </c>
      <c r="D885" s="635">
        <f>SUM(D886:D892)</f>
        <v>2200418.75</v>
      </c>
      <c r="E885" s="635">
        <v>2200418.75</v>
      </c>
      <c r="F885" s="652">
        <f>SUM(E886:E892)</f>
        <v>2200418.75</v>
      </c>
      <c r="G885" s="630"/>
      <c r="H885" s="1052"/>
      <c r="I885" s="639"/>
      <c r="J885" s="29">
        <v>166593.94</v>
      </c>
      <c r="K885" s="558"/>
    </row>
    <row r="886" spans="1:11" s="2" customFormat="1" ht="30" customHeight="1" x14ac:dyDescent="0.3">
      <c r="A886" s="715"/>
      <c r="B886" s="1151" t="s">
        <v>2143</v>
      </c>
      <c r="C886" s="644">
        <v>0</v>
      </c>
      <c r="D886" s="816">
        <v>76493.02</v>
      </c>
      <c r="E886" s="644">
        <v>76493.02</v>
      </c>
      <c r="F886" s="644"/>
      <c r="G886" s="1051"/>
      <c r="H886" s="1055"/>
      <c r="I886" s="670"/>
      <c r="J886" s="88">
        <v>0</v>
      </c>
      <c r="K886" s="558"/>
    </row>
    <row r="887" spans="1:11" s="2" customFormat="1" ht="30" customHeight="1" x14ac:dyDescent="0.3">
      <c r="A887" s="715"/>
      <c r="B887" s="1151" t="s">
        <v>2144</v>
      </c>
      <c r="C887" s="644">
        <v>0</v>
      </c>
      <c r="D887" s="816">
        <f>(1784.32+10111.13)</f>
        <v>11895.449999999999</v>
      </c>
      <c r="E887" s="644">
        <v>11895.45</v>
      </c>
      <c r="F887" s="644"/>
      <c r="G887" s="1051"/>
      <c r="H887" s="1055"/>
      <c r="I887" s="670"/>
      <c r="J887" s="88">
        <v>0</v>
      </c>
      <c r="K887" s="558"/>
    </row>
    <row r="888" spans="1:11" s="2" customFormat="1" ht="30" customHeight="1" x14ac:dyDescent="0.3">
      <c r="A888" s="715"/>
      <c r="B888" s="1151" t="s">
        <v>2000</v>
      </c>
      <c r="C888" s="644">
        <v>0</v>
      </c>
      <c r="D888" s="816">
        <v>8015</v>
      </c>
      <c r="E888" s="644">
        <v>8015</v>
      </c>
      <c r="F888" s="644"/>
      <c r="G888" s="1051"/>
      <c r="H888" s="1055"/>
      <c r="I888" s="670"/>
      <c r="J888" s="88">
        <v>0</v>
      </c>
      <c r="K888" s="558"/>
    </row>
    <row r="889" spans="1:11" s="2" customFormat="1" ht="30" customHeight="1" x14ac:dyDescent="0.3">
      <c r="A889" s="715"/>
      <c r="B889" s="1151" t="s">
        <v>2001</v>
      </c>
      <c r="C889" s="644">
        <v>0</v>
      </c>
      <c r="D889" s="816">
        <v>33210</v>
      </c>
      <c r="E889" s="644">
        <v>33210</v>
      </c>
      <c r="F889" s="644"/>
      <c r="G889" s="1051"/>
      <c r="H889" s="1055"/>
      <c r="I889" s="670"/>
      <c r="J889" s="88">
        <v>0</v>
      </c>
      <c r="K889" s="558"/>
    </row>
    <row r="890" spans="1:11" s="2" customFormat="1" ht="30" customHeight="1" x14ac:dyDescent="0.3">
      <c r="A890" s="715"/>
      <c r="B890" s="1151" t="s">
        <v>2002</v>
      </c>
      <c r="C890" s="644">
        <v>0</v>
      </c>
      <c r="D890" s="816">
        <v>1449005.28</v>
      </c>
      <c r="E890" s="644">
        <v>1449005.28</v>
      </c>
      <c r="F890" s="644"/>
      <c r="G890" s="1051"/>
      <c r="H890" s="1055"/>
      <c r="I890" s="670"/>
      <c r="J890" s="88">
        <v>0</v>
      </c>
      <c r="K890" s="558"/>
    </row>
    <row r="891" spans="1:11" s="2" customFormat="1" ht="30" customHeight="1" x14ac:dyDescent="0.3">
      <c r="A891" s="715"/>
      <c r="B891" s="1151" t="s">
        <v>2004</v>
      </c>
      <c r="C891" s="644">
        <v>0</v>
      </c>
      <c r="D891" s="816">
        <v>221800</v>
      </c>
      <c r="E891" s="644">
        <v>221800</v>
      </c>
      <c r="F891" s="644"/>
      <c r="G891" s="1051"/>
      <c r="H891" s="1055"/>
      <c r="I891" s="670"/>
      <c r="J891" s="88">
        <v>0</v>
      </c>
      <c r="K891" s="558"/>
    </row>
    <row r="892" spans="1:11" s="2" customFormat="1" ht="30" customHeight="1" x14ac:dyDescent="0.3">
      <c r="A892" s="715"/>
      <c r="B892" s="1151" t="s">
        <v>2005</v>
      </c>
      <c r="C892" s="644">
        <v>0</v>
      </c>
      <c r="D892" s="816">
        <v>400000</v>
      </c>
      <c r="E892" s="644">
        <v>400000</v>
      </c>
      <c r="F892" s="644"/>
      <c r="G892" s="1051"/>
      <c r="H892" s="1055"/>
      <c r="I892" s="670"/>
      <c r="J892" s="88">
        <v>0</v>
      </c>
      <c r="K892" s="558"/>
    </row>
    <row r="893" spans="1:11" s="244" customFormat="1" ht="30" customHeight="1" x14ac:dyDescent="0.25">
      <c r="A893" s="663">
        <v>6409</v>
      </c>
      <c r="B893" s="629" t="s">
        <v>1008</v>
      </c>
      <c r="C893" s="635">
        <f>SUM(C894:C897)</f>
        <v>3310000</v>
      </c>
      <c r="D893" s="635">
        <f>SUM(D894:D897)</f>
        <v>79205937.469999984</v>
      </c>
      <c r="E893" s="635">
        <v>512411.1</v>
      </c>
      <c r="F893" s="652">
        <f>SUM(E894:E897)</f>
        <v>512411.1</v>
      </c>
      <c r="G893" s="630"/>
      <c r="H893" s="1052"/>
      <c r="I893" s="639"/>
      <c r="J893" s="29">
        <v>101944408.76000001</v>
      </c>
    </row>
    <row r="894" spans="1:11" s="98" customFormat="1" ht="30" customHeight="1" x14ac:dyDescent="0.2">
      <c r="A894" s="1019"/>
      <c r="B894" s="690" t="s">
        <v>1009</v>
      </c>
      <c r="C894" s="694">
        <v>3000000</v>
      </c>
      <c r="D894" s="694">
        <f>3000000-508200+45455-2500000+2499800-1812000-76493.01-33698-3663880-120860.71-221800+50161+14000000+14055.43-1700000-300000-1938178.27-436000-175000+5706845.54+285281-7381538+384+80676.71+248308.32-1750000+43797-84940+3705.41-231000-50000+270+2989.27+(1200000-96800)+921600+(-89825-296450-213204)-5500000-1000000+(20000+76497+20200+36600+156589.67+5360+147136+87410+265673.13+2870000)-147136-176-1449005.28+23330000+160000-280000-300000-150000-49000-1163197.81-500000-5000000-300000+9703265.68-86815.98-500000+700000+3074.21+275000-300000+2277799.35+412445+7050000+(300000+1060000+1000000+6690000+7500000+500000+1800000+3930000+800000)+1000000+98187+500000+(4330000+700000)+114563.55-76493.02+1650000+28572-300000+62.46+70122+155095.79+82921.96+200000+(48744+15613.03+1.16+100000+350000+280000+300000+600000+10163-300000+20000+20000)+(370088+175000+10637000+26810+686470.59+30000+115000+162566+32630+110347.82+594.97)+500000+484000+700000+500000+1550000+2200000+4011-52695.5+300000+2180699.34+217373.47-100000+3337434+(-117496-2869843.8-287980-101945.85-5103000-8281000+323.86)+(1600000+900000)-100000</f>
        <v>78679121.48999998</v>
      </c>
      <c r="E894" s="694">
        <v>0</v>
      </c>
      <c r="F894" s="694"/>
      <c r="G894" s="1051"/>
      <c r="H894" s="1055"/>
      <c r="I894" s="670"/>
      <c r="J894" s="29">
        <v>0</v>
      </c>
    </row>
    <row r="895" spans="1:11" s="98" customFormat="1" ht="38.25" x14ac:dyDescent="0.2">
      <c r="A895" s="832"/>
      <c r="B895" s="884" t="s">
        <v>1862</v>
      </c>
      <c r="C895" s="695">
        <f>80000+90000+85000+55000</f>
        <v>310000</v>
      </c>
      <c r="D895" s="695">
        <f>310000+40000+10000+80000</f>
        <v>440000</v>
      </c>
      <c r="E895" s="695">
        <v>425355.12</v>
      </c>
      <c r="F895" s="695"/>
      <c r="G895" s="1051"/>
      <c r="H895" s="1055"/>
      <c r="I895" s="670"/>
      <c r="J895" s="1037">
        <v>293265.58</v>
      </c>
    </row>
    <row r="896" spans="1:11" s="98" customFormat="1" ht="30" customHeight="1" x14ac:dyDescent="0.2">
      <c r="A896" s="832"/>
      <c r="B896" s="884" t="s">
        <v>2006</v>
      </c>
      <c r="C896" s="695">
        <v>0</v>
      </c>
      <c r="D896" s="695">
        <v>86815.98</v>
      </c>
      <c r="E896" s="695">
        <v>86815.98</v>
      </c>
      <c r="F896" s="695"/>
      <c r="G896" s="1051"/>
      <c r="H896" s="1055"/>
      <c r="I896" s="670"/>
      <c r="J896" s="29">
        <v>0</v>
      </c>
    </row>
    <row r="897" spans="1:10" s="98" customFormat="1" ht="30" customHeight="1" x14ac:dyDescent="0.2">
      <c r="A897" s="832"/>
      <c r="B897" s="884" t="s">
        <v>2007</v>
      </c>
      <c r="C897" s="695">
        <v>0</v>
      </c>
      <c r="D897" s="695">
        <v>0</v>
      </c>
      <c r="E897" s="695">
        <v>240</v>
      </c>
      <c r="F897" s="695"/>
      <c r="G897" s="1051"/>
      <c r="H897" s="1055"/>
      <c r="I897" s="670"/>
      <c r="J897" s="29">
        <v>-500</v>
      </c>
    </row>
    <row r="898" spans="1:10" s="98" customFormat="1" ht="30" customHeight="1" x14ac:dyDescent="0.2">
      <c r="A898" s="749"/>
      <c r="B898" s="727"/>
      <c r="C898" s="682"/>
      <c r="D898" s="682"/>
      <c r="E898" s="682"/>
      <c r="F898" s="682"/>
      <c r="G898" s="682"/>
      <c r="H898" s="682"/>
      <c r="I898" s="1020"/>
      <c r="J898" s="29"/>
    </row>
    <row r="899" spans="1:10" s="98" customFormat="1" ht="30" customHeight="1" x14ac:dyDescent="0.35">
      <c r="A899" s="613"/>
      <c r="B899" s="1021" t="s">
        <v>55</v>
      </c>
      <c r="C899" s="1022">
        <f>SUM(C244+C349+C515+C518+C524+C533+C537+C540+C631+C635+C654+C662+C694+C702+C726+C861+C872)</f>
        <v>1000477597.2</v>
      </c>
      <c r="D899" s="1022">
        <f>SUM(D244+D349+D515+D518+D524+D533+D537+D540+D631+D635+D654+D662+D694+D702+D726+D861+D872)</f>
        <v>1016142286.4899999</v>
      </c>
      <c r="E899" s="1022">
        <v>852539368.99000001</v>
      </c>
      <c r="F899" s="1152"/>
      <c r="G899" s="735"/>
      <c r="H899" s="735"/>
      <c r="I899" s="1083"/>
      <c r="J899" s="29">
        <v>474035560.29000002</v>
      </c>
    </row>
    <row r="900" spans="1:10" ht="23.25" x14ac:dyDescent="0.35">
      <c r="B900" s="1024"/>
    </row>
    <row r="901" spans="1:10" x14ac:dyDescent="0.2">
      <c r="B901" s="564"/>
    </row>
    <row r="902" spans="1:10" s="98" customFormat="1" x14ac:dyDescent="0.2">
      <c r="A902" s="1"/>
      <c r="B902" s="1"/>
      <c r="C902" s="29"/>
      <c r="D902" s="29"/>
      <c r="E902" s="29"/>
      <c r="F902" s="29"/>
      <c r="G902" s="29"/>
      <c r="H902" s="29"/>
      <c r="I902" s="29"/>
      <c r="J902" s="29"/>
    </row>
    <row r="903" spans="1:10" s="98" customFormat="1" x14ac:dyDescent="0.2">
      <c r="A903" s="1"/>
      <c r="B903" s="1"/>
      <c r="C903" s="1"/>
      <c r="D903" s="1"/>
      <c r="E903" s="1"/>
      <c r="F903" s="1"/>
      <c r="G903" s="1"/>
      <c r="H903" s="1"/>
      <c r="J903" s="29"/>
    </row>
  </sheetData>
  <sheetProtection selectLockedCells="1" selectUnlockedCells="1"/>
  <pageMargins left="0" right="0" top="0.39370078740157477" bottom="0.39370078740157477" header="0.51181102362204722" footer="0.19685039370078738"/>
  <pageSetup paperSize="9" scale="65" firstPageNumber="0" orientation="landscape" horizontalDpi="300" verticalDpi="300"/>
  <headerFooter>
    <oddFooter>&amp;C&amp;P</oddFooter>
  </headerFooter>
  <rowBreaks count="2" manualBreakCount="2">
    <brk id="30" max="16383" man="1"/>
    <brk id="242" max="16383" man="1"/>
  </rowBreaks>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
  <sheetViews>
    <sheetView topLeftCell="A34" workbookViewId="0">
      <selection activeCell="G56" sqref="G56"/>
    </sheetView>
  </sheetViews>
  <sheetFormatPr defaultRowHeight="15" x14ac:dyDescent="0.2"/>
  <cols>
    <col min="2" max="3" width="8.28515625" customWidth="1"/>
    <col min="4" max="4" width="5" customWidth="1"/>
    <col min="5" max="5" width="8.28515625" customWidth="1"/>
    <col min="6" max="6" width="16.7109375" customWidth="1"/>
    <col min="7" max="7" width="18.85546875" style="1104" customWidth="1"/>
    <col min="8" max="8" width="4.7109375" style="29" customWidth="1"/>
    <col min="9" max="9" width="16.85546875" customWidth="1"/>
    <col min="10" max="10" width="1.5703125" customWidth="1"/>
    <col min="11" max="11" width="14.5703125" customWidth="1"/>
    <col min="12" max="12" width="17.7109375" customWidth="1"/>
    <col min="258" max="259" width="8.28515625" customWidth="1"/>
    <col min="260" max="260" width="5" customWidth="1"/>
    <col min="261" max="261" width="8.28515625" customWidth="1"/>
    <col min="262" max="262" width="16.7109375" customWidth="1"/>
    <col min="263" max="263" width="17.7109375" customWidth="1"/>
    <col min="264" max="264" width="4.7109375" customWidth="1"/>
    <col min="265" max="265" width="16.85546875" customWidth="1"/>
    <col min="266" max="266" width="1.5703125" customWidth="1"/>
    <col min="267" max="267" width="14.5703125" customWidth="1"/>
    <col min="268" max="268" width="17.7109375" customWidth="1"/>
    <col min="514" max="515" width="8.28515625" customWidth="1"/>
    <col min="516" max="516" width="5" customWidth="1"/>
    <col min="517" max="517" width="8.28515625" customWidth="1"/>
    <col min="518" max="518" width="16.7109375" customWidth="1"/>
    <col min="519" max="519" width="17.7109375" customWidth="1"/>
    <col min="520" max="520" width="4.7109375" customWidth="1"/>
    <col min="521" max="521" width="16.85546875" customWidth="1"/>
    <col min="522" max="522" width="1.5703125" customWidth="1"/>
    <col min="523" max="523" width="14.5703125" customWidth="1"/>
    <col min="524" max="524" width="17.7109375" customWidth="1"/>
    <col min="770" max="771" width="8.28515625" customWidth="1"/>
    <col min="772" max="772" width="5" customWidth="1"/>
    <col min="773" max="773" width="8.28515625" customWidth="1"/>
    <col min="774" max="774" width="16.7109375" customWidth="1"/>
    <col min="775" max="775" width="17.7109375" customWidth="1"/>
    <col min="776" max="776" width="4.7109375" customWidth="1"/>
    <col min="777" max="777" width="16.85546875" customWidth="1"/>
    <col min="778" max="778" width="1.5703125" customWidth="1"/>
    <col min="779" max="779" width="14.5703125" customWidth="1"/>
    <col min="780" max="780" width="17.7109375" customWidth="1"/>
    <col min="1026" max="1027" width="8.28515625" customWidth="1"/>
    <col min="1028" max="1028" width="5" customWidth="1"/>
    <col min="1029" max="1029" width="8.28515625" customWidth="1"/>
    <col min="1030" max="1030" width="16.7109375" customWidth="1"/>
    <col min="1031" max="1031" width="17.7109375" customWidth="1"/>
    <col min="1032" max="1032" width="4.7109375" customWidth="1"/>
    <col min="1033" max="1033" width="16.85546875" customWidth="1"/>
    <col min="1034" max="1034" width="1.5703125" customWidth="1"/>
    <col min="1035" max="1035" width="14.5703125" customWidth="1"/>
    <col min="1036" max="1036" width="17.7109375" customWidth="1"/>
    <col min="1282" max="1283" width="8.28515625" customWidth="1"/>
    <col min="1284" max="1284" width="5" customWidth="1"/>
    <col min="1285" max="1285" width="8.28515625" customWidth="1"/>
    <col min="1286" max="1286" width="16.7109375" customWidth="1"/>
    <col min="1287" max="1287" width="17.7109375" customWidth="1"/>
    <col min="1288" max="1288" width="4.7109375" customWidth="1"/>
    <col min="1289" max="1289" width="16.85546875" customWidth="1"/>
    <col min="1290" max="1290" width="1.5703125" customWidth="1"/>
    <col min="1291" max="1291" width="14.5703125" customWidth="1"/>
    <col min="1292" max="1292" width="17.7109375" customWidth="1"/>
    <col min="1538" max="1539" width="8.28515625" customWidth="1"/>
    <col min="1540" max="1540" width="5" customWidth="1"/>
    <col min="1541" max="1541" width="8.28515625" customWidth="1"/>
    <col min="1542" max="1542" width="16.7109375" customWidth="1"/>
    <col min="1543" max="1543" width="17.7109375" customWidth="1"/>
    <col min="1544" max="1544" width="4.7109375" customWidth="1"/>
    <col min="1545" max="1545" width="16.85546875" customWidth="1"/>
    <col min="1546" max="1546" width="1.5703125" customWidth="1"/>
    <col min="1547" max="1547" width="14.5703125" customWidth="1"/>
    <col min="1548" max="1548" width="17.7109375" customWidth="1"/>
    <col min="1794" max="1795" width="8.28515625" customWidth="1"/>
    <col min="1796" max="1796" width="5" customWidth="1"/>
    <col min="1797" max="1797" width="8.28515625" customWidth="1"/>
    <col min="1798" max="1798" width="16.7109375" customWidth="1"/>
    <col min="1799" max="1799" width="17.7109375" customWidth="1"/>
    <col min="1800" max="1800" width="4.7109375" customWidth="1"/>
    <col min="1801" max="1801" width="16.85546875" customWidth="1"/>
    <col min="1802" max="1802" width="1.5703125" customWidth="1"/>
    <col min="1803" max="1803" width="14.5703125" customWidth="1"/>
    <col min="1804" max="1804" width="17.7109375" customWidth="1"/>
    <col min="2050" max="2051" width="8.28515625" customWidth="1"/>
    <col min="2052" max="2052" width="5" customWidth="1"/>
    <col min="2053" max="2053" width="8.28515625" customWidth="1"/>
    <col min="2054" max="2054" width="16.7109375" customWidth="1"/>
    <col min="2055" max="2055" width="17.7109375" customWidth="1"/>
    <col min="2056" max="2056" width="4.7109375" customWidth="1"/>
    <col min="2057" max="2057" width="16.85546875" customWidth="1"/>
    <col min="2058" max="2058" width="1.5703125" customWidth="1"/>
    <col min="2059" max="2059" width="14.5703125" customWidth="1"/>
    <col min="2060" max="2060" width="17.7109375" customWidth="1"/>
    <col min="2306" max="2307" width="8.28515625" customWidth="1"/>
    <col min="2308" max="2308" width="5" customWidth="1"/>
    <col min="2309" max="2309" width="8.28515625" customWidth="1"/>
    <col min="2310" max="2310" width="16.7109375" customWidth="1"/>
    <col min="2311" max="2311" width="17.7109375" customWidth="1"/>
    <col min="2312" max="2312" width="4.7109375" customWidth="1"/>
    <col min="2313" max="2313" width="16.85546875" customWidth="1"/>
    <col min="2314" max="2314" width="1.5703125" customWidth="1"/>
    <col min="2315" max="2315" width="14.5703125" customWidth="1"/>
    <col min="2316" max="2316" width="17.7109375" customWidth="1"/>
    <col min="2562" max="2563" width="8.28515625" customWidth="1"/>
    <col min="2564" max="2564" width="5" customWidth="1"/>
    <col min="2565" max="2565" width="8.28515625" customWidth="1"/>
    <col min="2566" max="2566" width="16.7109375" customWidth="1"/>
    <col min="2567" max="2567" width="17.7109375" customWidth="1"/>
    <col min="2568" max="2568" width="4.7109375" customWidth="1"/>
    <col min="2569" max="2569" width="16.85546875" customWidth="1"/>
    <col min="2570" max="2570" width="1.5703125" customWidth="1"/>
    <col min="2571" max="2571" width="14.5703125" customWidth="1"/>
    <col min="2572" max="2572" width="17.7109375" customWidth="1"/>
    <col min="2818" max="2819" width="8.28515625" customWidth="1"/>
    <col min="2820" max="2820" width="5" customWidth="1"/>
    <col min="2821" max="2821" width="8.28515625" customWidth="1"/>
    <col min="2822" max="2822" width="16.7109375" customWidth="1"/>
    <col min="2823" max="2823" width="17.7109375" customWidth="1"/>
    <col min="2824" max="2824" width="4.7109375" customWidth="1"/>
    <col min="2825" max="2825" width="16.85546875" customWidth="1"/>
    <col min="2826" max="2826" width="1.5703125" customWidth="1"/>
    <col min="2827" max="2827" width="14.5703125" customWidth="1"/>
    <col min="2828" max="2828" width="17.7109375" customWidth="1"/>
    <col min="3074" max="3075" width="8.28515625" customWidth="1"/>
    <col min="3076" max="3076" width="5" customWidth="1"/>
    <col min="3077" max="3077" width="8.28515625" customWidth="1"/>
    <col min="3078" max="3078" width="16.7109375" customWidth="1"/>
    <col min="3079" max="3079" width="17.7109375" customWidth="1"/>
    <col min="3080" max="3080" width="4.7109375" customWidth="1"/>
    <col min="3081" max="3081" width="16.85546875" customWidth="1"/>
    <col min="3082" max="3082" width="1.5703125" customWidth="1"/>
    <col min="3083" max="3083" width="14.5703125" customWidth="1"/>
    <col min="3084" max="3084" width="17.7109375" customWidth="1"/>
    <col min="3330" max="3331" width="8.28515625" customWidth="1"/>
    <col min="3332" max="3332" width="5" customWidth="1"/>
    <col min="3333" max="3333" width="8.28515625" customWidth="1"/>
    <col min="3334" max="3334" width="16.7109375" customWidth="1"/>
    <col min="3335" max="3335" width="17.7109375" customWidth="1"/>
    <col min="3336" max="3336" width="4.7109375" customWidth="1"/>
    <col min="3337" max="3337" width="16.85546875" customWidth="1"/>
    <col min="3338" max="3338" width="1.5703125" customWidth="1"/>
    <col min="3339" max="3339" width="14.5703125" customWidth="1"/>
    <col min="3340" max="3340" width="17.7109375" customWidth="1"/>
    <col min="3586" max="3587" width="8.28515625" customWidth="1"/>
    <col min="3588" max="3588" width="5" customWidth="1"/>
    <col min="3589" max="3589" width="8.28515625" customWidth="1"/>
    <col min="3590" max="3590" width="16.7109375" customWidth="1"/>
    <col min="3591" max="3591" width="17.7109375" customWidth="1"/>
    <col min="3592" max="3592" width="4.7109375" customWidth="1"/>
    <col min="3593" max="3593" width="16.85546875" customWidth="1"/>
    <col min="3594" max="3594" width="1.5703125" customWidth="1"/>
    <col min="3595" max="3595" width="14.5703125" customWidth="1"/>
    <col min="3596" max="3596" width="17.7109375" customWidth="1"/>
    <col min="3842" max="3843" width="8.28515625" customWidth="1"/>
    <col min="3844" max="3844" width="5" customWidth="1"/>
    <col min="3845" max="3845" width="8.28515625" customWidth="1"/>
    <col min="3846" max="3846" width="16.7109375" customWidth="1"/>
    <col min="3847" max="3847" width="17.7109375" customWidth="1"/>
    <col min="3848" max="3848" width="4.7109375" customWidth="1"/>
    <col min="3849" max="3849" width="16.85546875" customWidth="1"/>
    <col min="3850" max="3850" width="1.5703125" customWidth="1"/>
    <col min="3851" max="3851" width="14.5703125" customWidth="1"/>
    <col min="3852" max="3852" width="17.7109375" customWidth="1"/>
    <col min="4098" max="4099" width="8.28515625" customWidth="1"/>
    <col min="4100" max="4100" width="5" customWidth="1"/>
    <col min="4101" max="4101" width="8.28515625" customWidth="1"/>
    <col min="4102" max="4102" width="16.7109375" customWidth="1"/>
    <col min="4103" max="4103" width="17.7109375" customWidth="1"/>
    <col min="4104" max="4104" width="4.7109375" customWidth="1"/>
    <col min="4105" max="4105" width="16.85546875" customWidth="1"/>
    <col min="4106" max="4106" width="1.5703125" customWidth="1"/>
    <col min="4107" max="4107" width="14.5703125" customWidth="1"/>
    <col min="4108" max="4108" width="17.7109375" customWidth="1"/>
    <col min="4354" max="4355" width="8.28515625" customWidth="1"/>
    <col min="4356" max="4356" width="5" customWidth="1"/>
    <col min="4357" max="4357" width="8.28515625" customWidth="1"/>
    <col min="4358" max="4358" width="16.7109375" customWidth="1"/>
    <col min="4359" max="4359" width="17.7109375" customWidth="1"/>
    <col min="4360" max="4360" width="4.7109375" customWidth="1"/>
    <col min="4361" max="4361" width="16.85546875" customWidth="1"/>
    <col min="4362" max="4362" width="1.5703125" customWidth="1"/>
    <col min="4363" max="4363" width="14.5703125" customWidth="1"/>
    <col min="4364" max="4364" width="17.7109375" customWidth="1"/>
    <col min="4610" max="4611" width="8.28515625" customWidth="1"/>
    <col min="4612" max="4612" width="5" customWidth="1"/>
    <col min="4613" max="4613" width="8.28515625" customWidth="1"/>
    <col min="4614" max="4614" width="16.7109375" customWidth="1"/>
    <col min="4615" max="4615" width="17.7109375" customWidth="1"/>
    <col min="4616" max="4616" width="4.7109375" customWidth="1"/>
    <col min="4617" max="4617" width="16.85546875" customWidth="1"/>
    <col min="4618" max="4618" width="1.5703125" customWidth="1"/>
    <col min="4619" max="4619" width="14.5703125" customWidth="1"/>
    <col min="4620" max="4620" width="17.7109375" customWidth="1"/>
    <col min="4866" max="4867" width="8.28515625" customWidth="1"/>
    <col min="4868" max="4868" width="5" customWidth="1"/>
    <col min="4869" max="4869" width="8.28515625" customWidth="1"/>
    <col min="4870" max="4870" width="16.7109375" customWidth="1"/>
    <col min="4871" max="4871" width="17.7109375" customWidth="1"/>
    <col min="4872" max="4872" width="4.7109375" customWidth="1"/>
    <col min="4873" max="4873" width="16.85546875" customWidth="1"/>
    <col min="4874" max="4874" width="1.5703125" customWidth="1"/>
    <col min="4875" max="4875" width="14.5703125" customWidth="1"/>
    <col min="4876" max="4876" width="17.7109375" customWidth="1"/>
    <col min="5122" max="5123" width="8.28515625" customWidth="1"/>
    <col min="5124" max="5124" width="5" customWidth="1"/>
    <col min="5125" max="5125" width="8.28515625" customWidth="1"/>
    <col min="5126" max="5126" width="16.7109375" customWidth="1"/>
    <col min="5127" max="5127" width="17.7109375" customWidth="1"/>
    <col min="5128" max="5128" width="4.7109375" customWidth="1"/>
    <col min="5129" max="5129" width="16.85546875" customWidth="1"/>
    <col min="5130" max="5130" width="1.5703125" customWidth="1"/>
    <col min="5131" max="5131" width="14.5703125" customWidth="1"/>
    <col min="5132" max="5132" width="17.7109375" customWidth="1"/>
    <col min="5378" max="5379" width="8.28515625" customWidth="1"/>
    <col min="5380" max="5380" width="5" customWidth="1"/>
    <col min="5381" max="5381" width="8.28515625" customWidth="1"/>
    <col min="5382" max="5382" width="16.7109375" customWidth="1"/>
    <col min="5383" max="5383" width="17.7109375" customWidth="1"/>
    <col min="5384" max="5384" width="4.7109375" customWidth="1"/>
    <col min="5385" max="5385" width="16.85546875" customWidth="1"/>
    <col min="5386" max="5386" width="1.5703125" customWidth="1"/>
    <col min="5387" max="5387" width="14.5703125" customWidth="1"/>
    <col min="5388" max="5388" width="17.7109375" customWidth="1"/>
    <col min="5634" max="5635" width="8.28515625" customWidth="1"/>
    <col min="5636" max="5636" width="5" customWidth="1"/>
    <col min="5637" max="5637" width="8.28515625" customWidth="1"/>
    <col min="5638" max="5638" width="16.7109375" customWidth="1"/>
    <col min="5639" max="5639" width="17.7109375" customWidth="1"/>
    <col min="5640" max="5640" width="4.7109375" customWidth="1"/>
    <col min="5641" max="5641" width="16.85546875" customWidth="1"/>
    <col min="5642" max="5642" width="1.5703125" customWidth="1"/>
    <col min="5643" max="5643" width="14.5703125" customWidth="1"/>
    <col min="5644" max="5644" width="17.7109375" customWidth="1"/>
    <col min="5890" max="5891" width="8.28515625" customWidth="1"/>
    <col min="5892" max="5892" width="5" customWidth="1"/>
    <col min="5893" max="5893" width="8.28515625" customWidth="1"/>
    <col min="5894" max="5894" width="16.7109375" customWidth="1"/>
    <col min="5895" max="5895" width="17.7109375" customWidth="1"/>
    <col min="5896" max="5896" width="4.7109375" customWidth="1"/>
    <col min="5897" max="5897" width="16.85546875" customWidth="1"/>
    <col min="5898" max="5898" width="1.5703125" customWidth="1"/>
    <col min="5899" max="5899" width="14.5703125" customWidth="1"/>
    <col min="5900" max="5900" width="17.7109375" customWidth="1"/>
    <col min="6146" max="6147" width="8.28515625" customWidth="1"/>
    <col min="6148" max="6148" width="5" customWidth="1"/>
    <col min="6149" max="6149" width="8.28515625" customWidth="1"/>
    <col min="6150" max="6150" width="16.7109375" customWidth="1"/>
    <col min="6151" max="6151" width="17.7109375" customWidth="1"/>
    <col min="6152" max="6152" width="4.7109375" customWidth="1"/>
    <col min="6153" max="6153" width="16.85546875" customWidth="1"/>
    <col min="6154" max="6154" width="1.5703125" customWidth="1"/>
    <col min="6155" max="6155" width="14.5703125" customWidth="1"/>
    <col min="6156" max="6156" width="17.7109375" customWidth="1"/>
    <col min="6402" max="6403" width="8.28515625" customWidth="1"/>
    <col min="6404" max="6404" width="5" customWidth="1"/>
    <col min="6405" max="6405" width="8.28515625" customWidth="1"/>
    <col min="6406" max="6406" width="16.7109375" customWidth="1"/>
    <col min="6407" max="6407" width="17.7109375" customWidth="1"/>
    <col min="6408" max="6408" width="4.7109375" customWidth="1"/>
    <col min="6409" max="6409" width="16.85546875" customWidth="1"/>
    <col min="6410" max="6410" width="1.5703125" customWidth="1"/>
    <col min="6411" max="6411" width="14.5703125" customWidth="1"/>
    <col min="6412" max="6412" width="17.7109375" customWidth="1"/>
    <col min="6658" max="6659" width="8.28515625" customWidth="1"/>
    <col min="6660" max="6660" width="5" customWidth="1"/>
    <col min="6661" max="6661" width="8.28515625" customWidth="1"/>
    <col min="6662" max="6662" width="16.7109375" customWidth="1"/>
    <col min="6663" max="6663" width="17.7109375" customWidth="1"/>
    <col min="6664" max="6664" width="4.7109375" customWidth="1"/>
    <col min="6665" max="6665" width="16.85546875" customWidth="1"/>
    <col min="6666" max="6666" width="1.5703125" customWidth="1"/>
    <col min="6667" max="6667" width="14.5703125" customWidth="1"/>
    <col min="6668" max="6668" width="17.7109375" customWidth="1"/>
    <col min="6914" max="6915" width="8.28515625" customWidth="1"/>
    <col min="6916" max="6916" width="5" customWidth="1"/>
    <col min="6917" max="6917" width="8.28515625" customWidth="1"/>
    <col min="6918" max="6918" width="16.7109375" customWidth="1"/>
    <col min="6919" max="6919" width="17.7109375" customWidth="1"/>
    <col min="6920" max="6920" width="4.7109375" customWidth="1"/>
    <col min="6921" max="6921" width="16.85546875" customWidth="1"/>
    <col min="6922" max="6922" width="1.5703125" customWidth="1"/>
    <col min="6923" max="6923" width="14.5703125" customWidth="1"/>
    <col min="6924" max="6924" width="17.7109375" customWidth="1"/>
    <col min="7170" max="7171" width="8.28515625" customWidth="1"/>
    <col min="7172" max="7172" width="5" customWidth="1"/>
    <col min="7173" max="7173" width="8.28515625" customWidth="1"/>
    <col min="7174" max="7174" width="16.7109375" customWidth="1"/>
    <col min="7175" max="7175" width="17.7109375" customWidth="1"/>
    <col min="7176" max="7176" width="4.7109375" customWidth="1"/>
    <col min="7177" max="7177" width="16.85546875" customWidth="1"/>
    <col min="7178" max="7178" width="1.5703125" customWidth="1"/>
    <col min="7179" max="7179" width="14.5703125" customWidth="1"/>
    <col min="7180" max="7180" width="17.7109375" customWidth="1"/>
    <col min="7426" max="7427" width="8.28515625" customWidth="1"/>
    <col min="7428" max="7428" width="5" customWidth="1"/>
    <col min="7429" max="7429" width="8.28515625" customWidth="1"/>
    <col min="7430" max="7430" width="16.7109375" customWidth="1"/>
    <col min="7431" max="7431" width="17.7109375" customWidth="1"/>
    <col min="7432" max="7432" width="4.7109375" customWidth="1"/>
    <col min="7433" max="7433" width="16.85546875" customWidth="1"/>
    <col min="7434" max="7434" width="1.5703125" customWidth="1"/>
    <col min="7435" max="7435" width="14.5703125" customWidth="1"/>
    <col min="7436" max="7436" width="17.7109375" customWidth="1"/>
    <col min="7682" max="7683" width="8.28515625" customWidth="1"/>
    <col min="7684" max="7684" width="5" customWidth="1"/>
    <col min="7685" max="7685" width="8.28515625" customWidth="1"/>
    <col min="7686" max="7686" width="16.7109375" customWidth="1"/>
    <col min="7687" max="7687" width="17.7109375" customWidth="1"/>
    <col min="7688" max="7688" width="4.7109375" customWidth="1"/>
    <col min="7689" max="7689" width="16.85546875" customWidth="1"/>
    <col min="7690" max="7690" width="1.5703125" customWidth="1"/>
    <col min="7691" max="7691" width="14.5703125" customWidth="1"/>
    <col min="7692" max="7692" width="17.7109375" customWidth="1"/>
    <col min="7938" max="7939" width="8.28515625" customWidth="1"/>
    <col min="7940" max="7940" width="5" customWidth="1"/>
    <col min="7941" max="7941" width="8.28515625" customWidth="1"/>
    <col min="7942" max="7942" width="16.7109375" customWidth="1"/>
    <col min="7943" max="7943" width="17.7109375" customWidth="1"/>
    <col min="7944" max="7944" width="4.7109375" customWidth="1"/>
    <col min="7945" max="7945" width="16.85546875" customWidth="1"/>
    <col min="7946" max="7946" width="1.5703125" customWidth="1"/>
    <col min="7947" max="7947" width="14.5703125" customWidth="1"/>
    <col min="7948" max="7948" width="17.7109375" customWidth="1"/>
    <col min="8194" max="8195" width="8.28515625" customWidth="1"/>
    <col min="8196" max="8196" width="5" customWidth="1"/>
    <col min="8197" max="8197" width="8.28515625" customWidth="1"/>
    <col min="8198" max="8198" width="16.7109375" customWidth="1"/>
    <col min="8199" max="8199" width="17.7109375" customWidth="1"/>
    <col min="8200" max="8200" width="4.7109375" customWidth="1"/>
    <col min="8201" max="8201" width="16.85546875" customWidth="1"/>
    <col min="8202" max="8202" width="1.5703125" customWidth="1"/>
    <col min="8203" max="8203" width="14.5703125" customWidth="1"/>
    <col min="8204" max="8204" width="17.7109375" customWidth="1"/>
    <col min="8450" max="8451" width="8.28515625" customWidth="1"/>
    <col min="8452" max="8452" width="5" customWidth="1"/>
    <col min="8453" max="8453" width="8.28515625" customWidth="1"/>
    <col min="8454" max="8454" width="16.7109375" customWidth="1"/>
    <col min="8455" max="8455" width="17.7109375" customWidth="1"/>
    <col min="8456" max="8456" width="4.7109375" customWidth="1"/>
    <col min="8457" max="8457" width="16.85546875" customWidth="1"/>
    <col min="8458" max="8458" width="1.5703125" customWidth="1"/>
    <col min="8459" max="8459" width="14.5703125" customWidth="1"/>
    <col min="8460" max="8460" width="17.7109375" customWidth="1"/>
    <col min="8706" max="8707" width="8.28515625" customWidth="1"/>
    <col min="8708" max="8708" width="5" customWidth="1"/>
    <col min="8709" max="8709" width="8.28515625" customWidth="1"/>
    <col min="8710" max="8710" width="16.7109375" customWidth="1"/>
    <col min="8711" max="8711" width="17.7109375" customWidth="1"/>
    <col min="8712" max="8712" width="4.7109375" customWidth="1"/>
    <col min="8713" max="8713" width="16.85546875" customWidth="1"/>
    <col min="8714" max="8714" width="1.5703125" customWidth="1"/>
    <col min="8715" max="8715" width="14.5703125" customWidth="1"/>
    <col min="8716" max="8716" width="17.7109375" customWidth="1"/>
    <col min="8962" max="8963" width="8.28515625" customWidth="1"/>
    <col min="8964" max="8964" width="5" customWidth="1"/>
    <col min="8965" max="8965" width="8.28515625" customWidth="1"/>
    <col min="8966" max="8966" width="16.7109375" customWidth="1"/>
    <col min="8967" max="8967" width="17.7109375" customWidth="1"/>
    <col min="8968" max="8968" width="4.7109375" customWidth="1"/>
    <col min="8969" max="8969" width="16.85546875" customWidth="1"/>
    <col min="8970" max="8970" width="1.5703125" customWidth="1"/>
    <col min="8971" max="8971" width="14.5703125" customWidth="1"/>
    <col min="8972" max="8972" width="17.7109375" customWidth="1"/>
    <col min="9218" max="9219" width="8.28515625" customWidth="1"/>
    <col min="9220" max="9220" width="5" customWidth="1"/>
    <col min="9221" max="9221" width="8.28515625" customWidth="1"/>
    <col min="9222" max="9222" width="16.7109375" customWidth="1"/>
    <col min="9223" max="9223" width="17.7109375" customWidth="1"/>
    <col min="9224" max="9224" width="4.7109375" customWidth="1"/>
    <col min="9225" max="9225" width="16.85546875" customWidth="1"/>
    <col min="9226" max="9226" width="1.5703125" customWidth="1"/>
    <col min="9227" max="9227" width="14.5703125" customWidth="1"/>
    <col min="9228" max="9228" width="17.7109375" customWidth="1"/>
    <col min="9474" max="9475" width="8.28515625" customWidth="1"/>
    <col min="9476" max="9476" width="5" customWidth="1"/>
    <col min="9477" max="9477" width="8.28515625" customWidth="1"/>
    <col min="9478" max="9478" width="16.7109375" customWidth="1"/>
    <col min="9479" max="9479" width="17.7109375" customWidth="1"/>
    <col min="9480" max="9480" width="4.7109375" customWidth="1"/>
    <col min="9481" max="9481" width="16.85546875" customWidth="1"/>
    <col min="9482" max="9482" width="1.5703125" customWidth="1"/>
    <col min="9483" max="9483" width="14.5703125" customWidth="1"/>
    <col min="9484" max="9484" width="17.7109375" customWidth="1"/>
    <col min="9730" max="9731" width="8.28515625" customWidth="1"/>
    <col min="9732" max="9732" width="5" customWidth="1"/>
    <col min="9733" max="9733" width="8.28515625" customWidth="1"/>
    <col min="9734" max="9734" width="16.7109375" customWidth="1"/>
    <col min="9735" max="9735" width="17.7109375" customWidth="1"/>
    <col min="9736" max="9736" width="4.7109375" customWidth="1"/>
    <col min="9737" max="9737" width="16.85546875" customWidth="1"/>
    <col min="9738" max="9738" width="1.5703125" customWidth="1"/>
    <col min="9739" max="9739" width="14.5703125" customWidth="1"/>
    <col min="9740" max="9740" width="17.7109375" customWidth="1"/>
    <col min="9986" max="9987" width="8.28515625" customWidth="1"/>
    <col min="9988" max="9988" width="5" customWidth="1"/>
    <col min="9989" max="9989" width="8.28515625" customWidth="1"/>
    <col min="9990" max="9990" width="16.7109375" customWidth="1"/>
    <col min="9991" max="9991" width="17.7109375" customWidth="1"/>
    <col min="9992" max="9992" width="4.7109375" customWidth="1"/>
    <col min="9993" max="9993" width="16.85546875" customWidth="1"/>
    <col min="9994" max="9994" width="1.5703125" customWidth="1"/>
    <col min="9995" max="9995" width="14.5703125" customWidth="1"/>
    <col min="9996" max="9996" width="17.7109375" customWidth="1"/>
    <col min="10242" max="10243" width="8.28515625" customWidth="1"/>
    <col min="10244" max="10244" width="5" customWidth="1"/>
    <col min="10245" max="10245" width="8.28515625" customWidth="1"/>
    <col min="10246" max="10246" width="16.7109375" customWidth="1"/>
    <col min="10247" max="10247" width="17.7109375" customWidth="1"/>
    <col min="10248" max="10248" width="4.7109375" customWidth="1"/>
    <col min="10249" max="10249" width="16.85546875" customWidth="1"/>
    <col min="10250" max="10250" width="1.5703125" customWidth="1"/>
    <col min="10251" max="10251" width="14.5703125" customWidth="1"/>
    <col min="10252" max="10252" width="17.7109375" customWidth="1"/>
    <col min="10498" max="10499" width="8.28515625" customWidth="1"/>
    <col min="10500" max="10500" width="5" customWidth="1"/>
    <col min="10501" max="10501" width="8.28515625" customWidth="1"/>
    <col min="10502" max="10502" width="16.7109375" customWidth="1"/>
    <col min="10503" max="10503" width="17.7109375" customWidth="1"/>
    <col min="10504" max="10504" width="4.7109375" customWidth="1"/>
    <col min="10505" max="10505" width="16.85546875" customWidth="1"/>
    <col min="10506" max="10506" width="1.5703125" customWidth="1"/>
    <col min="10507" max="10507" width="14.5703125" customWidth="1"/>
    <col min="10508" max="10508" width="17.7109375" customWidth="1"/>
    <col min="10754" max="10755" width="8.28515625" customWidth="1"/>
    <col min="10756" max="10756" width="5" customWidth="1"/>
    <col min="10757" max="10757" width="8.28515625" customWidth="1"/>
    <col min="10758" max="10758" width="16.7109375" customWidth="1"/>
    <col min="10759" max="10759" width="17.7109375" customWidth="1"/>
    <col min="10760" max="10760" width="4.7109375" customWidth="1"/>
    <col min="10761" max="10761" width="16.85546875" customWidth="1"/>
    <col min="10762" max="10762" width="1.5703125" customWidth="1"/>
    <col min="10763" max="10763" width="14.5703125" customWidth="1"/>
    <col min="10764" max="10764" width="17.7109375" customWidth="1"/>
    <col min="11010" max="11011" width="8.28515625" customWidth="1"/>
    <col min="11012" max="11012" width="5" customWidth="1"/>
    <col min="11013" max="11013" width="8.28515625" customWidth="1"/>
    <col min="11014" max="11014" width="16.7109375" customWidth="1"/>
    <col min="11015" max="11015" width="17.7109375" customWidth="1"/>
    <col min="11016" max="11016" width="4.7109375" customWidth="1"/>
    <col min="11017" max="11017" width="16.85546875" customWidth="1"/>
    <col min="11018" max="11018" width="1.5703125" customWidth="1"/>
    <col min="11019" max="11019" width="14.5703125" customWidth="1"/>
    <col min="11020" max="11020" width="17.7109375" customWidth="1"/>
    <col min="11266" max="11267" width="8.28515625" customWidth="1"/>
    <col min="11268" max="11268" width="5" customWidth="1"/>
    <col min="11269" max="11269" width="8.28515625" customWidth="1"/>
    <col min="11270" max="11270" width="16.7109375" customWidth="1"/>
    <col min="11271" max="11271" width="17.7109375" customWidth="1"/>
    <col min="11272" max="11272" width="4.7109375" customWidth="1"/>
    <col min="11273" max="11273" width="16.85546875" customWidth="1"/>
    <col min="11274" max="11274" width="1.5703125" customWidth="1"/>
    <col min="11275" max="11275" width="14.5703125" customWidth="1"/>
    <col min="11276" max="11276" width="17.7109375" customWidth="1"/>
    <col min="11522" max="11523" width="8.28515625" customWidth="1"/>
    <col min="11524" max="11524" width="5" customWidth="1"/>
    <col min="11525" max="11525" width="8.28515625" customWidth="1"/>
    <col min="11526" max="11526" width="16.7109375" customWidth="1"/>
    <col min="11527" max="11527" width="17.7109375" customWidth="1"/>
    <col min="11528" max="11528" width="4.7109375" customWidth="1"/>
    <col min="11529" max="11529" width="16.85546875" customWidth="1"/>
    <col min="11530" max="11530" width="1.5703125" customWidth="1"/>
    <col min="11531" max="11531" width="14.5703125" customWidth="1"/>
    <col min="11532" max="11532" width="17.7109375" customWidth="1"/>
    <col min="11778" max="11779" width="8.28515625" customWidth="1"/>
    <col min="11780" max="11780" width="5" customWidth="1"/>
    <col min="11781" max="11781" width="8.28515625" customWidth="1"/>
    <col min="11782" max="11782" width="16.7109375" customWidth="1"/>
    <col min="11783" max="11783" width="17.7109375" customWidth="1"/>
    <col min="11784" max="11784" width="4.7109375" customWidth="1"/>
    <col min="11785" max="11785" width="16.85546875" customWidth="1"/>
    <col min="11786" max="11786" width="1.5703125" customWidth="1"/>
    <col min="11787" max="11787" width="14.5703125" customWidth="1"/>
    <col min="11788" max="11788" width="17.7109375" customWidth="1"/>
    <col min="12034" max="12035" width="8.28515625" customWidth="1"/>
    <col min="12036" max="12036" width="5" customWidth="1"/>
    <col min="12037" max="12037" width="8.28515625" customWidth="1"/>
    <col min="12038" max="12038" width="16.7109375" customWidth="1"/>
    <col min="12039" max="12039" width="17.7109375" customWidth="1"/>
    <col min="12040" max="12040" width="4.7109375" customWidth="1"/>
    <col min="12041" max="12041" width="16.85546875" customWidth="1"/>
    <col min="12042" max="12042" width="1.5703125" customWidth="1"/>
    <col min="12043" max="12043" width="14.5703125" customWidth="1"/>
    <col min="12044" max="12044" width="17.7109375" customWidth="1"/>
    <col min="12290" max="12291" width="8.28515625" customWidth="1"/>
    <col min="12292" max="12292" width="5" customWidth="1"/>
    <col min="12293" max="12293" width="8.28515625" customWidth="1"/>
    <col min="12294" max="12294" width="16.7109375" customWidth="1"/>
    <col min="12295" max="12295" width="17.7109375" customWidth="1"/>
    <col min="12296" max="12296" width="4.7109375" customWidth="1"/>
    <col min="12297" max="12297" width="16.85546875" customWidth="1"/>
    <col min="12298" max="12298" width="1.5703125" customWidth="1"/>
    <col min="12299" max="12299" width="14.5703125" customWidth="1"/>
    <col min="12300" max="12300" width="17.7109375" customWidth="1"/>
    <col min="12546" max="12547" width="8.28515625" customWidth="1"/>
    <col min="12548" max="12548" width="5" customWidth="1"/>
    <col min="12549" max="12549" width="8.28515625" customWidth="1"/>
    <col min="12550" max="12550" width="16.7109375" customWidth="1"/>
    <col min="12551" max="12551" width="17.7109375" customWidth="1"/>
    <col min="12552" max="12552" width="4.7109375" customWidth="1"/>
    <col min="12553" max="12553" width="16.85546875" customWidth="1"/>
    <col min="12554" max="12554" width="1.5703125" customWidth="1"/>
    <col min="12555" max="12555" width="14.5703125" customWidth="1"/>
    <col min="12556" max="12556" width="17.7109375" customWidth="1"/>
    <col min="12802" max="12803" width="8.28515625" customWidth="1"/>
    <col min="12804" max="12804" width="5" customWidth="1"/>
    <col min="12805" max="12805" width="8.28515625" customWidth="1"/>
    <col min="12806" max="12806" width="16.7109375" customWidth="1"/>
    <col min="12807" max="12807" width="17.7109375" customWidth="1"/>
    <col min="12808" max="12808" width="4.7109375" customWidth="1"/>
    <col min="12809" max="12809" width="16.85546875" customWidth="1"/>
    <col min="12810" max="12810" width="1.5703125" customWidth="1"/>
    <col min="12811" max="12811" width="14.5703125" customWidth="1"/>
    <col min="12812" max="12812" width="17.7109375" customWidth="1"/>
    <col min="13058" max="13059" width="8.28515625" customWidth="1"/>
    <col min="13060" max="13060" width="5" customWidth="1"/>
    <col min="13061" max="13061" width="8.28515625" customWidth="1"/>
    <col min="13062" max="13062" width="16.7109375" customWidth="1"/>
    <col min="13063" max="13063" width="17.7109375" customWidth="1"/>
    <col min="13064" max="13064" width="4.7109375" customWidth="1"/>
    <col min="13065" max="13065" width="16.85546875" customWidth="1"/>
    <col min="13066" max="13066" width="1.5703125" customWidth="1"/>
    <col min="13067" max="13067" width="14.5703125" customWidth="1"/>
    <col min="13068" max="13068" width="17.7109375" customWidth="1"/>
    <col min="13314" max="13315" width="8.28515625" customWidth="1"/>
    <col min="13316" max="13316" width="5" customWidth="1"/>
    <col min="13317" max="13317" width="8.28515625" customWidth="1"/>
    <col min="13318" max="13318" width="16.7109375" customWidth="1"/>
    <col min="13319" max="13319" width="17.7109375" customWidth="1"/>
    <col min="13320" max="13320" width="4.7109375" customWidth="1"/>
    <col min="13321" max="13321" width="16.85546875" customWidth="1"/>
    <col min="13322" max="13322" width="1.5703125" customWidth="1"/>
    <col min="13323" max="13323" width="14.5703125" customWidth="1"/>
    <col min="13324" max="13324" width="17.7109375" customWidth="1"/>
    <col min="13570" max="13571" width="8.28515625" customWidth="1"/>
    <col min="13572" max="13572" width="5" customWidth="1"/>
    <col min="13573" max="13573" width="8.28515625" customWidth="1"/>
    <col min="13574" max="13574" width="16.7109375" customWidth="1"/>
    <col min="13575" max="13575" width="17.7109375" customWidth="1"/>
    <col min="13576" max="13576" width="4.7109375" customWidth="1"/>
    <col min="13577" max="13577" width="16.85546875" customWidth="1"/>
    <col min="13578" max="13578" width="1.5703125" customWidth="1"/>
    <col min="13579" max="13579" width="14.5703125" customWidth="1"/>
    <col min="13580" max="13580" width="17.7109375" customWidth="1"/>
    <col min="13826" max="13827" width="8.28515625" customWidth="1"/>
    <col min="13828" max="13828" width="5" customWidth="1"/>
    <col min="13829" max="13829" width="8.28515625" customWidth="1"/>
    <col min="13830" max="13830" width="16.7109375" customWidth="1"/>
    <col min="13831" max="13831" width="17.7109375" customWidth="1"/>
    <col min="13832" max="13832" width="4.7109375" customWidth="1"/>
    <col min="13833" max="13833" width="16.85546875" customWidth="1"/>
    <col min="13834" max="13834" width="1.5703125" customWidth="1"/>
    <col min="13835" max="13835" width="14.5703125" customWidth="1"/>
    <col min="13836" max="13836" width="17.7109375" customWidth="1"/>
    <col min="14082" max="14083" width="8.28515625" customWidth="1"/>
    <col min="14084" max="14084" width="5" customWidth="1"/>
    <col min="14085" max="14085" width="8.28515625" customWidth="1"/>
    <col min="14086" max="14086" width="16.7109375" customWidth="1"/>
    <col min="14087" max="14087" width="17.7109375" customWidth="1"/>
    <col min="14088" max="14088" width="4.7109375" customWidth="1"/>
    <col min="14089" max="14089" width="16.85546875" customWidth="1"/>
    <col min="14090" max="14090" width="1.5703125" customWidth="1"/>
    <col min="14091" max="14091" width="14.5703125" customWidth="1"/>
    <col min="14092" max="14092" width="17.7109375" customWidth="1"/>
    <col min="14338" max="14339" width="8.28515625" customWidth="1"/>
    <col min="14340" max="14340" width="5" customWidth="1"/>
    <col min="14341" max="14341" width="8.28515625" customWidth="1"/>
    <col min="14342" max="14342" width="16.7109375" customWidth="1"/>
    <col min="14343" max="14343" width="17.7109375" customWidth="1"/>
    <col min="14344" max="14344" width="4.7109375" customWidth="1"/>
    <col min="14345" max="14345" width="16.85546875" customWidth="1"/>
    <col min="14346" max="14346" width="1.5703125" customWidth="1"/>
    <col min="14347" max="14347" width="14.5703125" customWidth="1"/>
    <col min="14348" max="14348" width="17.7109375" customWidth="1"/>
    <col min="14594" max="14595" width="8.28515625" customWidth="1"/>
    <col min="14596" max="14596" width="5" customWidth="1"/>
    <col min="14597" max="14597" width="8.28515625" customWidth="1"/>
    <col min="14598" max="14598" width="16.7109375" customWidth="1"/>
    <col min="14599" max="14599" width="17.7109375" customWidth="1"/>
    <col min="14600" max="14600" width="4.7109375" customWidth="1"/>
    <col min="14601" max="14601" width="16.85546875" customWidth="1"/>
    <col min="14602" max="14602" width="1.5703125" customWidth="1"/>
    <col min="14603" max="14603" width="14.5703125" customWidth="1"/>
    <col min="14604" max="14604" width="17.7109375" customWidth="1"/>
    <col min="14850" max="14851" width="8.28515625" customWidth="1"/>
    <col min="14852" max="14852" width="5" customWidth="1"/>
    <col min="14853" max="14853" width="8.28515625" customWidth="1"/>
    <col min="14854" max="14854" width="16.7109375" customWidth="1"/>
    <col min="14855" max="14855" width="17.7109375" customWidth="1"/>
    <col min="14856" max="14856" width="4.7109375" customWidth="1"/>
    <col min="14857" max="14857" width="16.85546875" customWidth="1"/>
    <col min="14858" max="14858" width="1.5703125" customWidth="1"/>
    <col min="14859" max="14859" width="14.5703125" customWidth="1"/>
    <col min="14860" max="14860" width="17.7109375" customWidth="1"/>
    <col min="15106" max="15107" width="8.28515625" customWidth="1"/>
    <col min="15108" max="15108" width="5" customWidth="1"/>
    <col min="15109" max="15109" width="8.28515625" customWidth="1"/>
    <col min="15110" max="15110" width="16.7109375" customWidth="1"/>
    <col min="15111" max="15111" width="17.7109375" customWidth="1"/>
    <col min="15112" max="15112" width="4.7109375" customWidth="1"/>
    <col min="15113" max="15113" width="16.85546875" customWidth="1"/>
    <col min="15114" max="15114" width="1.5703125" customWidth="1"/>
    <col min="15115" max="15115" width="14.5703125" customWidth="1"/>
    <col min="15116" max="15116" width="17.7109375" customWidth="1"/>
    <col min="15362" max="15363" width="8.28515625" customWidth="1"/>
    <col min="15364" max="15364" width="5" customWidth="1"/>
    <col min="15365" max="15365" width="8.28515625" customWidth="1"/>
    <col min="15366" max="15366" width="16.7109375" customWidth="1"/>
    <col min="15367" max="15367" width="17.7109375" customWidth="1"/>
    <col min="15368" max="15368" width="4.7109375" customWidth="1"/>
    <col min="15369" max="15369" width="16.85546875" customWidth="1"/>
    <col min="15370" max="15370" width="1.5703125" customWidth="1"/>
    <col min="15371" max="15371" width="14.5703125" customWidth="1"/>
    <col min="15372" max="15372" width="17.7109375" customWidth="1"/>
    <col min="15618" max="15619" width="8.28515625" customWidth="1"/>
    <col min="15620" max="15620" width="5" customWidth="1"/>
    <col min="15621" max="15621" width="8.28515625" customWidth="1"/>
    <col min="15622" max="15622" width="16.7109375" customWidth="1"/>
    <col min="15623" max="15623" width="17.7109375" customWidth="1"/>
    <col min="15624" max="15624" width="4.7109375" customWidth="1"/>
    <col min="15625" max="15625" width="16.85546875" customWidth="1"/>
    <col min="15626" max="15626" width="1.5703125" customWidth="1"/>
    <col min="15627" max="15627" width="14.5703125" customWidth="1"/>
    <col min="15628" max="15628" width="17.7109375" customWidth="1"/>
    <col min="15874" max="15875" width="8.28515625" customWidth="1"/>
    <col min="15876" max="15876" width="5" customWidth="1"/>
    <col min="15877" max="15877" width="8.28515625" customWidth="1"/>
    <col min="15878" max="15878" width="16.7109375" customWidth="1"/>
    <col min="15879" max="15879" width="17.7109375" customWidth="1"/>
    <col min="15880" max="15880" width="4.7109375" customWidth="1"/>
    <col min="15881" max="15881" width="16.85546875" customWidth="1"/>
    <col min="15882" max="15882" width="1.5703125" customWidth="1"/>
    <col min="15883" max="15883" width="14.5703125" customWidth="1"/>
    <col min="15884" max="15884" width="17.7109375" customWidth="1"/>
    <col min="16130" max="16131" width="8.28515625" customWidth="1"/>
    <col min="16132" max="16132" width="5" customWidth="1"/>
    <col min="16133" max="16133" width="8.28515625" customWidth="1"/>
    <col min="16134" max="16134" width="16.7109375" customWidth="1"/>
    <col min="16135" max="16135" width="17.7109375" customWidth="1"/>
    <col min="16136" max="16136" width="4.7109375" customWidth="1"/>
    <col min="16137" max="16137" width="16.85546875" customWidth="1"/>
    <col min="16138" max="16138" width="1.5703125" customWidth="1"/>
    <col min="16139" max="16139" width="14.5703125" customWidth="1"/>
    <col min="16140" max="16140" width="17.7109375" customWidth="1"/>
  </cols>
  <sheetData>
    <row r="1" spans="1:9" x14ac:dyDescent="0.2">
      <c r="A1" t="s">
        <v>2033</v>
      </c>
    </row>
    <row r="3" spans="1:9" ht="15.75" x14ac:dyDescent="0.25">
      <c r="A3" s="244" t="s">
        <v>2034</v>
      </c>
    </row>
    <row r="4" spans="1:9" s="19" customFormat="1" ht="15.75" x14ac:dyDescent="0.25">
      <c r="A4" s="1" t="s">
        <v>2035</v>
      </c>
      <c r="B4" s="244"/>
      <c r="C4" s="244"/>
      <c r="D4" s="244"/>
      <c r="E4" s="244"/>
      <c r="F4" s="1159" t="s">
        <v>2036</v>
      </c>
      <c r="G4" s="1160" t="s">
        <v>2148</v>
      </c>
      <c r="H4" s="29"/>
      <c r="I4" s="1161"/>
    </row>
    <row r="5" spans="1:9" s="19" customFormat="1" ht="15.75" x14ac:dyDescent="0.25">
      <c r="A5" s="1"/>
      <c r="B5" s="244"/>
      <c r="C5" s="244"/>
      <c r="D5" s="244"/>
      <c r="E5" s="244"/>
      <c r="F5" s="1159"/>
      <c r="G5" s="1162"/>
      <c r="H5" s="29"/>
      <c r="I5" s="1161"/>
    </row>
    <row r="6" spans="1:9" s="19" customFormat="1" ht="15.75" x14ac:dyDescent="0.25">
      <c r="A6" s="1"/>
      <c r="B6" s="244"/>
      <c r="C6" s="244"/>
      <c r="D6" s="244"/>
      <c r="E6" s="244"/>
      <c r="F6" s="1159"/>
      <c r="G6" s="1162"/>
      <c r="H6" s="29"/>
      <c r="I6" s="1161"/>
    </row>
    <row r="7" spans="1:9" s="19" customFormat="1" ht="15.75" x14ac:dyDescent="0.25">
      <c r="B7" s="244"/>
      <c r="C7" s="244"/>
      <c r="D7" s="244"/>
      <c r="E7" s="244"/>
      <c r="G7" s="1163" t="s">
        <v>2038</v>
      </c>
      <c r="H7" s="29"/>
      <c r="I7" s="1164" t="s">
        <v>2039</v>
      </c>
    </row>
    <row r="8" spans="1:9" x14ac:dyDescent="0.2">
      <c r="I8" s="29"/>
    </row>
    <row r="9" spans="1:9" ht="16.5" customHeight="1" x14ac:dyDescent="0.25">
      <c r="A9" s="244" t="s">
        <v>8</v>
      </c>
      <c r="B9" t="s">
        <v>2040</v>
      </c>
      <c r="E9" t="s">
        <v>2041</v>
      </c>
      <c r="G9" s="1165">
        <v>888189899.67999995</v>
      </c>
      <c r="I9" s="29">
        <v>838118550.40999997</v>
      </c>
    </row>
    <row r="10" spans="1:9" ht="16.5" customHeight="1" x14ac:dyDescent="0.2">
      <c r="I10" s="29"/>
    </row>
    <row r="11" spans="1:9" ht="16.5" customHeight="1" x14ac:dyDescent="0.2">
      <c r="B11" t="s">
        <v>2042</v>
      </c>
      <c r="E11" t="s">
        <v>2043</v>
      </c>
      <c r="G11" s="1104">
        <v>6006000</v>
      </c>
      <c r="H11" s="1167"/>
      <c r="I11" s="29">
        <v>6006000</v>
      </c>
    </row>
    <row r="12" spans="1:9" ht="16.5" customHeight="1" x14ac:dyDescent="0.2">
      <c r="B12" t="s">
        <v>2149</v>
      </c>
      <c r="E12" t="s">
        <v>2150</v>
      </c>
      <c r="G12" s="1166">
        <v>508023.13</v>
      </c>
      <c r="H12" s="1167"/>
      <c r="I12" s="29">
        <v>0</v>
      </c>
    </row>
    <row r="13" spans="1:9" ht="16.5" customHeight="1" x14ac:dyDescent="0.2">
      <c r="I13" s="29"/>
    </row>
    <row r="14" spans="1:9" ht="16.5" customHeight="1" x14ac:dyDescent="0.25">
      <c r="A14" s="244" t="s">
        <v>13</v>
      </c>
      <c r="C14" s="1168"/>
      <c r="D14" s="1168"/>
      <c r="E14" s="1168"/>
      <c r="F14" s="1168"/>
      <c r="G14" s="1165">
        <f>SUM(G9:G12)</f>
        <v>894703922.80999994</v>
      </c>
      <c r="I14" s="1169">
        <f>SUM(I9:I12)</f>
        <v>844124550.40999997</v>
      </c>
    </row>
    <row r="15" spans="1:9" ht="16.5" customHeight="1" x14ac:dyDescent="0.2">
      <c r="I15" s="29"/>
    </row>
    <row r="16" spans="1:9" s="244" customFormat="1" ht="16.5" customHeight="1" x14ac:dyDescent="0.25">
      <c r="B16" s="1170" t="s">
        <v>2044</v>
      </c>
      <c r="D16" s="1170"/>
      <c r="E16" s="1170"/>
      <c r="F16" s="1171" t="s">
        <v>2045</v>
      </c>
      <c r="G16" s="1165">
        <v>-42164553.82</v>
      </c>
      <c r="H16" s="578"/>
      <c r="I16" s="88">
        <v>172017736.08000001</v>
      </c>
    </row>
    <row r="17" spans="1:13" ht="16.5" customHeight="1" x14ac:dyDescent="0.2">
      <c r="I17" s="29"/>
    </row>
    <row r="18" spans="1:13" s="244" customFormat="1" ht="16.5" customHeight="1" x14ac:dyDescent="0.25">
      <c r="A18" s="244" t="s">
        <v>2046</v>
      </c>
      <c r="C18" s="1170"/>
      <c r="D18" s="1170"/>
      <c r="E18" s="1170"/>
      <c r="F18" s="1170"/>
      <c r="G18" s="1172">
        <f>SUM(G14:G16)</f>
        <v>852539368.98999989</v>
      </c>
      <c r="H18" s="578"/>
      <c r="I18" s="1173">
        <f>SUM(I14:I16)</f>
        <v>1016142286.49</v>
      </c>
      <c r="L18" s="88"/>
      <c r="M18" s="2"/>
    </row>
    <row r="19" spans="1:13" ht="16.5" customHeight="1" x14ac:dyDescent="0.2">
      <c r="I19" s="29"/>
      <c r="L19" s="88"/>
    </row>
    <row r="20" spans="1:13" ht="16.5" customHeight="1" x14ac:dyDescent="0.2">
      <c r="I20" s="29"/>
    </row>
    <row r="21" spans="1:13" ht="16.5" customHeight="1" x14ac:dyDescent="0.2">
      <c r="I21" s="29"/>
    </row>
    <row r="22" spans="1:13" ht="16.5" customHeight="1" x14ac:dyDescent="0.25">
      <c r="A22" s="244" t="s">
        <v>257</v>
      </c>
      <c r="B22" t="s">
        <v>2040</v>
      </c>
      <c r="E22" t="s">
        <v>2047</v>
      </c>
      <c r="G22" s="1165">
        <v>846025345.86000001</v>
      </c>
      <c r="I22" s="29">
        <v>1010136286.49</v>
      </c>
    </row>
    <row r="23" spans="1:13" ht="16.5" customHeight="1" x14ac:dyDescent="0.2">
      <c r="I23" s="29"/>
    </row>
    <row r="24" spans="1:13" ht="16.5" customHeight="1" x14ac:dyDescent="0.2">
      <c r="B24" t="s">
        <v>2042</v>
      </c>
      <c r="E24" t="str">
        <f t="shared" ref="E24:E25" si="0">E11</f>
        <v>ř. 4281</v>
      </c>
      <c r="G24" s="1104">
        <f t="shared" ref="G24:G25" si="1">G11</f>
        <v>6006000</v>
      </c>
      <c r="H24" s="1167"/>
      <c r="I24" s="29">
        <f t="shared" ref="I24:I25" si="2">I11</f>
        <v>6006000</v>
      </c>
    </row>
    <row r="25" spans="1:13" ht="16.5" customHeight="1" x14ac:dyDescent="0.2">
      <c r="B25" t="s">
        <v>2149</v>
      </c>
      <c r="E25" t="str">
        <f t="shared" si="0"/>
        <v>ř. 4310</v>
      </c>
      <c r="G25" s="1166">
        <f t="shared" si="1"/>
        <v>508023.13</v>
      </c>
      <c r="H25" s="1167"/>
      <c r="I25" s="29">
        <f t="shared" si="2"/>
        <v>0</v>
      </c>
    </row>
    <row r="26" spans="1:13" ht="16.5" customHeight="1" x14ac:dyDescent="0.2">
      <c r="I26" s="29"/>
    </row>
    <row r="27" spans="1:13" s="98" customFormat="1" ht="16.5" customHeight="1" x14ac:dyDescent="0.25">
      <c r="A27" s="244" t="s">
        <v>55</v>
      </c>
      <c r="C27" s="1175"/>
      <c r="D27" s="1175"/>
      <c r="E27" s="1175"/>
      <c r="F27" s="1175"/>
      <c r="G27" s="1172">
        <f>SUM(G22:G25)</f>
        <v>852539368.99000001</v>
      </c>
      <c r="H27" s="578"/>
      <c r="I27" s="1173">
        <f>SUM(I22:I25)</f>
        <v>1016142286.49</v>
      </c>
    </row>
    <row r="28" spans="1:13" x14ac:dyDescent="0.2">
      <c r="I28" s="29"/>
    </row>
    <row r="29" spans="1:13" x14ac:dyDescent="0.2">
      <c r="I29" s="29"/>
      <c r="L29" s="1176" t="s">
        <v>2048</v>
      </c>
    </row>
    <row r="30" spans="1:13" x14ac:dyDescent="0.2">
      <c r="A30" s="98" t="s">
        <v>2049</v>
      </c>
      <c r="B30" s="98" t="s">
        <v>2050</v>
      </c>
      <c r="E30" s="1176" t="s">
        <v>2048</v>
      </c>
      <c r="G30" s="1104">
        <f>G32-G31</f>
        <v>710866233.52999997</v>
      </c>
      <c r="I30" s="29">
        <f>I32-I31</f>
        <v>844488951.58000004</v>
      </c>
      <c r="K30" s="88"/>
      <c r="L30" s="88">
        <f>G22-G31+G25</f>
        <v>704860233.52999997</v>
      </c>
    </row>
    <row r="31" spans="1:13" x14ac:dyDescent="0.2">
      <c r="A31" s="98"/>
      <c r="B31" s="98" t="s">
        <v>2051</v>
      </c>
      <c r="E31" t="s">
        <v>2052</v>
      </c>
      <c r="G31" s="1166">
        <v>141673135.46000001</v>
      </c>
      <c r="I31" s="1174">
        <v>171653334.91</v>
      </c>
      <c r="L31" s="88"/>
    </row>
    <row r="32" spans="1:13" x14ac:dyDescent="0.2">
      <c r="A32" t="s">
        <v>2053</v>
      </c>
      <c r="G32" s="1104">
        <f>G27</f>
        <v>852539368.99000001</v>
      </c>
      <c r="I32" s="29">
        <f>I27</f>
        <v>1016142286.49</v>
      </c>
      <c r="L32" s="88"/>
    </row>
    <row r="33" spans="1:9" x14ac:dyDescent="0.2">
      <c r="I33" s="29"/>
    </row>
    <row r="34" spans="1:9" x14ac:dyDescent="0.2">
      <c r="I34" s="29"/>
    </row>
    <row r="35" spans="1:9" x14ac:dyDescent="0.2">
      <c r="I35" s="29"/>
    </row>
    <row r="36" spans="1:9" x14ac:dyDescent="0.2">
      <c r="A36" t="s">
        <v>2054</v>
      </c>
      <c r="E36" t="s">
        <v>2055</v>
      </c>
      <c r="G36" s="1104">
        <v>1183240444.9200001</v>
      </c>
      <c r="I36" s="29">
        <v>105572217.61</v>
      </c>
    </row>
    <row r="37" spans="1:9" x14ac:dyDescent="0.2">
      <c r="I37" s="29"/>
    </row>
    <row r="38" spans="1:9" x14ac:dyDescent="0.2">
      <c r="E38" t="s">
        <v>2056</v>
      </c>
      <c r="G38" s="1104">
        <v>0</v>
      </c>
      <c r="I38" s="29">
        <v>0</v>
      </c>
    </row>
    <row r="39" spans="1:9" x14ac:dyDescent="0.2">
      <c r="E39" t="s">
        <v>2057</v>
      </c>
      <c r="G39" s="1104">
        <v>1083674227.3099999</v>
      </c>
      <c r="I39" s="29">
        <f>I12</f>
        <v>0</v>
      </c>
    </row>
    <row r="40" spans="1:9" x14ac:dyDescent="0.2">
      <c r="E40" t="s">
        <v>2058</v>
      </c>
      <c r="G40" s="1166">
        <v>0</v>
      </c>
      <c r="I40" s="1174">
        <v>0</v>
      </c>
    </row>
    <row r="41" spans="1:9" x14ac:dyDescent="0.2">
      <c r="I41" s="29"/>
    </row>
    <row r="42" spans="1:9" x14ac:dyDescent="0.2">
      <c r="A42" t="s">
        <v>2059</v>
      </c>
      <c r="F42" t="s">
        <v>2060</v>
      </c>
      <c r="G42" s="1104">
        <f>SUM(G38:G41)</f>
        <v>1083674227.3099999</v>
      </c>
      <c r="I42" s="29">
        <f>SUM(I38:I41)</f>
        <v>0</v>
      </c>
    </row>
    <row r="43" spans="1:9" x14ac:dyDescent="0.2">
      <c r="I43" s="29"/>
    </row>
    <row r="44" spans="1:9" x14ac:dyDescent="0.2">
      <c r="A44" s="1" t="s">
        <v>2061</v>
      </c>
      <c r="G44" s="1104">
        <f>G36-G42</f>
        <v>99566217.610000134</v>
      </c>
      <c r="I44" s="29">
        <f>I36-I42</f>
        <v>105572217.61</v>
      </c>
    </row>
    <row r="45" spans="1:9" ht="16.5" customHeight="1" x14ac:dyDescent="0.2">
      <c r="B45" t="s">
        <v>2042</v>
      </c>
      <c r="E45" t="str">
        <f t="shared" ref="E45:E46" si="3">E11</f>
        <v>ř. 4281</v>
      </c>
      <c r="G45" s="1104">
        <f t="shared" ref="G45:G46" si="4">G11</f>
        <v>6006000</v>
      </c>
      <c r="H45" s="1167"/>
      <c r="I45" s="29">
        <f t="shared" ref="I45:I46" si="5">I11</f>
        <v>6006000</v>
      </c>
    </row>
    <row r="46" spans="1:9" ht="16.5" customHeight="1" x14ac:dyDescent="0.2">
      <c r="B46" t="s">
        <v>2151</v>
      </c>
      <c r="E46" t="str">
        <f t="shared" si="3"/>
        <v>ř. 4310</v>
      </c>
      <c r="G46" s="1166">
        <f t="shared" si="4"/>
        <v>508023.13</v>
      </c>
      <c r="H46" s="1167"/>
      <c r="I46" s="1174">
        <f t="shared" si="5"/>
        <v>0</v>
      </c>
    </row>
    <row r="47" spans="1:9" x14ac:dyDescent="0.2">
      <c r="I47" s="29"/>
    </row>
    <row r="48" spans="1:9" ht="15.75" x14ac:dyDescent="0.25">
      <c r="A48" s="244" t="s">
        <v>2062</v>
      </c>
      <c r="G48" s="1177">
        <f>SUM(G44:G47)</f>
        <v>106080240.74000013</v>
      </c>
      <c r="I48" s="578">
        <f>SUM(I44:I47)</f>
        <v>111578217.61</v>
      </c>
    </row>
    <row r="51" spans="1:11" x14ac:dyDescent="0.2">
      <c r="C51" s="2"/>
    </row>
    <row r="52" spans="1:11" x14ac:dyDescent="0.2">
      <c r="A52" s="2" t="s">
        <v>2063</v>
      </c>
      <c r="B52" s="2"/>
      <c r="C52" s="1198">
        <v>45310</v>
      </c>
      <c r="D52" s="1198"/>
      <c r="I52" s="2"/>
    </row>
    <row r="53" spans="1:11" x14ac:dyDescent="0.2">
      <c r="I53" s="2"/>
    </row>
    <row r="54" spans="1:11" ht="12.75" x14ac:dyDescent="0.2">
      <c r="G54" s="1163" t="s">
        <v>2038</v>
      </c>
      <c r="I54" s="1163" t="s">
        <v>2064</v>
      </c>
    </row>
    <row r="55" spans="1:11" ht="14.25" x14ac:dyDescent="0.2">
      <c r="A55" t="s">
        <v>8</v>
      </c>
      <c r="B55" t="s">
        <v>2065</v>
      </c>
      <c r="E55" t="s">
        <v>2066</v>
      </c>
      <c r="F55" s="1178"/>
      <c r="G55" s="1179">
        <v>552417130.99000001</v>
      </c>
      <c r="I55" s="29">
        <v>515639325.25999999</v>
      </c>
    </row>
    <row r="56" spans="1:11" ht="14.25" x14ac:dyDescent="0.2">
      <c r="B56" t="s">
        <v>2067</v>
      </c>
      <c r="E56" t="s">
        <v>2068</v>
      </c>
      <c r="F56" s="1178"/>
      <c r="G56" s="1179">
        <v>166973128.58000001</v>
      </c>
      <c r="I56" s="29">
        <v>151716896.53999999</v>
      </c>
    </row>
    <row r="57" spans="1:11" ht="14.25" x14ac:dyDescent="0.2">
      <c r="B57" t="s">
        <v>2069</v>
      </c>
      <c r="E57" t="s">
        <v>2070</v>
      </c>
      <c r="F57" s="1178"/>
      <c r="G57" s="1179">
        <v>69233422.5</v>
      </c>
      <c r="I57" s="29">
        <v>71196111</v>
      </c>
    </row>
    <row r="58" spans="1:11" ht="14.25" x14ac:dyDescent="0.2">
      <c r="B58" t="s">
        <v>2071</v>
      </c>
      <c r="C58" t="s">
        <v>2072</v>
      </c>
      <c r="F58" s="1178"/>
      <c r="G58" s="1180">
        <f>G48</f>
        <v>106080240.74000013</v>
      </c>
      <c r="I58" s="1174">
        <f>I48</f>
        <v>111578217.61</v>
      </c>
    </row>
    <row r="59" spans="1:11" ht="14.25" x14ac:dyDescent="0.2">
      <c r="A59" t="s">
        <v>13</v>
      </c>
      <c r="F59" s="1178"/>
      <c r="G59" s="1179">
        <f>SUM(G55:G58)</f>
        <v>894703922.81000018</v>
      </c>
      <c r="I59" s="29">
        <f>SUM(I55:I58)</f>
        <v>850130550.40999997</v>
      </c>
    </row>
    <row r="60" spans="1:11" ht="14.25" x14ac:dyDescent="0.2">
      <c r="B60" t="s">
        <v>2073</v>
      </c>
      <c r="F60" s="1178"/>
      <c r="G60" s="1181">
        <f>G16</f>
        <v>-42164553.82</v>
      </c>
      <c r="I60" s="1169">
        <f>I16</f>
        <v>172017736.08000001</v>
      </c>
    </row>
    <row r="61" spans="1:11" ht="14.25" x14ac:dyDescent="0.2">
      <c r="F61" s="1178"/>
      <c r="G61" s="1179"/>
      <c r="I61" s="29"/>
    </row>
    <row r="62" spans="1:11" x14ac:dyDescent="0.25">
      <c r="A62" s="98" t="s">
        <v>2046</v>
      </c>
      <c r="C62" s="1168"/>
      <c r="D62" s="1168"/>
      <c r="E62" s="1168"/>
      <c r="F62" s="1182"/>
      <c r="G62" s="1183">
        <f>SUM(G59:G61)</f>
        <v>852539368.99000013</v>
      </c>
      <c r="I62" s="29">
        <f>SUM(I59:I60)</f>
        <v>1022148286.49</v>
      </c>
    </row>
    <row r="63" spans="1:11" ht="14.25" x14ac:dyDescent="0.2">
      <c r="F63" s="1178"/>
      <c r="G63" s="1179"/>
      <c r="I63" s="29"/>
      <c r="J63" s="2"/>
      <c r="K63" s="2"/>
    </row>
    <row r="65" spans="2:13" x14ac:dyDescent="0.2">
      <c r="I65" s="2"/>
    </row>
    <row r="66" spans="2:13" ht="12.75" x14ac:dyDescent="0.2">
      <c r="B66" t="s">
        <v>2074</v>
      </c>
      <c r="E66" t="s">
        <v>2075</v>
      </c>
      <c r="G66" s="29">
        <v>1148297357.8900001</v>
      </c>
      <c r="I66" s="29">
        <v>156989114.44</v>
      </c>
      <c r="L66" s="1035" t="s">
        <v>2076</v>
      </c>
      <c r="M66" t="s">
        <v>2077</v>
      </c>
    </row>
    <row r="67" spans="2:13" ht="12.75" x14ac:dyDescent="0.2">
      <c r="C67" s="1168"/>
      <c r="D67" s="1175" t="s">
        <v>2078</v>
      </c>
      <c r="E67" s="1168" t="s">
        <v>2079</v>
      </c>
      <c r="F67" s="1168" t="s">
        <v>2080</v>
      </c>
      <c r="G67" s="1174">
        <v>-1077393757.5599999</v>
      </c>
      <c r="I67" s="1174">
        <v>0</v>
      </c>
      <c r="L67" s="1035" t="s">
        <v>2076</v>
      </c>
      <c r="M67" t="s">
        <v>2081</v>
      </c>
    </row>
    <row r="68" spans="2:13" ht="12.75" x14ac:dyDescent="0.2">
      <c r="B68" t="s">
        <v>2082</v>
      </c>
      <c r="G68" s="29">
        <f>SUM(G66:G67)</f>
        <v>70903600.330000162</v>
      </c>
      <c r="I68" s="29">
        <f>SUM(I66:I67)</f>
        <v>156989114.44</v>
      </c>
    </row>
    <row r="69" spans="2:13" ht="12.75" x14ac:dyDescent="0.2">
      <c r="G69" s="29"/>
      <c r="I69" s="1"/>
    </row>
    <row r="70" spans="2:13" ht="12.75" x14ac:dyDescent="0.2">
      <c r="G70" s="29"/>
      <c r="I70" s="1"/>
    </row>
    <row r="71" spans="2:13" ht="12.75" x14ac:dyDescent="0.2">
      <c r="B71" t="s">
        <v>2083</v>
      </c>
      <c r="G71" s="29"/>
      <c r="I71" s="1"/>
    </row>
    <row r="72" spans="2:13" x14ac:dyDescent="0.2">
      <c r="B72" t="s">
        <v>2152</v>
      </c>
    </row>
  </sheetData>
  <mergeCells count="1">
    <mergeCell ref="C52:D52"/>
  </mergeCells>
  <pageMargins left="0.78740157480314954" right="0.35433070866141736" top="0.98425196850393704" bottom="0.98425196850393704" header="0.51181102362204722" footer="0.51181102362204722"/>
  <pageSetup paperSize="9" scale="80" orientation="portrait"/>
  <rowBreaks count="1" manualBreakCount="1">
    <brk id="5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1"/>
  <sheetViews>
    <sheetView workbookViewId="0"/>
  </sheetViews>
  <sheetFormatPr defaultRowHeight="12.75" x14ac:dyDescent="0.2"/>
  <sheetData/>
  <pageMargins left="0.7" right="0.7" top="0.78740157500000008" bottom="0.78740157500000008"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26</vt:i4>
      </vt:variant>
    </vt:vector>
  </HeadingPairs>
  <TitlesOfParts>
    <vt:vector size="35" baseType="lpstr">
      <vt:lpstr>priloha_1</vt:lpstr>
      <vt:lpstr>SR_2023</vt:lpstr>
      <vt:lpstr>1.pol.23</vt:lpstr>
      <vt:lpstr>1.pol.23koncept</vt:lpstr>
      <vt:lpstr>dle040-I.</vt:lpstr>
      <vt:lpstr>rok23</vt:lpstr>
      <vt:lpstr>rok23koncept</vt:lpstr>
      <vt:lpstr>dle040-II.</vt:lpstr>
      <vt:lpstr>List1</vt:lpstr>
      <vt:lpstr>'1.pol.23'!Excel_BuiltIn_Print_Area</vt:lpstr>
      <vt:lpstr>'1.pol.23koncept'!Excel_BuiltIn_Print_Area</vt:lpstr>
      <vt:lpstr>priloha_1!Excel_BuiltIn_Print_Area</vt:lpstr>
      <vt:lpstr>'rok23'!Excel_BuiltIn_Print_Area</vt:lpstr>
      <vt:lpstr>rok23koncept!Excel_BuiltIn_Print_Area</vt:lpstr>
      <vt:lpstr>SR_2023!Excel_BuiltIn_Print_Area</vt:lpstr>
      <vt:lpstr>'1.pol.23'!Excel_BuiltIn_Print_Titles</vt:lpstr>
      <vt:lpstr>'1.pol.23koncept'!Excel_BuiltIn_Print_Titles</vt:lpstr>
      <vt:lpstr>priloha_1!Excel_BuiltIn_Print_Titles</vt:lpstr>
      <vt:lpstr>'rok23'!Excel_BuiltIn_Print_Titles</vt:lpstr>
      <vt:lpstr>rok23koncept!Excel_BuiltIn_Print_Titles</vt:lpstr>
      <vt:lpstr>SR_2023!Excel_BuiltIn_Print_Titles</vt:lpstr>
      <vt:lpstr>'1.pol.23'!Oblast_tisku</vt:lpstr>
      <vt:lpstr>'1.pol.23koncept'!Oblast_tisku</vt:lpstr>
      <vt:lpstr>'dle040-I.'!Oblast_tisku</vt:lpstr>
      <vt:lpstr>'dle040-II.'!Oblast_tisku</vt:lpstr>
      <vt:lpstr>priloha_1!Oblast_tisku</vt:lpstr>
      <vt:lpstr>'rok23'!Oblast_tisku</vt:lpstr>
      <vt:lpstr>rok23koncept!Oblast_tisku</vt:lpstr>
      <vt:lpstr>SR_2023!Oblast_tisku</vt:lpstr>
      <vt:lpstr>'1.pol.23'!Print_Titles</vt:lpstr>
      <vt:lpstr>'1.pol.23koncept'!Print_Titles</vt:lpstr>
      <vt:lpstr>priloha_1!Print_Titles</vt:lpstr>
      <vt:lpstr>'rok23'!Print_Titles</vt:lpstr>
      <vt:lpstr>rok23koncept!Print_Titles</vt:lpstr>
      <vt:lpstr>SR_2023!Print_Titles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Jarmila Straková</dc:creator>
  <cp:lastModifiedBy>Jarmila Straková</cp:lastModifiedBy>
  <cp:revision>1</cp:revision>
  <cp:lastPrinted>2024-05-13T16:02:24Z</cp:lastPrinted>
  <dcterms:created xsi:type="dcterms:W3CDTF">2021-10-11T07:05:45Z</dcterms:created>
  <dcterms:modified xsi:type="dcterms:W3CDTF">2024-05-13T16:08:21Z</dcterms:modified>
</cp:coreProperties>
</file>