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strakova\Nextcloud\ROZPOCTY\2024\Schvaleny_rozpocet_2024\"/>
    </mc:Choice>
  </mc:AlternateContent>
  <bookViews>
    <workbookView xWindow="0" yWindow="0" windowWidth="28800" windowHeight="11805" tabRatio="500" firstSheet="1" activeTab="1"/>
  </bookViews>
  <sheets>
    <sheet name="priloha_1" sheetId="1" state="hidden" r:id="rId1"/>
    <sheet name="2024_priloha_1" sheetId="4" r:id="rId2"/>
    <sheet name="2024_priloha_2" sheetId="2" r:id="rId3"/>
    <sheet name="2024_priloha_3" sheetId="7" r:id="rId4"/>
  </sheets>
  <externalReferences>
    <externalReference r:id="rId5"/>
    <externalReference r:id="rId6"/>
  </externalReferences>
  <definedNames>
    <definedName name="__xlfn_ANCHORARRAY">NA()</definedName>
    <definedName name="_xlnm._FilterDatabase" localSheetId="1" hidden="1">'2024_priloha_1'!$F$2:$F$38</definedName>
    <definedName name="_xlnm._FilterDatabase" localSheetId="2" hidden="1">'2024_priloha_2'!$I$1:$I$967</definedName>
    <definedName name="_xlnm._FilterDatabase" localSheetId="3" hidden="1">'2024_priloha_3'!$A$5:$O$5</definedName>
    <definedName name="Excel_BuiltIn__FilterDatabase" localSheetId="1">'2024_priloha_1'!$F$2:$F$38</definedName>
    <definedName name="Excel_BuiltIn__FilterDatabase" localSheetId="2">'2024_priloha_2'!$H$2:$H$967</definedName>
    <definedName name="Excel_BuiltIn_Print_Area" localSheetId="1">'2024_priloha_1'!$A$2:$I$31</definedName>
    <definedName name="Excel_BuiltIn_Print_Area" localSheetId="2">'2024_priloha_2'!$A$2:$K$960</definedName>
    <definedName name="Excel_BuiltIn_Print_Area" localSheetId="0">priloha_1!$A$1:$G$50</definedName>
    <definedName name="Excel_BuiltIn_Print_Titles" localSheetId="1">'2024_priloha_1'!$2:$2</definedName>
    <definedName name="Excel_BuiltIn_Print_Titles" localSheetId="2">'2024_priloha_2'!$2:$2</definedName>
    <definedName name="Excel_BuiltIn_Print_Titles" localSheetId="0">priloha_1!$2:$2</definedName>
    <definedName name="kurz">[1]rozhodnutí!$N$31</definedName>
    <definedName name="_xlnm.Print_Titles" localSheetId="1">'2024_priloha_1'!$2:$2</definedName>
    <definedName name="_xlnm.Print_Titles" localSheetId="2">'2024_priloha_2'!$2:$2</definedName>
    <definedName name="_xlnm.Print_Titles" localSheetId="0">priloha_1!$2:$2</definedName>
    <definedName name="_xlnm.Print_Area" localSheetId="1">'2024_priloha_1'!$B$1:$G$31</definedName>
    <definedName name="_xlnm.Print_Area" localSheetId="2">'2024_priloha_2'!$A$1:$K$960</definedName>
    <definedName name="_xlnm.Print_Area" localSheetId="0">priloha_1!$A$1:$G$50</definedName>
    <definedName name="Print_Titles" localSheetId="3">'2024_priloha_3'!$3:$5</definedName>
    <definedName name="Z_038CF6B2_7B3F_4A01_A462_2733E395149B_.wvu.Cols" localSheetId="3" hidden="1">'2024_priloha_3'!$B:$B</definedName>
    <definedName name="Z_038CF6B2_7B3F_4A01_A462_2733E395149B_.wvu.PrintArea" localSheetId="3" hidden="1">'2024_priloha_3'!$A$2:$J$31</definedName>
    <definedName name="Z_038CF6B2_7B3F_4A01_A462_2733E395149B_.wvu.PrintTitles" localSheetId="3" hidden="1">'2024_priloha_3'!$3:$5</definedName>
    <definedName name="Z_06955F1B_5DDC_4ACB_AC47_06215168C130_.wvu.Cols" localSheetId="3" hidden="1">'2024_priloha_3'!$B:$B</definedName>
    <definedName name="Z_06955F1B_5DDC_4ACB_AC47_06215168C130_.wvu.PrintArea" localSheetId="3" hidden="1">'2024_priloha_3'!$A$2:$J$31</definedName>
    <definedName name="Z_06955F1B_5DDC_4ACB_AC47_06215168C130_.wvu.PrintTitles" localSheetId="3" hidden="1">'2024_priloha_3'!$3:$5</definedName>
    <definedName name="Z_61B615FA_A35B_4CBE_9433_E2564F62A4F7_.wvu.Cols" localSheetId="3" hidden="1">'2024_priloha_3'!$B:$B</definedName>
    <definedName name="Z_61B615FA_A35B_4CBE_9433_E2564F62A4F7_.wvu.PrintArea" localSheetId="3" hidden="1">'2024_priloha_3'!$A$2:$J$31</definedName>
    <definedName name="Z_61B615FA_A35B_4CBE_9433_E2564F62A4F7_.wvu.PrintTitles" localSheetId="3" hidden="1">'2024_priloha_3'!$3:$5</definedName>
    <definedName name="Z_8135008D_FA09_47D0_A3D6_431443FF0074_.wvu.Cols" localSheetId="3" hidden="1">'2024_priloha_3'!$B:$B</definedName>
    <definedName name="Z_8135008D_FA09_47D0_A3D6_431443FF0074_.wvu.PrintArea" localSheetId="3" hidden="1">'2024_priloha_3'!$A$2:$J$31</definedName>
    <definedName name="Z_8135008D_FA09_47D0_A3D6_431443FF0074_.wvu.PrintTitles" localSheetId="3" hidden="1">'2024_priloha_3'!$3:$5</definedName>
    <definedName name="Z_816DCA7E_FC41_44AE_85AF_FE12F0BC4BE0_.wvu.Cols" localSheetId="3" hidden="1">'[2]Akce reprodukce majetku kraje'!$B:$B,'[2]Akce reprodukce majetku kraje'!#REF!</definedName>
    <definedName name="Z_816DCA7E_FC41_44AE_85AF_FE12F0BC4BE0_.wvu.PrintArea" localSheetId="3" hidden="1">'2024_priloha_3'!$A$2:$J$31</definedName>
    <definedName name="Z_816DCA7E_FC41_44AE_85AF_FE12F0BC4BE0_.wvu.PrintTitles" localSheetId="3" hidden="1">'2024_priloha_3'!$3:$5</definedName>
    <definedName name="Z_A45EA3DE_5B96_4607_A0C5_478ED8E5C5A2_.wvu.Cols" localSheetId="3" hidden="1">'[2]Akce reprodukce majetku kraje'!$B:$B,'[2]Akce reprodukce majetku kraje'!#REF!</definedName>
    <definedName name="Z_A45EA3DE_5B96_4607_A0C5_478ED8E5C5A2_.wvu.PrintArea" localSheetId="3" hidden="1">'2024_priloha_3'!$A$2:$J$31</definedName>
    <definedName name="Z_A45EA3DE_5B96_4607_A0C5_478ED8E5C5A2_.wvu.PrintTitles" localSheetId="3" hidden="1">'2024_priloha_3'!$3:$5</definedName>
    <definedName name="Z_A75D8D73_D84E_45ED_81CC_3AB447ABD77C_.wvu.Cols" localSheetId="3" hidden="1">'[2]Akce reprodukce majetku kraje'!#REF!</definedName>
    <definedName name="Z_A75D8D73_D84E_45ED_81CC_3AB447ABD77C_.wvu.PrintArea" localSheetId="3" hidden="1">'2024_priloha_3'!$A$2:$J$31</definedName>
    <definedName name="Z_A75D8D73_D84E_45ED_81CC_3AB447ABD77C_.wvu.PrintTitles" localSheetId="3" hidden="1">'2024_priloha_3'!$3:$5</definedName>
    <definedName name="Z_AF65B0D2_A89B_4D75_B4AE_5BFEE1615BA9_.wvu.Cols" localSheetId="3" hidden="1">'2024_priloha_3'!$B:$B</definedName>
    <definedName name="Z_AF65B0D2_A89B_4D75_B4AE_5BFEE1615BA9_.wvu.PrintArea" localSheetId="3" hidden="1">'2024_priloha_3'!$A$2:$J$31</definedName>
    <definedName name="Z_AF65B0D2_A89B_4D75_B4AE_5BFEE1615BA9_.wvu.PrintTitles" localSheetId="3" hidden="1">'2024_priloha_3'!$3:$5</definedName>
    <definedName name="Z_C49FCFC9_CF51_484E_9F6E_E5FACC7A48A4_.wvu.Cols" localSheetId="3" hidden="1">'[2]Akce reprodukce majetku kraje'!$B:$B,'[2]Akce reprodukce majetku kraje'!#REF!</definedName>
    <definedName name="Z_C49FCFC9_CF51_484E_9F6E_E5FACC7A48A4_.wvu.PrintArea" localSheetId="3" hidden="1">'2024_priloha_3'!$A$2:$J$31</definedName>
    <definedName name="Z_C49FCFC9_CF51_484E_9F6E_E5FACC7A48A4_.wvu.PrintTitles" localSheetId="3" hidden="1">'2024_priloha_3'!$3:$5</definedName>
    <definedName name="Z_EBE613F2_32CB_4E3D_B0BB_2E9DFB67D43D_.wvu.Cols" localSheetId="3" hidden="1">'2024_priloha_3'!$B:$B</definedName>
    <definedName name="Z_EBE613F2_32CB_4E3D_B0BB_2E9DFB67D43D_.wvu.PrintArea" localSheetId="3" hidden="1">'2024_priloha_3'!$A$2:$J$31</definedName>
    <definedName name="Z_EBE613F2_32CB_4E3D_B0BB_2E9DFB67D43D_.wvu.PrintTitles" localSheetId="3" hidden="1">'2024_priloha_3'!$3:$5</definedName>
  </definedNames>
  <calcPr calcId="152511"/>
</workbook>
</file>

<file path=xl/calcChain.xml><?xml version="1.0" encoding="utf-8"?>
<calcChain xmlns="http://schemas.openxmlformats.org/spreadsheetml/2006/main">
  <c r="F9" i="4" l="1"/>
  <c r="G229" i="2" l="1"/>
  <c r="E9" i="4"/>
  <c r="F229" i="2"/>
  <c r="E229" i="2"/>
  <c r="D9" i="4"/>
  <c r="D31" i="4"/>
  <c r="F159" i="2"/>
  <c r="F36" i="2"/>
  <c r="F226" i="2" s="1"/>
  <c r="F132" i="2"/>
  <c r="F199" i="2"/>
  <c r="I937" i="2" l="1"/>
  <c r="C937" i="2"/>
  <c r="E937" i="2"/>
  <c r="F937" i="2"/>
  <c r="F938" i="2"/>
  <c r="G937" i="2"/>
  <c r="F684" i="2"/>
  <c r="G36" i="2"/>
  <c r="G64" i="2"/>
  <c r="G129" i="2"/>
  <c r="F93" i="2"/>
  <c r="E199" i="2" l="1"/>
  <c r="E176" i="2"/>
  <c r="F176" i="2"/>
  <c r="G110" i="2" l="1"/>
  <c r="E110" i="2"/>
  <c r="E100" i="2"/>
  <c r="I79" i="2" l="1"/>
  <c r="C79" i="2"/>
  <c r="G73" i="2"/>
  <c r="F73" i="2"/>
  <c r="G57" i="2"/>
  <c r="E50" i="2"/>
  <c r="G40" i="2" l="1"/>
  <c r="G48" i="2"/>
  <c r="I37" i="2"/>
  <c r="C37" i="2"/>
  <c r="G21" i="4" l="1"/>
  <c r="G9" i="4"/>
  <c r="I229" i="2"/>
  <c r="I684" i="2"/>
  <c r="I680" i="2"/>
  <c r="I677" i="2"/>
  <c r="E687" i="2" l="1"/>
  <c r="I640" i="2"/>
  <c r="G640" i="2"/>
  <c r="F640" i="2"/>
  <c r="E640" i="2"/>
  <c r="C640" i="2"/>
  <c r="G86" i="2" l="1"/>
  <c r="F46" i="2"/>
  <c r="F37" i="2" s="1"/>
  <c r="E46" i="2"/>
  <c r="E37" i="2" s="1"/>
  <c r="G46" i="2"/>
  <c r="G37" i="2" s="1"/>
  <c r="I31" i="7" l="1"/>
  <c r="H31" i="7"/>
  <c r="G31" i="7"/>
  <c r="F31" i="7"/>
  <c r="E31" i="7"/>
  <c r="D31" i="7"/>
  <c r="G5" i="4" l="1"/>
  <c r="G221" i="2"/>
  <c r="E221" i="2"/>
  <c r="E596" i="2"/>
  <c r="G596" i="2"/>
  <c r="G592" i="2"/>
  <c r="E592" i="2"/>
  <c r="E584" i="2"/>
  <c r="E583" i="2" s="1"/>
  <c r="G943" i="2"/>
  <c r="G942" i="2"/>
  <c r="G938" i="2"/>
  <c r="E938" i="2"/>
  <c r="E752" i="2"/>
  <c r="G752" i="2"/>
  <c r="G754" i="2"/>
  <c r="E754" i="2"/>
  <c r="E753" i="2"/>
  <c r="G753" i="2"/>
  <c r="G14" i="4"/>
  <c r="I337" i="2"/>
  <c r="G751" i="2" l="1"/>
  <c r="E751" i="2"/>
  <c r="G31" i="4"/>
  <c r="G12" i="4" s="1"/>
  <c r="I258" i="2" l="1"/>
  <c r="I624" i="2" l="1"/>
  <c r="I615" i="2"/>
  <c r="I605" i="2"/>
  <c r="I473" i="2" l="1"/>
  <c r="E778" i="2"/>
  <c r="I844" i="2"/>
  <c r="I818" i="2"/>
  <c r="I956" i="2"/>
  <c r="I335" i="2"/>
  <c r="F286" i="2"/>
  <c r="E280" i="2"/>
  <c r="C280" i="2"/>
  <c r="I271" i="2"/>
  <c r="I270" i="2" s="1"/>
  <c r="G271" i="2"/>
  <c r="G270" i="2" s="1"/>
  <c r="F271" i="2"/>
  <c r="F270" i="2" s="1"/>
  <c r="E271" i="2"/>
  <c r="E270" i="2" s="1"/>
  <c r="C271" i="2"/>
  <c r="C270" i="2" s="1"/>
  <c r="I148" i="2"/>
  <c r="I612" i="2" l="1"/>
  <c r="I916" i="2" l="1"/>
  <c r="H916" i="2"/>
  <c r="G916" i="2"/>
  <c r="F916" i="2"/>
  <c r="E916" i="2"/>
  <c r="D916" i="2"/>
  <c r="C916" i="2"/>
  <c r="I913" i="2"/>
  <c r="I912" i="2" s="1"/>
  <c r="H913" i="2"/>
  <c r="H912" i="2" s="1"/>
  <c r="G913" i="2"/>
  <c r="G912" i="2" s="1"/>
  <c r="F913" i="2"/>
  <c r="F912" i="2" s="1"/>
  <c r="E913" i="2"/>
  <c r="E912" i="2" s="1"/>
  <c r="D913" i="2"/>
  <c r="D912" i="2" s="1"/>
  <c r="C913" i="2"/>
  <c r="C912" i="2" s="1"/>
  <c r="I908" i="2"/>
  <c r="I903" i="2" s="1"/>
  <c r="G908" i="2"/>
  <c r="G903" i="2" s="1"/>
  <c r="F908" i="2"/>
  <c r="F903" i="2" s="1"/>
  <c r="E908" i="2"/>
  <c r="E903" i="2" s="1"/>
  <c r="D908" i="2"/>
  <c r="D903" i="2" s="1"/>
  <c r="C908" i="2"/>
  <c r="C903" i="2" s="1"/>
  <c r="H903" i="2"/>
  <c r="I896" i="2"/>
  <c r="H896" i="2"/>
  <c r="G896" i="2"/>
  <c r="F896" i="2"/>
  <c r="E896" i="2"/>
  <c r="D896" i="2"/>
  <c r="C896" i="2"/>
  <c r="I889" i="2"/>
  <c r="I887" i="2" s="1"/>
  <c r="H889" i="2"/>
  <c r="H887" i="2" s="1"/>
  <c r="G889" i="2"/>
  <c r="G887" i="2" s="1"/>
  <c r="F889" i="2"/>
  <c r="F887" i="2" s="1"/>
  <c r="E889" i="2"/>
  <c r="E887" i="2" s="1"/>
  <c r="D889" i="2"/>
  <c r="D887" i="2" s="1"/>
  <c r="C889" i="2"/>
  <c r="C887" i="2" s="1"/>
  <c r="I885" i="2"/>
  <c r="I883" i="2" s="1"/>
  <c r="H885" i="2"/>
  <c r="H883" i="2" s="1"/>
  <c r="G885" i="2"/>
  <c r="G883" i="2" s="1"/>
  <c r="F885" i="2"/>
  <c r="F883" i="2" s="1"/>
  <c r="E885" i="2"/>
  <c r="E883" i="2" s="1"/>
  <c r="D885" i="2"/>
  <c r="D883" i="2" s="1"/>
  <c r="C885" i="2"/>
  <c r="C883" i="2" s="1"/>
  <c r="D882" i="2"/>
  <c r="I868" i="2"/>
  <c r="H868" i="2"/>
  <c r="G868" i="2"/>
  <c r="F868" i="2"/>
  <c r="E868" i="2"/>
  <c r="D868" i="2"/>
  <c r="C868" i="2"/>
  <c r="I863" i="2"/>
  <c r="H863" i="2"/>
  <c r="G863" i="2"/>
  <c r="F863" i="2"/>
  <c r="E863" i="2"/>
  <c r="D863" i="2"/>
  <c r="C863" i="2"/>
  <c r="D857" i="2"/>
  <c r="E854" i="2"/>
  <c r="E851" i="2" s="1"/>
  <c r="D854" i="2"/>
  <c r="I851" i="2"/>
  <c r="G851" i="2"/>
  <c r="F851" i="2"/>
  <c r="C851" i="2"/>
  <c r="H844" i="2"/>
  <c r="G844" i="2"/>
  <c r="F844" i="2"/>
  <c r="E844" i="2"/>
  <c r="D844" i="2"/>
  <c r="C844" i="2"/>
  <c r="E838" i="2"/>
  <c r="E836" i="2" s="1"/>
  <c r="D838" i="2"/>
  <c r="D836" i="2" s="1"/>
  <c r="C838" i="2"/>
  <c r="C836" i="2" s="1"/>
  <c r="H836" i="2"/>
  <c r="G836" i="2"/>
  <c r="F836" i="2"/>
  <c r="E833" i="2"/>
  <c r="E831" i="2" s="1"/>
  <c r="E829" i="2" s="1"/>
  <c r="D833" i="2"/>
  <c r="D831" i="2" s="1"/>
  <c r="D829" i="2" s="1"/>
  <c r="I831" i="2"/>
  <c r="I829" i="2" s="1"/>
  <c r="H831" i="2"/>
  <c r="H829" i="2" s="1"/>
  <c r="G831" i="2"/>
  <c r="G829" i="2" s="1"/>
  <c r="F831" i="2"/>
  <c r="F829" i="2" s="1"/>
  <c r="C831" i="2"/>
  <c r="C829" i="2" s="1"/>
  <c r="I825" i="2"/>
  <c r="I823" i="2" s="1"/>
  <c r="H825" i="2"/>
  <c r="H823" i="2" s="1"/>
  <c r="F825" i="2"/>
  <c r="F823" i="2" s="1"/>
  <c r="E825" i="2"/>
  <c r="E823" i="2" s="1"/>
  <c r="D825" i="2"/>
  <c r="D823" i="2" s="1"/>
  <c r="C825" i="2"/>
  <c r="C823" i="2" s="1"/>
  <c r="G823" i="2"/>
  <c r="E822" i="2"/>
  <c r="D822" i="2"/>
  <c r="E819" i="2"/>
  <c r="D819" i="2"/>
  <c r="H818" i="2"/>
  <c r="G818" i="2"/>
  <c r="F818" i="2"/>
  <c r="C818" i="2"/>
  <c r="I815" i="2"/>
  <c r="E815" i="2"/>
  <c r="D815" i="2"/>
  <c r="C815" i="2"/>
  <c r="D812" i="2"/>
  <c r="D809" i="2" s="1"/>
  <c r="I809" i="2"/>
  <c r="E809" i="2"/>
  <c r="C809" i="2"/>
  <c r="E807" i="2"/>
  <c r="E806" i="2" s="1"/>
  <c r="D807" i="2"/>
  <c r="D806" i="2" s="1"/>
  <c r="I806" i="2"/>
  <c r="H806" i="2"/>
  <c r="G806" i="2"/>
  <c r="F806" i="2"/>
  <c r="C806" i="2"/>
  <c r="E804" i="2"/>
  <c r="E803" i="2" s="1"/>
  <c r="D804" i="2"/>
  <c r="D803" i="2" s="1"/>
  <c r="I803" i="2"/>
  <c r="H803" i="2"/>
  <c r="G803" i="2"/>
  <c r="F803" i="2"/>
  <c r="C803" i="2"/>
  <c r="E801" i="2"/>
  <c r="E798" i="2" s="1"/>
  <c r="D801" i="2"/>
  <c r="D800" i="2"/>
  <c r="I798" i="2"/>
  <c r="H798" i="2"/>
  <c r="G798" i="2"/>
  <c r="F798" i="2"/>
  <c r="C798" i="2"/>
  <c r="E797" i="2"/>
  <c r="D797" i="2"/>
  <c r="E796" i="2"/>
  <c r="D796" i="2"/>
  <c r="D794" i="2"/>
  <c r="E793" i="2"/>
  <c r="D793" i="2"/>
  <c r="E791" i="2"/>
  <c r="D791" i="2"/>
  <c r="I790" i="2"/>
  <c r="H790" i="2"/>
  <c r="G790" i="2"/>
  <c r="F790" i="2"/>
  <c r="C790" i="2"/>
  <c r="D789" i="2"/>
  <c r="D787" i="2"/>
  <c r="I786" i="2"/>
  <c r="H786" i="2"/>
  <c r="G786" i="2"/>
  <c r="F786" i="2"/>
  <c r="E786" i="2"/>
  <c r="C786" i="2"/>
  <c r="D851" i="2" l="1"/>
  <c r="G802" i="2"/>
  <c r="D786" i="2"/>
  <c r="G785" i="2"/>
  <c r="H802" i="2"/>
  <c r="C802" i="2"/>
  <c r="E818" i="2"/>
  <c r="E817" i="2" s="1"/>
  <c r="E814" i="2" s="1"/>
  <c r="G817" i="2"/>
  <c r="G814" i="2" s="1"/>
  <c r="I802" i="2"/>
  <c r="F802" i="2"/>
  <c r="I817" i="2"/>
  <c r="I814" i="2" s="1"/>
  <c r="C785" i="2"/>
  <c r="I785" i="2"/>
  <c r="I784" i="2" s="1"/>
  <c r="D798" i="2"/>
  <c r="E880" i="2"/>
  <c r="E850" i="2" s="1"/>
  <c r="I880" i="2"/>
  <c r="I850" i="2" s="1"/>
  <c r="F880" i="2"/>
  <c r="F850" i="2" s="1"/>
  <c r="C880" i="2"/>
  <c r="C850" i="2" s="1"/>
  <c r="G880" i="2"/>
  <c r="G850" i="2" s="1"/>
  <c r="D802" i="2"/>
  <c r="H785" i="2"/>
  <c r="H784" i="2" s="1"/>
  <c r="E802" i="2"/>
  <c r="D818" i="2"/>
  <c r="D817" i="2" s="1"/>
  <c r="D814" i="2" s="1"/>
  <c r="F785" i="2"/>
  <c r="E790" i="2"/>
  <c r="E785" i="2" s="1"/>
  <c r="D790" i="2"/>
  <c r="C817" i="2"/>
  <c r="C814" i="2" s="1"/>
  <c r="F817" i="2"/>
  <c r="F814" i="2" s="1"/>
  <c r="H817" i="2"/>
  <c r="H814" i="2" s="1"/>
  <c r="D880" i="2"/>
  <c r="H880" i="2"/>
  <c r="H850" i="2" s="1"/>
  <c r="D850" i="2" l="1"/>
  <c r="G784" i="2"/>
  <c r="G782" i="2" s="1"/>
  <c r="C784" i="2"/>
  <c r="C782" i="2" s="1"/>
  <c r="F784" i="2"/>
  <c r="F782" i="2" s="1"/>
  <c r="H782" i="2"/>
  <c r="I782" i="2"/>
  <c r="D785" i="2"/>
  <c r="D784" i="2" s="1"/>
  <c r="E784" i="2"/>
  <c r="E782" i="2" s="1"/>
  <c r="D782" i="2" l="1"/>
  <c r="G93" i="2"/>
  <c r="I347" i="2" l="1"/>
  <c r="H347" i="2"/>
  <c r="G347" i="2"/>
  <c r="F347" i="2"/>
  <c r="E347" i="2"/>
  <c r="D347" i="2"/>
  <c r="C347" i="2"/>
  <c r="I932" i="2" l="1"/>
  <c r="H932" i="2"/>
  <c r="G932" i="2"/>
  <c r="F932" i="2"/>
  <c r="C932" i="2"/>
  <c r="D932" i="2"/>
  <c r="E932" i="2"/>
  <c r="G930" i="2"/>
  <c r="E930" i="2"/>
  <c r="E925" i="2"/>
  <c r="G925" i="2"/>
  <c r="E736" i="2"/>
  <c r="E735" i="2" s="1"/>
  <c r="G736" i="2" l="1"/>
  <c r="G735" i="2" s="1"/>
  <c r="E722" i="2"/>
  <c r="E725" i="2"/>
  <c r="E727" i="2"/>
  <c r="G727" i="2"/>
  <c r="G725" i="2"/>
  <c r="G722" i="2"/>
  <c r="G719" i="2" l="1"/>
  <c r="G718" i="2" s="1"/>
  <c r="E719" i="2"/>
  <c r="E718" i="2" s="1"/>
  <c r="G577" i="2"/>
  <c r="E577" i="2"/>
  <c r="D577" i="2"/>
  <c r="G698" i="2" l="1"/>
  <c r="E698" i="2"/>
  <c r="E957" i="2" l="1"/>
  <c r="E955" i="2" s="1"/>
  <c r="G944" i="2"/>
  <c r="E945" i="2"/>
  <c r="G687" i="2"/>
  <c r="I715" i="2" l="1"/>
  <c r="I713" i="2"/>
  <c r="I711" i="2"/>
  <c r="I344" i="2" l="1"/>
  <c r="H344" i="2"/>
  <c r="G344" i="2"/>
  <c r="F344" i="2"/>
  <c r="E344" i="2"/>
  <c r="D344" i="2"/>
  <c r="C344" i="2"/>
  <c r="I342" i="2"/>
  <c r="H342" i="2"/>
  <c r="G342" i="2"/>
  <c r="F342" i="2"/>
  <c r="E342" i="2"/>
  <c r="D342" i="2"/>
  <c r="C342" i="2"/>
  <c r="I336" i="2"/>
  <c r="H336" i="2"/>
  <c r="G336" i="2"/>
  <c r="F336" i="2"/>
  <c r="E336" i="2"/>
  <c r="D336" i="2"/>
  <c r="C336" i="2"/>
  <c r="H335" i="2"/>
  <c r="G335" i="2"/>
  <c r="F335" i="2"/>
  <c r="E335" i="2"/>
  <c r="D335" i="2"/>
  <c r="C335" i="2"/>
  <c r="I326" i="2"/>
  <c r="I319" i="2" s="1"/>
  <c r="H326" i="2"/>
  <c r="H319" i="2" s="1"/>
  <c r="G326" i="2"/>
  <c r="G319" i="2" s="1"/>
  <c r="F326" i="2"/>
  <c r="E326" i="2"/>
  <c r="E319" i="2" s="1"/>
  <c r="D326" i="2"/>
  <c r="D319" i="2" s="1"/>
  <c r="C326" i="2"/>
  <c r="C319" i="2" s="1"/>
  <c r="F319" i="2"/>
  <c r="I310" i="2"/>
  <c r="H310" i="2"/>
  <c r="G310" i="2"/>
  <c r="F310" i="2"/>
  <c r="E310" i="2"/>
  <c r="D310" i="2"/>
  <c r="C310" i="2"/>
  <c r="I301" i="2"/>
  <c r="H301" i="2"/>
  <c r="G301" i="2"/>
  <c r="F301" i="2"/>
  <c r="E301" i="2"/>
  <c r="D301" i="2"/>
  <c r="C301" i="2"/>
  <c r="I296" i="2"/>
  <c r="H296" i="2"/>
  <c r="G296" i="2"/>
  <c r="F296" i="2"/>
  <c r="E296" i="2"/>
  <c r="D296" i="2"/>
  <c r="C296" i="2"/>
  <c r="I286" i="2"/>
  <c r="I285" i="2" s="1"/>
  <c r="H286" i="2"/>
  <c r="H285" i="2" s="1"/>
  <c r="G286" i="2"/>
  <c r="G285" i="2" s="1"/>
  <c r="F285" i="2"/>
  <c r="E286" i="2"/>
  <c r="E285" i="2" s="1"/>
  <c r="D286" i="2"/>
  <c r="D285" i="2" s="1"/>
  <c r="C286" i="2"/>
  <c r="C285" i="2" s="1"/>
  <c r="I281" i="2"/>
  <c r="H281" i="2"/>
  <c r="G281" i="2"/>
  <c r="F281" i="2"/>
  <c r="E281" i="2"/>
  <c r="D281" i="2"/>
  <c r="C281" i="2"/>
  <c r="I280" i="2"/>
  <c r="H280" i="2"/>
  <c r="G280" i="2"/>
  <c r="F280" i="2"/>
  <c r="D280" i="2"/>
  <c r="H271" i="2"/>
  <c r="H270" i="2" s="1"/>
  <c r="D271" i="2"/>
  <c r="D270" i="2" s="1"/>
  <c r="I265" i="2"/>
  <c r="I255" i="2"/>
  <c r="H255" i="2"/>
  <c r="G255" i="2"/>
  <c r="F255" i="2"/>
  <c r="E255" i="2"/>
  <c r="D255" i="2"/>
  <c r="C255" i="2"/>
  <c r="I254" i="2"/>
  <c r="H254" i="2"/>
  <c r="G254" i="2"/>
  <c r="F254" i="2"/>
  <c r="E254" i="2"/>
  <c r="D254" i="2"/>
  <c r="C254" i="2"/>
  <c r="I250" i="2"/>
  <c r="H250" i="2"/>
  <c r="G250" i="2"/>
  <c r="F250" i="2"/>
  <c r="E250" i="2"/>
  <c r="D250" i="2"/>
  <c r="C250" i="2"/>
  <c r="I245" i="2"/>
  <c r="H245" i="2"/>
  <c r="G245" i="2"/>
  <c r="F245" i="2"/>
  <c r="E245" i="2"/>
  <c r="D245" i="2"/>
  <c r="C245" i="2"/>
  <c r="I239" i="2"/>
  <c r="H239" i="2"/>
  <c r="G239" i="2"/>
  <c r="F239" i="2"/>
  <c r="E239" i="2"/>
  <c r="D239" i="2"/>
  <c r="C239" i="2"/>
  <c r="F295" i="2" l="1"/>
  <c r="D253" i="2"/>
  <c r="C295" i="2"/>
  <c r="G295" i="2"/>
  <c r="F253" i="2"/>
  <c r="D238" i="2"/>
  <c r="H238" i="2"/>
  <c r="E238" i="2"/>
  <c r="I238" i="2"/>
  <c r="C253" i="2"/>
  <c r="G253" i="2"/>
  <c r="F238" i="2"/>
  <c r="H253" i="2"/>
  <c r="E253" i="2"/>
  <c r="I253" i="2"/>
  <c r="D295" i="2"/>
  <c r="H295" i="2"/>
  <c r="E295" i="2"/>
  <c r="I295" i="2"/>
  <c r="C238" i="2"/>
  <c r="G238" i="2"/>
  <c r="D237" i="2" l="1"/>
  <c r="G237" i="2"/>
  <c r="E237" i="2"/>
  <c r="G571" i="2"/>
  <c r="E571" i="2"/>
  <c r="K568" i="2"/>
  <c r="J568" i="2"/>
  <c r="I568" i="2"/>
  <c r="H568" i="2"/>
  <c r="G568" i="2"/>
  <c r="F568" i="2"/>
  <c r="E568" i="2"/>
  <c r="D568" i="2"/>
  <c r="C568" i="2"/>
  <c r="K563" i="2"/>
  <c r="J563" i="2"/>
  <c r="I563" i="2"/>
  <c r="H563" i="2"/>
  <c r="G563" i="2"/>
  <c r="F563" i="2"/>
  <c r="E563" i="2"/>
  <c r="D563" i="2"/>
  <c r="C563" i="2"/>
  <c r="K557" i="2"/>
  <c r="J557" i="2"/>
  <c r="I557" i="2"/>
  <c r="H557" i="2"/>
  <c r="G557" i="2"/>
  <c r="F557" i="2"/>
  <c r="E557" i="2"/>
  <c r="D557" i="2"/>
  <c r="C557" i="2"/>
  <c r="K555" i="2"/>
  <c r="J555" i="2"/>
  <c r="I555" i="2"/>
  <c r="H555" i="2"/>
  <c r="G555" i="2"/>
  <c r="F555" i="2"/>
  <c r="E555" i="2"/>
  <c r="D555" i="2"/>
  <c r="C555" i="2"/>
  <c r="K547" i="2"/>
  <c r="J547" i="2"/>
  <c r="I547" i="2"/>
  <c r="H547" i="2"/>
  <c r="G547" i="2"/>
  <c r="F547" i="2"/>
  <c r="E547" i="2"/>
  <c r="D547" i="2"/>
  <c r="C547" i="2"/>
  <c r="K534" i="2"/>
  <c r="J534" i="2"/>
  <c r="I534" i="2"/>
  <c r="H534" i="2"/>
  <c r="G534" i="2"/>
  <c r="F534" i="2"/>
  <c r="E534" i="2"/>
  <c r="D534" i="2"/>
  <c r="C534" i="2"/>
  <c r="K522" i="2"/>
  <c r="J522" i="2"/>
  <c r="I522" i="2"/>
  <c r="H522" i="2"/>
  <c r="G522" i="2"/>
  <c r="F522" i="2"/>
  <c r="E522" i="2"/>
  <c r="D522" i="2"/>
  <c r="C522" i="2"/>
  <c r="K507" i="2"/>
  <c r="J507" i="2"/>
  <c r="I507" i="2"/>
  <c r="H507" i="2"/>
  <c r="G507" i="2"/>
  <c r="F507" i="2"/>
  <c r="E507" i="2"/>
  <c r="D507" i="2"/>
  <c r="C507" i="2"/>
  <c r="K501" i="2"/>
  <c r="J501" i="2"/>
  <c r="I501" i="2"/>
  <c r="H501" i="2"/>
  <c r="G501" i="2"/>
  <c r="F501" i="2"/>
  <c r="E501" i="2"/>
  <c r="D501" i="2"/>
  <c r="C501" i="2"/>
  <c r="K498" i="2"/>
  <c r="J498" i="2"/>
  <c r="I498" i="2"/>
  <c r="H498" i="2"/>
  <c r="G498" i="2"/>
  <c r="F498" i="2"/>
  <c r="E498" i="2"/>
  <c r="D498" i="2"/>
  <c r="C498" i="2"/>
  <c r="K495" i="2"/>
  <c r="J495" i="2"/>
  <c r="I495" i="2"/>
  <c r="H495" i="2"/>
  <c r="G495" i="2"/>
  <c r="F495" i="2"/>
  <c r="E495" i="2"/>
  <c r="D495" i="2"/>
  <c r="C495" i="2"/>
  <c r="K493" i="2"/>
  <c r="J493" i="2"/>
  <c r="I493" i="2"/>
  <c r="H493" i="2"/>
  <c r="G493" i="2"/>
  <c r="F493" i="2"/>
  <c r="E493" i="2"/>
  <c r="D493" i="2"/>
  <c r="C493" i="2"/>
  <c r="K491" i="2"/>
  <c r="J491" i="2"/>
  <c r="I491" i="2"/>
  <c r="H491" i="2"/>
  <c r="G491" i="2"/>
  <c r="F491" i="2"/>
  <c r="E491" i="2"/>
  <c r="D491" i="2"/>
  <c r="C491" i="2"/>
  <c r="K488" i="2"/>
  <c r="J488" i="2"/>
  <c r="I488" i="2"/>
  <c r="H488" i="2"/>
  <c r="G488" i="2"/>
  <c r="F488" i="2"/>
  <c r="E488" i="2"/>
  <c r="D488" i="2"/>
  <c r="C488" i="2"/>
  <c r="K481" i="2"/>
  <c r="K480" i="2" s="1"/>
  <c r="J481" i="2"/>
  <c r="J480" i="2" s="1"/>
  <c r="I481" i="2"/>
  <c r="H481" i="2"/>
  <c r="H480" i="2" s="1"/>
  <c r="G481" i="2"/>
  <c r="G480" i="2" s="1"/>
  <c r="F481" i="2"/>
  <c r="F480" i="2" s="1"/>
  <c r="E481" i="2"/>
  <c r="E480" i="2" s="1"/>
  <c r="D481" i="2"/>
  <c r="D480" i="2" s="1"/>
  <c r="C481" i="2"/>
  <c r="C480" i="2" s="1"/>
  <c r="K473" i="2"/>
  <c r="J473" i="2"/>
  <c r="H473" i="2"/>
  <c r="G473" i="2"/>
  <c r="F473" i="2"/>
  <c r="E473" i="2"/>
  <c r="D473" i="2"/>
  <c r="C473" i="2"/>
  <c r="K469" i="2"/>
  <c r="J469" i="2"/>
  <c r="I469" i="2"/>
  <c r="H469" i="2"/>
  <c r="G469" i="2"/>
  <c r="F469" i="2"/>
  <c r="E469" i="2"/>
  <c r="D469" i="2"/>
  <c r="C469" i="2"/>
  <c r="I480" i="2"/>
  <c r="K459" i="2"/>
  <c r="J459" i="2"/>
  <c r="I459" i="2"/>
  <c r="H459" i="2"/>
  <c r="G459" i="2"/>
  <c r="F459" i="2"/>
  <c r="E459" i="2"/>
  <c r="D459" i="2"/>
  <c r="C459" i="2"/>
  <c r="K456" i="2"/>
  <c r="J456" i="2"/>
  <c r="I456" i="2"/>
  <c r="H456" i="2"/>
  <c r="G456" i="2"/>
  <c r="F456" i="2"/>
  <c r="E456" i="2"/>
  <c r="D456" i="2"/>
  <c r="C456" i="2"/>
  <c r="I439" i="2"/>
  <c r="I450" i="2"/>
  <c r="K453" i="2"/>
  <c r="K439" i="2" s="1"/>
  <c r="J453" i="2"/>
  <c r="J439" i="2" s="1"/>
  <c r="I453" i="2"/>
  <c r="H453" i="2"/>
  <c r="G453" i="2"/>
  <c r="F453" i="2"/>
  <c r="E453" i="2"/>
  <c r="D453" i="2"/>
  <c r="C453" i="2"/>
  <c r="H450" i="2"/>
  <c r="G450" i="2"/>
  <c r="F450" i="2"/>
  <c r="E450" i="2"/>
  <c r="D450" i="2"/>
  <c r="C450" i="2"/>
  <c r="H439" i="2"/>
  <c r="G439" i="2"/>
  <c r="F439" i="2"/>
  <c r="E439" i="2"/>
  <c r="D439" i="2"/>
  <c r="C439" i="2"/>
  <c r="K429" i="2"/>
  <c r="J429" i="2"/>
  <c r="I429" i="2"/>
  <c r="H429" i="2"/>
  <c r="G429" i="2"/>
  <c r="F429" i="2"/>
  <c r="E429" i="2"/>
  <c r="D429" i="2"/>
  <c r="C429" i="2"/>
  <c r="K424" i="2"/>
  <c r="J424" i="2"/>
  <c r="I424" i="2"/>
  <c r="H424" i="2"/>
  <c r="G424" i="2"/>
  <c r="F424" i="2"/>
  <c r="E424" i="2"/>
  <c r="D424" i="2"/>
  <c r="C424" i="2"/>
  <c r="K386" i="2"/>
  <c r="J386" i="2"/>
  <c r="I386" i="2"/>
  <c r="H386" i="2"/>
  <c r="G386" i="2"/>
  <c r="F386" i="2"/>
  <c r="E386" i="2"/>
  <c r="D386" i="2"/>
  <c r="C386" i="2"/>
  <c r="K365" i="2"/>
  <c r="J365" i="2"/>
  <c r="I365" i="2"/>
  <c r="H365" i="2"/>
  <c r="G365" i="2"/>
  <c r="F365" i="2"/>
  <c r="E365" i="2"/>
  <c r="D365" i="2"/>
  <c r="C365" i="2"/>
  <c r="K356" i="2"/>
  <c r="J356" i="2"/>
  <c r="I356" i="2"/>
  <c r="H356" i="2"/>
  <c r="G356" i="2"/>
  <c r="F356" i="2"/>
  <c r="E356" i="2"/>
  <c r="D356" i="2"/>
  <c r="C356" i="2"/>
  <c r="K353" i="2"/>
  <c r="J353" i="2"/>
  <c r="I353" i="2"/>
  <c r="H353" i="2"/>
  <c r="G353" i="2"/>
  <c r="F353" i="2"/>
  <c r="E353" i="2"/>
  <c r="D353" i="2"/>
  <c r="C353" i="2"/>
  <c r="I487" i="2" l="1"/>
  <c r="E468" i="2"/>
  <c r="G364" i="2"/>
  <c r="I428" i="2"/>
  <c r="E546" i="2"/>
  <c r="G546" i="2"/>
  <c r="E364" i="2"/>
  <c r="G428" i="2"/>
  <c r="G468" i="2"/>
  <c r="E500" i="2"/>
  <c r="I352" i="2"/>
  <c r="G487" i="2"/>
  <c r="E428" i="2"/>
  <c r="E455" i="2"/>
  <c r="C352" i="2"/>
  <c r="G352" i="2"/>
  <c r="K352" i="2"/>
  <c r="E487" i="2"/>
  <c r="G500" i="2"/>
  <c r="D352" i="2"/>
  <c r="H352" i="2"/>
  <c r="E352" i="2"/>
  <c r="G455" i="2"/>
  <c r="F352" i="2"/>
  <c r="J352" i="2"/>
  <c r="G951" i="2"/>
  <c r="G950" i="2"/>
  <c r="E951" i="2"/>
  <c r="E950" i="2"/>
  <c r="G947" i="2"/>
  <c r="E210" i="2"/>
  <c r="G210" i="2"/>
  <c r="G219" i="2"/>
  <c r="E219" i="2"/>
  <c r="G204" i="2"/>
  <c r="E204" i="2"/>
  <c r="G948" i="2" l="1"/>
  <c r="E948" i="2"/>
  <c r="G351" i="2"/>
  <c r="E351" i="2"/>
  <c r="G160" i="2"/>
  <c r="E160" i="2"/>
  <c r="E686" i="2"/>
  <c r="G686" i="2"/>
  <c r="E690" i="2"/>
  <c r="G690" i="2"/>
  <c r="G713" i="2" l="1"/>
  <c r="G712" i="2" s="1"/>
  <c r="G709" i="2" s="1"/>
  <c r="E713" i="2"/>
  <c r="E712" i="2" s="1"/>
  <c r="E709" i="2" s="1"/>
  <c r="D713" i="2" l="1"/>
  <c r="E201" i="2" l="1"/>
  <c r="G201" i="2"/>
  <c r="G181" i="2"/>
  <c r="E181" i="2"/>
  <c r="G189" i="2"/>
  <c r="E189" i="2"/>
  <c r="G164" i="2"/>
  <c r="E164" i="2"/>
  <c r="G585" i="2" l="1"/>
  <c r="G583" i="2" s="1"/>
  <c r="I674" i="2" l="1"/>
  <c r="I673" i="2" s="1"/>
  <c r="G684" i="2"/>
  <c r="G674" i="2" s="1"/>
  <c r="G673" i="2" s="1"/>
  <c r="C684" i="2"/>
  <c r="C674" i="2" s="1"/>
  <c r="C673" i="2" s="1"/>
  <c r="H674" i="2"/>
  <c r="H673" i="2" s="1"/>
  <c r="F674" i="2"/>
  <c r="F673" i="2" s="1"/>
  <c r="E674" i="2"/>
  <c r="E673" i="2" s="1"/>
  <c r="D674" i="2"/>
  <c r="D673" i="2" s="1"/>
  <c r="I670" i="2"/>
  <c r="H670" i="2"/>
  <c r="G670" i="2"/>
  <c r="F670" i="2"/>
  <c r="E670" i="2"/>
  <c r="D670" i="2"/>
  <c r="C670" i="2"/>
  <c r="C669" i="2"/>
  <c r="C665" i="2" s="1"/>
  <c r="C663" i="2" s="1"/>
  <c r="I665" i="2"/>
  <c r="I663" i="2" s="1"/>
  <c r="H665" i="2"/>
  <c r="H663" i="2" s="1"/>
  <c r="G665" i="2"/>
  <c r="G663" i="2" s="1"/>
  <c r="F665" i="2"/>
  <c r="F663" i="2" s="1"/>
  <c r="E665" i="2"/>
  <c r="E663" i="2" s="1"/>
  <c r="D665" i="2"/>
  <c r="D663" i="2" s="1"/>
  <c r="I660" i="2"/>
  <c r="H660" i="2"/>
  <c r="G660" i="2"/>
  <c r="F660" i="2"/>
  <c r="E660" i="2"/>
  <c r="D660" i="2"/>
  <c r="C660" i="2"/>
  <c r="I654" i="2"/>
  <c r="H654" i="2"/>
  <c r="G654" i="2"/>
  <c r="F654" i="2"/>
  <c r="E654" i="2"/>
  <c r="D654" i="2"/>
  <c r="C654" i="2"/>
  <c r="I651" i="2"/>
  <c r="H651" i="2"/>
  <c r="G651" i="2"/>
  <c r="F651" i="2"/>
  <c r="E651" i="2"/>
  <c r="D651" i="2"/>
  <c r="C651" i="2"/>
  <c r="I647" i="2"/>
  <c r="H647" i="2"/>
  <c r="G647" i="2"/>
  <c r="F647" i="2"/>
  <c r="E647" i="2"/>
  <c r="D647" i="2"/>
  <c r="C647" i="2"/>
  <c r="H640" i="2"/>
  <c r="H639" i="2" s="1"/>
  <c r="G639" i="2"/>
  <c r="F639" i="2"/>
  <c r="E639" i="2"/>
  <c r="D640" i="2"/>
  <c r="D639" i="2" s="1"/>
  <c r="C639" i="2"/>
  <c r="I639" i="2"/>
  <c r="C638" i="2"/>
  <c r="C637" i="2"/>
  <c r="I635" i="2"/>
  <c r="H635" i="2"/>
  <c r="G635" i="2"/>
  <c r="F635" i="2"/>
  <c r="E635" i="2"/>
  <c r="D635" i="2"/>
  <c r="C634" i="2"/>
  <c r="C631" i="2" s="1"/>
  <c r="I631" i="2"/>
  <c r="H631" i="2"/>
  <c r="G631" i="2"/>
  <c r="F631" i="2"/>
  <c r="E631" i="2"/>
  <c r="D631" i="2"/>
  <c r="I628" i="2"/>
  <c r="H628" i="2"/>
  <c r="G628" i="2"/>
  <c r="F628" i="2"/>
  <c r="E628" i="2"/>
  <c r="D628" i="2"/>
  <c r="C628" i="2"/>
  <c r="C627" i="2"/>
  <c r="C625" i="2"/>
  <c r="H624" i="2"/>
  <c r="G624" i="2"/>
  <c r="F624" i="2"/>
  <c r="E624" i="2"/>
  <c r="D624" i="2"/>
  <c r="I623" i="2"/>
  <c r="H623" i="2"/>
  <c r="G623" i="2"/>
  <c r="F623" i="2"/>
  <c r="E623" i="2"/>
  <c r="D623" i="2"/>
  <c r="I622" i="2"/>
  <c r="H622" i="2"/>
  <c r="G622" i="2"/>
  <c r="F622" i="2"/>
  <c r="E622" i="2"/>
  <c r="D622" i="2"/>
  <c r="I621" i="2"/>
  <c r="H621" i="2"/>
  <c r="G621" i="2"/>
  <c r="F621" i="2"/>
  <c r="E621" i="2"/>
  <c r="D621" i="2"/>
  <c r="H615" i="2"/>
  <c r="G615" i="2"/>
  <c r="F615" i="2"/>
  <c r="E615" i="2"/>
  <c r="D615" i="2"/>
  <c r="C615" i="2"/>
  <c r="I611" i="2"/>
  <c r="H611" i="2"/>
  <c r="G611" i="2"/>
  <c r="F611" i="2"/>
  <c r="E611" i="2"/>
  <c r="D611" i="2"/>
  <c r="C611" i="2"/>
  <c r="I607" i="2"/>
  <c r="H607" i="2"/>
  <c r="G607" i="2"/>
  <c r="F607" i="2"/>
  <c r="E607" i="2"/>
  <c r="D607" i="2"/>
  <c r="C607" i="2"/>
  <c r="I606" i="2"/>
  <c r="H606" i="2"/>
  <c r="G606" i="2"/>
  <c r="F606" i="2"/>
  <c r="E606" i="2"/>
  <c r="D606" i="2"/>
  <c r="C606" i="2"/>
  <c r="H605" i="2"/>
  <c r="G605" i="2"/>
  <c r="F605" i="2"/>
  <c r="E605" i="2"/>
  <c r="D605" i="2"/>
  <c r="C605" i="2"/>
  <c r="I604" i="2"/>
  <c r="H604" i="2"/>
  <c r="G604" i="2"/>
  <c r="F604" i="2"/>
  <c r="E604" i="2"/>
  <c r="D604" i="2"/>
  <c r="C604" i="2"/>
  <c r="I619" i="2" l="1"/>
  <c r="C635" i="2"/>
  <c r="E619" i="2"/>
  <c r="C623" i="2"/>
  <c r="F646" i="2"/>
  <c r="C646" i="2"/>
  <c r="H646" i="2"/>
  <c r="F603" i="2"/>
  <c r="C624" i="2"/>
  <c r="D646" i="2"/>
  <c r="G646" i="2"/>
  <c r="C621" i="2"/>
  <c r="D619" i="2"/>
  <c r="H619" i="2"/>
  <c r="I646" i="2"/>
  <c r="F619" i="2"/>
  <c r="C622" i="2"/>
  <c r="G619" i="2"/>
  <c r="E646" i="2"/>
  <c r="G603" i="2"/>
  <c r="D603" i="2"/>
  <c r="D602" i="2" s="1"/>
  <c r="E603" i="2"/>
  <c r="I603" i="2"/>
  <c r="C603" i="2"/>
  <c r="H603" i="2"/>
  <c r="I231" i="2"/>
  <c r="F231" i="2"/>
  <c r="E65" i="2"/>
  <c r="G65" i="2"/>
  <c r="G146" i="2"/>
  <c r="E146" i="2"/>
  <c r="G148" i="2"/>
  <c r="F148" i="2"/>
  <c r="E148" i="2"/>
  <c r="G135" i="2"/>
  <c r="F135" i="2"/>
  <c r="E135" i="2"/>
  <c r="E143" i="2"/>
  <c r="G143" i="2"/>
  <c r="E113" i="2"/>
  <c r="G113" i="2"/>
  <c r="G90" i="2"/>
  <c r="E90" i="2"/>
  <c r="E757" i="2"/>
  <c r="H938" i="2"/>
  <c r="E935" i="2"/>
  <c r="D938" i="2"/>
  <c r="E80" i="2"/>
  <c r="G80" i="2"/>
  <c r="G50" i="2"/>
  <c r="E94" i="2"/>
  <c r="G94" i="2"/>
  <c r="G52" i="2"/>
  <c r="E52" i="2"/>
  <c r="G30" i="2"/>
  <c r="G79" i="2" l="1"/>
  <c r="E79" i="2"/>
  <c r="E602" i="2"/>
  <c r="E601" i="2" s="1"/>
  <c r="D601" i="2"/>
  <c r="H602" i="2"/>
  <c r="H601" i="2" s="1"/>
  <c r="G602" i="2"/>
  <c r="G601" i="2" s="1"/>
  <c r="F602" i="2"/>
  <c r="F601" i="2" s="1"/>
  <c r="I602" i="2"/>
  <c r="I601" i="2" s="1"/>
  <c r="C619" i="2"/>
  <c r="C602" i="2" s="1"/>
  <c r="C601" i="2" s="1"/>
  <c r="E36" i="2"/>
  <c r="D686" i="2" l="1"/>
  <c r="F686" i="2"/>
  <c r="H686" i="2"/>
  <c r="C687" i="2"/>
  <c r="C686" i="2" s="1"/>
  <c r="D687" i="2"/>
  <c r="F687" i="2"/>
  <c r="H687" i="2"/>
  <c r="J687" i="2"/>
  <c r="J686" i="2" s="1"/>
  <c r="K687" i="2"/>
  <c r="K686" i="2" s="1"/>
  <c r="I688" i="2"/>
  <c r="I687" i="2" s="1"/>
  <c r="I686" i="2" s="1"/>
  <c r="G26" i="2" l="1"/>
  <c r="E26" i="2"/>
  <c r="G18" i="2"/>
  <c r="E18" i="2"/>
  <c r="E16" i="2" s="1"/>
  <c r="E30" i="2"/>
  <c r="G27" i="2"/>
  <c r="E7" i="2"/>
  <c r="E6" i="2"/>
  <c r="I9" i="2"/>
  <c r="E11" i="2"/>
  <c r="E10" i="2"/>
  <c r="E9" i="2"/>
  <c r="E8" i="2"/>
  <c r="E5" i="2"/>
  <c r="E25" i="2" l="1"/>
  <c r="E924" i="2"/>
  <c r="E750" i="2"/>
  <c r="E228" i="2"/>
  <c r="G159" i="2"/>
  <c r="E159" i="2"/>
  <c r="J133" i="2"/>
  <c r="E132" i="2"/>
  <c r="G132" i="2"/>
  <c r="J8" i="2"/>
  <c r="J7" i="2"/>
  <c r="J5" i="2"/>
  <c r="E960" i="2" l="1"/>
  <c r="E4" i="2"/>
  <c r="E226" i="2" s="1"/>
  <c r="E235" i="2" s="1"/>
  <c r="G34" i="2"/>
  <c r="G750" i="2" l="1"/>
  <c r="G924" i="2"/>
  <c r="G778" i="2"/>
  <c r="G757" i="2" s="1"/>
  <c r="G945" i="2"/>
  <c r="G955" i="2"/>
  <c r="G228" i="2"/>
  <c r="G25" i="2"/>
  <c r="G16" i="2"/>
  <c r="I50" i="2"/>
  <c r="G935" i="2" l="1"/>
  <c r="G960" i="2" s="1"/>
  <c r="G4" i="2"/>
  <c r="G226" i="2" s="1"/>
  <c r="G235" i="2" s="1"/>
  <c r="F778" i="2" l="1"/>
  <c r="F757" i="2" s="1"/>
  <c r="C948" i="2"/>
  <c r="K948" i="2"/>
  <c r="J948" i="2"/>
  <c r="I948" i="2"/>
  <c r="H950" i="2"/>
  <c r="F950" i="2"/>
  <c r="D950" i="2"/>
  <c r="H951" i="2"/>
  <c r="F951" i="2"/>
  <c r="D951" i="2"/>
  <c r="F952" i="2"/>
  <c r="H952" i="2"/>
  <c r="I714" i="2"/>
  <c r="H948" i="2" l="1"/>
  <c r="D948" i="2"/>
  <c r="F948" i="2"/>
  <c r="H129" i="2"/>
  <c r="H90" i="2"/>
  <c r="F90" i="2"/>
  <c r="D90" i="2"/>
  <c r="K596" i="2" l="1"/>
  <c r="J596" i="2"/>
  <c r="G22" i="4"/>
  <c r="J772" i="2"/>
  <c r="I772" i="2"/>
  <c r="K757" i="2"/>
  <c r="K201" i="2"/>
  <c r="J201" i="2"/>
  <c r="I201" i="2"/>
  <c r="C146" i="2"/>
  <c r="D146" i="2"/>
  <c r="F146" i="2"/>
  <c r="H146" i="2"/>
  <c r="K146" i="2"/>
  <c r="J146" i="2"/>
  <c r="I146" i="2"/>
  <c r="K113" i="2"/>
  <c r="J113" i="2"/>
  <c r="C113" i="2"/>
  <c r="D113" i="2"/>
  <c r="F113" i="2"/>
  <c r="H113" i="2"/>
  <c r="I113" i="2"/>
  <c r="J487" i="2" l="1"/>
  <c r="D487" i="2"/>
  <c r="F487" i="2"/>
  <c r="K487" i="2"/>
  <c r="H487" i="2"/>
  <c r="C487" i="2"/>
  <c r="K571" i="2"/>
  <c r="J571" i="2"/>
  <c r="I571" i="2"/>
  <c r="H571" i="2"/>
  <c r="F571" i="2"/>
  <c r="D571" i="2"/>
  <c r="C571" i="2"/>
  <c r="K163" i="2" l="1"/>
  <c r="J163" i="2"/>
  <c r="I163" i="2"/>
  <c r="K921" i="2" l="1"/>
  <c r="J921" i="2"/>
  <c r="K914" i="2"/>
  <c r="K912" i="2" s="1"/>
  <c r="K910" i="2"/>
  <c r="K908" i="2" s="1"/>
  <c r="K891" i="2"/>
  <c r="K869" i="2"/>
  <c r="J869" i="2"/>
  <c r="J868" i="2" s="1"/>
  <c r="K851" i="2"/>
  <c r="K842" i="2"/>
  <c r="K835" i="2"/>
  <c r="K828" i="2"/>
  <c r="K820" i="2"/>
  <c r="J820" i="2"/>
  <c r="J819" i="2" s="1"/>
  <c r="K810" i="2"/>
  <c r="J810" i="2"/>
  <c r="K807" i="2"/>
  <c r="J807" i="2"/>
  <c r="K790" i="2"/>
  <c r="J790" i="2"/>
  <c r="K786" i="2"/>
  <c r="K785" i="2" s="1"/>
  <c r="J786" i="2"/>
  <c r="J806" i="2" l="1"/>
  <c r="J784" i="2" s="1"/>
  <c r="J782" i="2" s="1"/>
  <c r="K906" i="2"/>
  <c r="K868" i="2" s="1"/>
  <c r="K806" i="2"/>
  <c r="K784" i="2" s="1"/>
  <c r="K782" i="2" s="1"/>
  <c r="K827" i="2"/>
  <c r="K819" i="2" s="1"/>
  <c r="J468" i="2" l="1"/>
  <c r="I468" i="2"/>
  <c r="I500" i="2" l="1"/>
  <c r="K204" i="2"/>
  <c r="J204" i="2"/>
  <c r="I204" i="2"/>
  <c r="H204" i="2"/>
  <c r="F204" i="2"/>
  <c r="D204" i="2"/>
  <c r="C204" i="2"/>
  <c r="K148" i="2"/>
  <c r="J148" i="2"/>
  <c r="H148" i="2"/>
  <c r="D148" i="2"/>
  <c r="C596" i="2" l="1"/>
  <c r="D596" i="2"/>
  <c r="F596" i="2"/>
  <c r="H596" i="2"/>
  <c r="I596" i="2"/>
  <c r="H219" i="2"/>
  <c r="D221" i="2"/>
  <c r="D219" i="2" s="1"/>
  <c r="F221" i="2"/>
  <c r="H201" i="2"/>
  <c r="F201" i="2"/>
  <c r="D201" i="2"/>
  <c r="C201" i="2"/>
  <c r="D230" i="2"/>
  <c r="K143" i="2" l="1"/>
  <c r="J143" i="2"/>
  <c r="I143" i="2"/>
  <c r="H143" i="2"/>
  <c r="F143" i="2"/>
  <c r="D143" i="2"/>
  <c r="C143" i="2"/>
  <c r="J428" i="2" l="1"/>
  <c r="K428" i="2"/>
  <c r="F428" i="2"/>
  <c r="H428" i="2"/>
  <c r="C428" i="2"/>
  <c r="D428" i="2"/>
  <c r="D715" i="2"/>
  <c r="H713" i="2" l="1"/>
  <c r="H957" i="2" l="1"/>
  <c r="F957" i="2"/>
  <c r="D957" i="2"/>
  <c r="I94" i="2"/>
  <c r="H110" i="2"/>
  <c r="H94" i="2" s="1"/>
  <c r="F94" i="2"/>
  <c r="D94" i="2"/>
  <c r="C94" i="2"/>
  <c r="C148" i="2" l="1"/>
  <c r="I546" i="2" l="1"/>
  <c r="I455" i="2"/>
  <c r="D546" i="2" l="1"/>
  <c r="J546" i="2"/>
  <c r="K546" i="2"/>
  <c r="H546" i="2"/>
  <c r="F546" i="2"/>
  <c r="C546" i="2"/>
  <c r="H468" i="2"/>
  <c r="C500" i="2"/>
  <c r="D500" i="2"/>
  <c r="J500" i="2"/>
  <c r="F500" i="2"/>
  <c r="K500" i="2"/>
  <c r="H500" i="2"/>
  <c r="D468" i="2"/>
  <c r="H455" i="2"/>
  <c r="F455" i="2"/>
  <c r="K455" i="2"/>
  <c r="D364" i="2"/>
  <c r="J364" i="2"/>
  <c r="C455" i="2"/>
  <c r="C364" i="2"/>
  <c r="I364" i="2"/>
  <c r="I351" i="2" s="1"/>
  <c r="F468" i="2"/>
  <c r="K468" i="2"/>
  <c r="K364" i="2"/>
  <c r="F364" i="2"/>
  <c r="H364" i="2"/>
  <c r="D455" i="2"/>
  <c r="J455" i="2"/>
  <c r="C468" i="2"/>
  <c r="H351" i="2" l="1"/>
  <c r="J351" i="2"/>
  <c r="J349" i="2" s="1"/>
  <c r="D351" i="2"/>
  <c r="F351" i="2"/>
  <c r="K351" i="2"/>
  <c r="K349" i="2" s="1"/>
  <c r="C351" i="2"/>
  <c r="J778" i="2"/>
  <c r="J757" i="2" s="1"/>
  <c r="I778" i="2"/>
  <c r="K346" i="2" l="1"/>
  <c r="J346" i="2"/>
  <c r="K343" i="2"/>
  <c r="J343" i="2"/>
  <c r="K341" i="2"/>
  <c r="J341" i="2"/>
  <c r="K334" i="2"/>
  <c r="J334" i="2"/>
  <c r="K318" i="2"/>
  <c r="J318" i="2"/>
  <c r="K309" i="2"/>
  <c r="J309" i="2"/>
  <c r="K301" i="2"/>
  <c r="J301" i="2"/>
  <c r="K296" i="2"/>
  <c r="J296" i="2"/>
  <c r="K286" i="2"/>
  <c r="K285" i="2" s="1"/>
  <c r="J286" i="2"/>
  <c r="J285" i="2" s="1"/>
  <c r="J295" i="2" l="1"/>
  <c r="K295" i="2"/>
  <c r="K280" i="2"/>
  <c r="J280" i="2"/>
  <c r="K254" i="2"/>
  <c r="J254" i="2"/>
  <c r="K250" i="2"/>
  <c r="J250" i="2"/>
  <c r="K245" i="2"/>
  <c r="J245" i="2"/>
  <c r="K239" i="2"/>
  <c r="J239" i="2"/>
  <c r="J270" i="2" l="1"/>
  <c r="J253" i="2" s="1"/>
  <c r="K270" i="2"/>
  <c r="K253" i="2" s="1"/>
  <c r="K238" i="2"/>
  <c r="J238" i="2"/>
  <c r="I65" i="2" l="1"/>
  <c r="F754" i="2" l="1"/>
  <c r="F753" i="2"/>
  <c r="K232" i="2" l="1"/>
  <c r="J232" i="2"/>
  <c r="I232" i="2"/>
  <c r="H232" i="2"/>
  <c r="D232" i="2"/>
  <c r="J231" i="2"/>
  <c r="K231" i="2"/>
  <c r="K229" i="2"/>
  <c r="J229" i="2"/>
  <c r="H736" i="2" l="1"/>
  <c r="I736" i="2"/>
  <c r="J736" i="2"/>
  <c r="K736" i="2"/>
  <c r="H86" i="2" l="1"/>
  <c r="F86" i="2"/>
  <c r="D86" i="2"/>
  <c r="H80" i="2"/>
  <c r="F80" i="2"/>
  <c r="F79" i="2" l="1"/>
  <c r="H29" i="2"/>
  <c r="H26" i="2"/>
  <c r="K955" i="2" l="1"/>
  <c r="J955" i="2"/>
  <c r="I955" i="2"/>
  <c r="D955" i="2"/>
  <c r="F955" i="2"/>
  <c r="H955" i="2"/>
  <c r="D80" i="2" l="1"/>
  <c r="K110" i="2"/>
  <c r="J110" i="2"/>
  <c r="H943" i="2"/>
  <c r="K65" i="2"/>
  <c r="J65" i="2"/>
  <c r="H65" i="2"/>
  <c r="F65" i="2"/>
  <c r="D65" i="2"/>
  <c r="C65" i="2"/>
  <c r="K230" i="2"/>
  <c r="J230" i="2"/>
  <c r="I230" i="2"/>
  <c r="F230" i="2"/>
  <c r="F228" i="2" s="1"/>
  <c r="D229" i="2"/>
  <c r="F6" i="2"/>
  <c r="F5" i="2"/>
  <c r="K585" i="2"/>
  <c r="K583" i="2" s="1"/>
  <c r="J585" i="2"/>
  <c r="J583" i="2" s="1"/>
  <c r="D592" i="2"/>
  <c r="C957" i="2" l="1"/>
  <c r="C955" i="2" s="1"/>
  <c r="C945" i="2"/>
  <c r="C930" i="2"/>
  <c r="C925" i="2"/>
  <c r="C778" i="2"/>
  <c r="C772" i="2"/>
  <c r="C765" i="2"/>
  <c r="C751" i="2"/>
  <c r="C750" i="2" s="1"/>
  <c r="C736" i="2"/>
  <c r="C735" i="2" s="1"/>
  <c r="C727" i="2"/>
  <c r="C725" i="2"/>
  <c r="C722" i="2"/>
  <c r="C715" i="2"/>
  <c r="C713" i="2"/>
  <c r="C698" i="2"/>
  <c r="C690" i="2" s="1"/>
  <c r="C592" i="2"/>
  <c r="C585" i="2"/>
  <c r="C583" i="2" s="1"/>
  <c r="C577" i="2"/>
  <c r="C574" i="2"/>
  <c r="C230" i="2"/>
  <c r="C229" i="2"/>
  <c r="C219" i="2"/>
  <c r="C210" i="2"/>
  <c r="C189" i="2"/>
  <c r="C181" i="2"/>
  <c r="C164" i="2"/>
  <c r="C160" i="2"/>
  <c r="C135" i="2"/>
  <c r="C52" i="2"/>
  <c r="C50" i="2"/>
  <c r="C25" i="2"/>
  <c r="C16" i="2"/>
  <c r="C11" i="2"/>
  <c r="C9" i="2"/>
  <c r="C8" i="2"/>
  <c r="C7" i="2"/>
  <c r="C6" i="2"/>
  <c r="C5" i="2"/>
  <c r="C935" i="2" l="1"/>
  <c r="C757" i="2"/>
  <c r="C36" i="2"/>
  <c r="C719" i="2"/>
  <c r="C718" i="2" s="1"/>
  <c r="C132" i="2"/>
  <c r="C159" i="2"/>
  <c r="C924" i="2"/>
  <c r="C228" i="2"/>
  <c r="C712" i="2"/>
  <c r="C709" i="2" s="1"/>
  <c r="C4" i="2"/>
  <c r="H10" i="2"/>
  <c r="D10" i="2"/>
  <c r="D11" i="2"/>
  <c r="D9" i="2"/>
  <c r="D8" i="2"/>
  <c r="D7" i="2"/>
  <c r="D6" i="2"/>
  <c r="D5" i="2"/>
  <c r="K135" i="2"/>
  <c r="J135" i="2"/>
  <c r="K160" i="2"/>
  <c r="J160" i="2"/>
  <c r="K164" i="2"/>
  <c r="J164" i="2"/>
  <c r="K189" i="2"/>
  <c r="J189" i="2"/>
  <c r="K79" i="2"/>
  <c r="J79" i="2"/>
  <c r="K25" i="2"/>
  <c r="J25" i="2"/>
  <c r="D25" i="2"/>
  <c r="F25" i="2"/>
  <c r="H25" i="2"/>
  <c r="H16" i="2"/>
  <c r="F16" i="2"/>
  <c r="D16" i="2"/>
  <c r="K16" i="2"/>
  <c r="J16" i="2"/>
  <c r="K132" i="2" l="1"/>
  <c r="J132" i="2"/>
  <c r="C226" i="2"/>
  <c r="C235" i="2" s="1"/>
  <c r="I52" i="2" l="1"/>
  <c r="G8" i="4" l="1"/>
  <c r="D181" i="2" l="1"/>
  <c r="F181" i="2"/>
  <c r="H181" i="2"/>
  <c r="I181" i="2"/>
  <c r="H937" i="2" l="1"/>
  <c r="D937" i="2"/>
  <c r="I712" i="2" l="1"/>
  <c r="I709" i="2" s="1"/>
  <c r="F219" i="2" l="1"/>
  <c r="D574" i="2" l="1"/>
  <c r="F574" i="2"/>
  <c r="H574" i="2"/>
  <c r="I574" i="2"/>
  <c r="I219" i="2" l="1"/>
  <c r="H712" i="2" l="1"/>
  <c r="H709" i="2" s="1"/>
  <c r="F712" i="2"/>
  <c r="F709" i="2" s="1"/>
  <c r="D712" i="2"/>
  <c r="D709" i="2" s="1"/>
  <c r="D698" i="2" l="1"/>
  <c r="D690" i="2" s="1"/>
  <c r="F698" i="2"/>
  <c r="F690" i="2" s="1"/>
  <c r="H698" i="2"/>
  <c r="H690" i="2" s="1"/>
  <c r="I698" i="2"/>
  <c r="I690" i="2" s="1"/>
  <c r="I237" i="2" l="1"/>
  <c r="K577" i="2"/>
  <c r="I925" i="2" l="1"/>
  <c r="H925" i="2"/>
  <c r="F925" i="2"/>
  <c r="D925" i="2"/>
  <c r="F736" i="2" l="1"/>
  <c r="D736" i="2"/>
  <c r="D727" i="2"/>
  <c r="F727" i="2"/>
  <c r="H727" i="2"/>
  <c r="I727" i="2"/>
  <c r="D722" i="2"/>
  <c r="F722" i="2"/>
  <c r="H722" i="2"/>
  <c r="I28" i="4" l="1"/>
  <c r="I27" i="4"/>
  <c r="H27" i="4"/>
  <c r="I26" i="4"/>
  <c r="H26" i="4"/>
  <c r="I24" i="4"/>
  <c r="H24" i="4"/>
  <c r="I23" i="4"/>
  <c r="H23" i="4"/>
  <c r="I22" i="4"/>
  <c r="H22" i="4"/>
  <c r="I20" i="4"/>
  <c r="H20" i="4"/>
  <c r="I19" i="4"/>
  <c r="H19" i="4"/>
  <c r="I18" i="4"/>
  <c r="H18" i="4"/>
  <c r="I17" i="4"/>
  <c r="H17" i="4"/>
  <c r="I16" i="4"/>
  <c r="H16" i="4"/>
  <c r="I9" i="4"/>
  <c r="H9" i="4"/>
  <c r="I6" i="4"/>
  <c r="H6" i="4"/>
  <c r="I5" i="4"/>
  <c r="H4" i="4"/>
  <c r="I4" i="4"/>
  <c r="H21" i="4" l="1"/>
  <c r="I21" i="4"/>
  <c r="I30" i="4"/>
  <c r="I29" i="4"/>
  <c r="H30" i="4"/>
  <c r="H29" i="4"/>
  <c r="I7" i="4"/>
  <c r="I8" i="4" s="1"/>
  <c r="I10" i="4" s="1"/>
  <c r="I14" i="4"/>
  <c r="H5" i="4"/>
  <c r="H7" i="4"/>
  <c r="H25" i="4"/>
  <c r="I25" i="4"/>
  <c r="H14" i="4"/>
  <c r="I15" i="4" l="1"/>
  <c r="I31" i="4" s="1"/>
  <c r="H15" i="4"/>
  <c r="H8" i="4"/>
  <c r="H10" i="4" s="1"/>
  <c r="H28" i="4"/>
  <c r="D12" i="4" l="1"/>
  <c r="C31" i="4"/>
  <c r="C12" i="4" s="1"/>
  <c r="F31" i="4"/>
  <c r="F12" i="4" s="1"/>
  <c r="H31" i="4"/>
  <c r="H751" i="2" l="1"/>
  <c r="D135" i="2" l="1"/>
  <c r="H135" i="2"/>
  <c r="I135" i="2"/>
  <c r="I132" i="2" s="1"/>
  <c r="H778" i="2" l="1"/>
  <c r="H757" i="2" s="1"/>
  <c r="D778" i="2"/>
  <c r="D757" i="2" s="1"/>
  <c r="K219" i="2" l="1"/>
  <c r="J219" i="2"/>
  <c r="E12" i="1"/>
  <c r="G12" i="1"/>
  <c r="D29" i="1"/>
  <c r="F29" i="1"/>
  <c r="G31" i="1"/>
  <c r="D33" i="1"/>
  <c r="F33" i="1"/>
  <c r="D34" i="1"/>
  <c r="F34" i="1"/>
  <c r="D35" i="1"/>
  <c r="E35" i="1"/>
  <c r="F35" i="1"/>
  <c r="D41" i="1"/>
  <c r="F41" i="1"/>
  <c r="C42" i="1"/>
  <c r="D42" i="1"/>
  <c r="F42" i="1"/>
  <c r="G42" i="1"/>
  <c r="C43" i="1"/>
  <c r="D43" i="1"/>
  <c r="F43" i="1"/>
  <c r="G43" i="1"/>
  <c r="C44" i="1"/>
  <c r="D44" i="1"/>
  <c r="F44" i="1"/>
  <c r="G44" i="1"/>
  <c r="C48" i="1"/>
  <c r="D48" i="1"/>
  <c r="E48" i="1"/>
  <c r="F48" i="1"/>
  <c r="G48" i="1"/>
  <c r="C54" i="1"/>
  <c r="D54" i="1"/>
  <c r="E54" i="1"/>
  <c r="G54" i="1"/>
  <c r="C55" i="1"/>
  <c r="G55" i="1"/>
  <c r="C56" i="1"/>
  <c r="G56" i="1"/>
  <c r="C57" i="1"/>
  <c r="D57" i="1"/>
  <c r="E57" i="1"/>
  <c r="C58" i="1"/>
  <c r="D58" i="1"/>
  <c r="E58" i="1"/>
  <c r="G58" i="1"/>
  <c r="C60" i="1"/>
  <c r="D60" i="1"/>
  <c r="E60" i="1"/>
  <c r="G60" i="1"/>
  <c r="C66" i="1"/>
  <c r="D66" i="1"/>
  <c r="E66" i="1"/>
  <c r="F66" i="1"/>
  <c r="G66" i="1"/>
  <c r="C70" i="1"/>
  <c r="D70" i="1"/>
  <c r="E70" i="1"/>
  <c r="F70" i="1"/>
  <c r="G70" i="1"/>
  <c r="E76" i="1"/>
  <c r="G76" i="1"/>
  <c r="C78" i="1"/>
  <c r="C76" i="1" s="1"/>
  <c r="D82" i="1"/>
  <c r="D76" i="1" s="1"/>
  <c r="F82" i="1"/>
  <c r="F76" i="1"/>
  <c r="C85" i="1"/>
  <c r="D85" i="1"/>
  <c r="E85" i="1"/>
  <c r="C88" i="1"/>
  <c r="D88" i="1"/>
  <c r="E88" i="1"/>
  <c r="F88" i="1"/>
  <c r="G88" i="1"/>
  <c r="E104" i="1"/>
  <c r="G110" i="1"/>
  <c r="C112" i="1"/>
  <c r="C104" i="1" s="1"/>
  <c r="D112" i="1"/>
  <c r="D104" i="1" s="1"/>
  <c r="G112" i="1"/>
  <c r="F114" i="1"/>
  <c r="F104" i="1" s="1"/>
  <c r="C117" i="1"/>
  <c r="D117" i="1"/>
  <c r="E117" i="1"/>
  <c r="F117" i="1"/>
  <c r="G117" i="1"/>
  <c r="C129" i="1"/>
  <c r="D129" i="1"/>
  <c r="E129" i="1"/>
  <c r="F129" i="1"/>
  <c r="G129" i="1"/>
  <c r="E144" i="1"/>
  <c r="F144" i="1"/>
  <c r="C145" i="1"/>
  <c r="D145" i="1"/>
  <c r="E145" i="1"/>
  <c r="G145" i="1"/>
  <c r="F150" i="1"/>
  <c r="F145" i="1" s="1"/>
  <c r="C163" i="1"/>
  <c r="D163" i="1"/>
  <c r="E163" i="1"/>
  <c r="F163" i="1"/>
  <c r="G163" i="1"/>
  <c r="G178" i="1"/>
  <c r="C179" i="1"/>
  <c r="D179" i="1"/>
  <c r="E179" i="1"/>
  <c r="F179" i="1"/>
  <c r="G182" i="1"/>
  <c r="G179" i="1" s="1"/>
  <c r="C192" i="1"/>
  <c r="C177" i="1" s="1"/>
  <c r="C6" i="1" s="1"/>
  <c r="D192" i="1"/>
  <c r="E192" i="1"/>
  <c r="F192" i="1"/>
  <c r="G192" i="1"/>
  <c r="C199" i="1"/>
  <c r="D199" i="1"/>
  <c r="E199" i="1"/>
  <c r="F199" i="1"/>
  <c r="G199" i="1"/>
  <c r="C202" i="1"/>
  <c r="D202" i="1"/>
  <c r="E202" i="1"/>
  <c r="G202" i="1"/>
  <c r="C203" i="1"/>
  <c r="D203" i="1"/>
  <c r="E203" i="1"/>
  <c r="F203" i="1"/>
  <c r="G203" i="1"/>
  <c r="C215" i="1"/>
  <c r="D215" i="1"/>
  <c r="E215" i="1"/>
  <c r="F215" i="1"/>
  <c r="G215" i="1"/>
  <c r="C223" i="1"/>
  <c r="D223" i="1"/>
  <c r="G223" i="1"/>
  <c r="E227" i="1"/>
  <c r="E223" i="1" s="1"/>
  <c r="F227" i="1"/>
  <c r="F223" i="1" s="1"/>
  <c r="C230" i="1"/>
  <c r="D230" i="1"/>
  <c r="E230" i="1"/>
  <c r="F230" i="1"/>
  <c r="G230" i="1"/>
  <c r="C235" i="1"/>
  <c r="D235" i="1"/>
  <c r="E235" i="1"/>
  <c r="F235" i="1"/>
  <c r="G235" i="1"/>
  <c r="C246" i="1"/>
  <c r="D246" i="1"/>
  <c r="E246" i="1"/>
  <c r="F246" i="1"/>
  <c r="G246" i="1"/>
  <c r="C255" i="1"/>
  <c r="D255" i="1"/>
  <c r="G255" i="1"/>
  <c r="C259" i="1"/>
  <c r="D259" i="1"/>
  <c r="E259" i="1"/>
  <c r="E254" i="1" s="1"/>
  <c r="G259" i="1"/>
  <c r="F261" i="1"/>
  <c r="F259" i="1" s="1"/>
  <c r="F254" i="1" s="1"/>
  <c r="F9" i="1" s="1"/>
  <c r="D268" i="1"/>
  <c r="E268" i="1"/>
  <c r="F268" i="1"/>
  <c r="G268" i="1"/>
  <c r="C270" i="1"/>
  <c r="C268" i="1" s="1"/>
  <c r="D272" i="1"/>
  <c r="E272" i="1"/>
  <c r="F272" i="1"/>
  <c r="G272" i="1"/>
  <c r="C274" i="1"/>
  <c r="C272" i="1" s="1"/>
  <c r="C277" i="1"/>
  <c r="D277" i="1"/>
  <c r="E277" i="1"/>
  <c r="F277" i="1"/>
  <c r="G277" i="1"/>
  <c r="E281" i="1"/>
  <c r="C282" i="1"/>
  <c r="C281" i="1" s="1"/>
  <c r="D282" i="1"/>
  <c r="D281" i="1" s="1"/>
  <c r="F282" i="1"/>
  <c r="F281" i="1"/>
  <c r="G282" i="1"/>
  <c r="G281" i="1" s="1"/>
  <c r="C293" i="1"/>
  <c r="D293" i="1"/>
  <c r="E293" i="1"/>
  <c r="F293" i="1"/>
  <c r="G293" i="1"/>
  <c r="C298" i="1"/>
  <c r="D298" i="1"/>
  <c r="E298" i="1"/>
  <c r="F298" i="1"/>
  <c r="G298" i="1"/>
  <c r="C302" i="1"/>
  <c r="C301" i="1" s="1"/>
  <c r="C18" i="1" s="1"/>
  <c r="D302" i="1"/>
  <c r="D301" i="1" s="1"/>
  <c r="D18" i="1" s="1"/>
  <c r="E302" i="1"/>
  <c r="E301" i="1" s="1"/>
  <c r="E18" i="1" s="1"/>
  <c r="F302" i="1"/>
  <c r="F301" i="1" s="1"/>
  <c r="F18" i="1" s="1"/>
  <c r="G302" i="1"/>
  <c r="G301" i="1" s="1"/>
  <c r="G18" i="1" s="1"/>
  <c r="C316" i="1"/>
  <c r="D316" i="1"/>
  <c r="E316" i="1"/>
  <c r="F316" i="1"/>
  <c r="G316" i="1"/>
  <c r="C319" i="1"/>
  <c r="D319" i="1"/>
  <c r="E319" i="1"/>
  <c r="F319" i="1"/>
  <c r="G319" i="1"/>
  <c r="C325" i="1"/>
  <c r="D325" i="1"/>
  <c r="E325" i="1"/>
  <c r="F325" i="1"/>
  <c r="G325" i="1"/>
  <c r="C333" i="1"/>
  <c r="D333" i="1"/>
  <c r="E333" i="1"/>
  <c r="F333" i="1"/>
  <c r="G333" i="1"/>
  <c r="C339" i="1"/>
  <c r="C338" i="1" s="1"/>
  <c r="D339" i="1"/>
  <c r="D338" i="1"/>
  <c r="E339" i="1"/>
  <c r="E338" i="1" s="1"/>
  <c r="F339" i="1"/>
  <c r="F338" i="1" s="1"/>
  <c r="G339" i="1"/>
  <c r="G338" i="1" s="1"/>
  <c r="C348" i="1"/>
  <c r="D348" i="1"/>
  <c r="E348" i="1"/>
  <c r="F348" i="1"/>
  <c r="G348" i="1"/>
  <c r="C351" i="1"/>
  <c r="D351" i="1"/>
  <c r="E351" i="1"/>
  <c r="F351" i="1"/>
  <c r="G351" i="1"/>
  <c r="C356" i="1"/>
  <c r="D356" i="1"/>
  <c r="E356" i="1"/>
  <c r="F356" i="1"/>
  <c r="G356" i="1"/>
  <c r="G355" i="1" s="1"/>
  <c r="G21" i="1" s="1"/>
  <c r="C361" i="1"/>
  <c r="D361" i="1"/>
  <c r="E361" i="1"/>
  <c r="F361" i="1"/>
  <c r="G361" i="1"/>
  <c r="C368" i="1"/>
  <c r="D368" i="1"/>
  <c r="E368" i="1"/>
  <c r="F368" i="1"/>
  <c r="G368" i="1"/>
  <c r="C371" i="1"/>
  <c r="D371" i="1"/>
  <c r="E371" i="1"/>
  <c r="F371" i="1"/>
  <c r="G383" i="1"/>
  <c r="G371" i="1" s="1"/>
  <c r="C392" i="1"/>
  <c r="D392" i="1"/>
  <c r="E392" i="1"/>
  <c r="F392" i="1"/>
  <c r="G392" i="1"/>
  <c r="C427" i="1"/>
  <c r="D427" i="1"/>
  <c r="E427" i="1"/>
  <c r="F427" i="1"/>
  <c r="G427" i="1"/>
  <c r="C433" i="1"/>
  <c r="D433" i="1"/>
  <c r="E433" i="1"/>
  <c r="F433" i="1"/>
  <c r="G433" i="1"/>
  <c r="C435" i="1"/>
  <c r="D435" i="1"/>
  <c r="E435" i="1"/>
  <c r="F435" i="1"/>
  <c r="G435" i="1"/>
  <c r="C446" i="1"/>
  <c r="D446" i="1"/>
  <c r="E446" i="1"/>
  <c r="F446" i="1"/>
  <c r="G446" i="1"/>
  <c r="C449" i="1"/>
  <c r="D449" i="1"/>
  <c r="E449" i="1"/>
  <c r="F449" i="1"/>
  <c r="G449" i="1"/>
  <c r="C455" i="1"/>
  <c r="D455" i="1"/>
  <c r="E455" i="1"/>
  <c r="F455" i="1"/>
  <c r="G455" i="1"/>
  <c r="C469" i="1"/>
  <c r="D469" i="1"/>
  <c r="E469" i="1"/>
  <c r="F469" i="1"/>
  <c r="G469" i="1"/>
  <c r="C472" i="1"/>
  <c r="D472" i="1"/>
  <c r="E472" i="1"/>
  <c r="F472" i="1"/>
  <c r="G472" i="1"/>
  <c r="C476" i="1"/>
  <c r="C25" i="1" s="1"/>
  <c r="D476" i="1"/>
  <c r="D25" i="1" s="1"/>
  <c r="E476" i="1"/>
  <c r="E25" i="1" s="1"/>
  <c r="F476" i="1"/>
  <c r="F25" i="1" s="1"/>
  <c r="G476" i="1"/>
  <c r="G25" i="1" s="1"/>
  <c r="C481" i="1"/>
  <c r="C26" i="1" s="1"/>
  <c r="D481" i="1"/>
  <c r="D26" i="1" s="1"/>
  <c r="E481" i="1"/>
  <c r="E26" i="1" s="1"/>
  <c r="F481" i="1"/>
  <c r="F26" i="1" s="1"/>
  <c r="G481" i="1"/>
  <c r="G26" i="1" s="1"/>
  <c r="E486" i="1"/>
  <c r="G486" i="1"/>
  <c r="C487" i="1"/>
  <c r="C490" i="1"/>
  <c r="F492" i="1"/>
  <c r="F28" i="1" s="1"/>
  <c r="C493" i="1"/>
  <c r="C496" i="1"/>
  <c r="D496" i="1"/>
  <c r="D492" i="1" s="1"/>
  <c r="D28" i="1" s="1"/>
  <c r="E496" i="1"/>
  <c r="E492" i="1" s="1"/>
  <c r="E28" i="1" s="1"/>
  <c r="G496" i="1"/>
  <c r="G492" i="1" s="1"/>
  <c r="G28" i="1" s="1"/>
  <c r="C503" i="1"/>
  <c r="C29" i="1" s="1"/>
  <c r="E503" i="1"/>
  <c r="E29" i="1" s="1"/>
  <c r="G503" i="1"/>
  <c r="G29" i="1" s="1"/>
  <c r="C507" i="1"/>
  <c r="C30" i="1" s="1"/>
  <c r="D507" i="1"/>
  <c r="D30" i="1" s="1"/>
  <c r="E507" i="1"/>
  <c r="E30" i="1" s="1"/>
  <c r="F507" i="1"/>
  <c r="F30" i="1" s="1"/>
  <c r="G507" i="1"/>
  <c r="G30" i="1" s="1"/>
  <c r="D514" i="1"/>
  <c r="E514" i="1"/>
  <c r="F514" i="1"/>
  <c r="G514" i="1"/>
  <c r="D515" i="1"/>
  <c r="E515" i="1"/>
  <c r="F515" i="1"/>
  <c r="D516" i="1"/>
  <c r="E516" i="1"/>
  <c r="F516" i="1"/>
  <c r="D518" i="1"/>
  <c r="E518" i="1"/>
  <c r="F518" i="1"/>
  <c r="C519" i="1"/>
  <c r="C520" i="1"/>
  <c r="G520" i="1"/>
  <c r="G521" i="1"/>
  <c r="D523" i="1"/>
  <c r="E523" i="1"/>
  <c r="F523" i="1"/>
  <c r="G523" i="1"/>
  <c r="C524" i="1"/>
  <c r="C523" i="1" s="1"/>
  <c r="D528" i="1"/>
  <c r="E528" i="1"/>
  <c r="F528" i="1"/>
  <c r="C529" i="1"/>
  <c r="C530" i="1"/>
  <c r="G530" i="1"/>
  <c r="G528" i="1" s="1"/>
  <c r="C531" i="1"/>
  <c r="C516" i="1" s="1"/>
  <c r="C534" i="1"/>
  <c r="D535" i="1"/>
  <c r="E535" i="1"/>
  <c r="F535" i="1"/>
  <c r="G535" i="1"/>
  <c r="C536" i="1"/>
  <c r="D536" i="1"/>
  <c r="E536" i="1"/>
  <c r="F536" i="1"/>
  <c r="D537" i="1"/>
  <c r="E537" i="1"/>
  <c r="F537" i="1"/>
  <c r="D539" i="1"/>
  <c r="E539" i="1"/>
  <c r="F539" i="1"/>
  <c r="C540" i="1"/>
  <c r="C542" i="1"/>
  <c r="G542" i="1"/>
  <c r="D544" i="1"/>
  <c r="E544" i="1"/>
  <c r="F544" i="1"/>
  <c r="G544" i="1"/>
  <c r="C545" i="1"/>
  <c r="D549" i="1"/>
  <c r="E549" i="1"/>
  <c r="F549" i="1"/>
  <c r="C550" i="1"/>
  <c r="C549" i="1" s="1"/>
  <c r="G551" i="1"/>
  <c r="G552" i="1"/>
  <c r="D554" i="1"/>
  <c r="E554" i="1"/>
  <c r="F554" i="1"/>
  <c r="C555" i="1"/>
  <c r="C554" i="1" s="1"/>
  <c r="C557" i="1"/>
  <c r="G557" i="1"/>
  <c r="G554" i="1" s="1"/>
  <c r="D560" i="1"/>
  <c r="D559" i="1" s="1"/>
  <c r="E560" i="1"/>
  <c r="E559" i="1" s="1"/>
  <c r="F560" i="1"/>
  <c r="F559" i="1" s="1"/>
  <c r="C561" i="1"/>
  <c r="C562" i="1"/>
  <c r="C563" i="1"/>
  <c r="G563" i="1"/>
  <c r="G560" i="1" s="1"/>
  <c r="G559" i="1" s="1"/>
  <c r="D566" i="1"/>
  <c r="E566" i="1"/>
  <c r="F566" i="1"/>
  <c r="C567" i="1"/>
  <c r="C568" i="1"/>
  <c r="G568" i="1"/>
  <c r="G566" i="1" s="1"/>
  <c r="C569" i="1"/>
  <c r="C570" i="1"/>
  <c r="D570" i="1"/>
  <c r="E570" i="1"/>
  <c r="F570" i="1"/>
  <c r="G571" i="1"/>
  <c r="G570" i="1" s="1"/>
  <c r="D573" i="1"/>
  <c r="E573" i="1"/>
  <c r="F573" i="1"/>
  <c r="G573" i="1"/>
  <c r="C577" i="1"/>
  <c r="C573" i="1" s="1"/>
  <c r="C578" i="1"/>
  <c r="D578" i="1"/>
  <c r="E578" i="1"/>
  <c r="F578" i="1"/>
  <c r="G578" i="1"/>
  <c r="D583" i="1"/>
  <c r="D581" i="1" s="1"/>
  <c r="E583" i="1"/>
  <c r="E581" i="1" s="1"/>
  <c r="F583" i="1"/>
  <c r="F581" i="1" s="1"/>
  <c r="C584" i="1"/>
  <c r="C583" i="1" s="1"/>
  <c r="C581" i="1" s="1"/>
  <c r="G587" i="1"/>
  <c r="G583" i="1" s="1"/>
  <c r="G581" i="1" s="1"/>
  <c r="C588" i="1"/>
  <c r="D588" i="1"/>
  <c r="E588" i="1"/>
  <c r="F588" i="1"/>
  <c r="G588" i="1"/>
  <c r="D591" i="1"/>
  <c r="D590" i="1" s="1"/>
  <c r="E591" i="1"/>
  <c r="E590" i="1" s="1"/>
  <c r="F591" i="1"/>
  <c r="F590" i="1" s="1"/>
  <c r="C603" i="1"/>
  <c r="C591" i="1" s="1"/>
  <c r="C590" i="1" s="1"/>
  <c r="G603" i="1"/>
  <c r="G591" i="1" s="1"/>
  <c r="G590" i="1" s="1"/>
  <c r="C606" i="1"/>
  <c r="C605" i="1" s="1"/>
  <c r="G606" i="1"/>
  <c r="G604" i="1" s="1"/>
  <c r="G35" i="1" s="1"/>
  <c r="C609" i="1"/>
  <c r="C610" i="1"/>
  <c r="C611" i="1"/>
  <c r="C613" i="1"/>
  <c r="D614" i="1"/>
  <c r="D608" i="1" s="1"/>
  <c r="D36" i="1" s="1"/>
  <c r="E614" i="1"/>
  <c r="E608" i="1" s="1"/>
  <c r="E36" i="1" s="1"/>
  <c r="F614" i="1"/>
  <c r="F608" i="1" s="1"/>
  <c r="F36" i="1" s="1"/>
  <c r="C615" i="1"/>
  <c r="G615" i="1"/>
  <c r="C616" i="1"/>
  <c r="C617" i="1"/>
  <c r="C618" i="1"/>
  <c r="C619" i="1"/>
  <c r="G619" i="1"/>
  <c r="C622" i="1"/>
  <c r="C623" i="1"/>
  <c r="C626" i="1"/>
  <c r="D627" i="1"/>
  <c r="D625" i="1" s="1"/>
  <c r="D37" i="1" s="1"/>
  <c r="E627" i="1"/>
  <c r="E625" i="1" s="1"/>
  <c r="E37" i="1" s="1"/>
  <c r="F627" i="1"/>
  <c r="F625" i="1" s="1"/>
  <c r="F37" i="1" s="1"/>
  <c r="C628" i="1"/>
  <c r="C629" i="1"/>
  <c r="C630" i="1"/>
  <c r="G630" i="1"/>
  <c r="G627" i="1" s="1"/>
  <c r="G625" i="1" s="1"/>
  <c r="G37" i="1" s="1"/>
  <c r="C638" i="1"/>
  <c r="D638" i="1"/>
  <c r="E638" i="1"/>
  <c r="F638" i="1"/>
  <c r="G638" i="1"/>
  <c r="C642" i="1"/>
  <c r="D642" i="1"/>
  <c r="E642" i="1"/>
  <c r="F642" i="1"/>
  <c r="G642" i="1"/>
  <c r="C644" i="1"/>
  <c r="D644" i="1"/>
  <c r="E644" i="1"/>
  <c r="F644" i="1"/>
  <c r="G644" i="1"/>
  <c r="C646" i="1"/>
  <c r="D646" i="1"/>
  <c r="E646" i="1"/>
  <c r="F646" i="1"/>
  <c r="G646" i="1"/>
  <c r="C649" i="1"/>
  <c r="D649" i="1"/>
  <c r="E649" i="1"/>
  <c r="F649" i="1"/>
  <c r="G649" i="1"/>
  <c r="C651" i="1"/>
  <c r="D651" i="1"/>
  <c r="E651" i="1"/>
  <c r="F651" i="1"/>
  <c r="G651" i="1"/>
  <c r="C653" i="1"/>
  <c r="D653" i="1"/>
  <c r="E653" i="1"/>
  <c r="F653" i="1"/>
  <c r="G653" i="1"/>
  <c r="C655" i="1"/>
  <c r="D655" i="1"/>
  <c r="E655" i="1"/>
  <c r="F655" i="1"/>
  <c r="G655" i="1"/>
  <c r="C663" i="1"/>
  <c r="C662" i="1" s="1"/>
  <c r="C40" i="1" s="1"/>
  <c r="D663" i="1"/>
  <c r="D662" i="1" s="1"/>
  <c r="D40" i="1" s="1"/>
  <c r="E663" i="1"/>
  <c r="E662" i="1" s="1"/>
  <c r="E40" i="1" s="1"/>
  <c r="F663" i="1"/>
  <c r="F662" i="1" s="1"/>
  <c r="F40" i="1" s="1"/>
  <c r="G663" i="1"/>
  <c r="G662" i="1" s="1"/>
  <c r="G40" i="1" s="1"/>
  <c r="C674" i="1"/>
  <c r="C673" i="1" s="1"/>
  <c r="C41" i="1" s="1"/>
  <c r="G674" i="1"/>
  <c r="G673" i="1" s="1"/>
  <c r="G41" i="1" s="1"/>
  <c r="E675" i="1"/>
  <c r="E42" i="1" s="1"/>
  <c r="E676" i="1"/>
  <c r="E43" i="1" s="1"/>
  <c r="E677" i="1"/>
  <c r="E44" i="1" s="1"/>
  <c r="C687" i="1"/>
  <c r="E687" i="1"/>
  <c r="F687" i="1"/>
  <c r="D688" i="1"/>
  <c r="G689" i="1"/>
  <c r="G687" i="1" s="1"/>
  <c r="D690" i="1"/>
  <c r="C694" i="1"/>
  <c r="E694" i="1"/>
  <c r="F694" i="1"/>
  <c r="D696" i="1"/>
  <c r="D697" i="1"/>
  <c r="G698" i="1"/>
  <c r="G694" i="1" s="1"/>
  <c r="C706" i="1"/>
  <c r="F706" i="1"/>
  <c r="G706" i="1"/>
  <c r="D707" i="1"/>
  <c r="E707" i="1"/>
  <c r="E706" i="1" s="1"/>
  <c r="E705" i="1" s="1"/>
  <c r="E704" i="1" s="1"/>
  <c r="D708" i="1"/>
  <c r="C711" i="1"/>
  <c r="E711" i="1"/>
  <c r="F711" i="1"/>
  <c r="G711" i="1"/>
  <c r="D712" i="1"/>
  <c r="D711" i="1" s="1"/>
  <c r="E718" i="1"/>
  <c r="F718" i="1"/>
  <c r="G718" i="1"/>
  <c r="C719" i="1"/>
  <c r="C718" i="1" s="1"/>
  <c r="D719" i="1"/>
  <c r="D718" i="1" s="1"/>
  <c r="E722" i="1"/>
  <c r="C723" i="1"/>
  <c r="F723" i="1"/>
  <c r="G723" i="1"/>
  <c r="D724" i="1"/>
  <c r="D723" i="1" s="1"/>
  <c r="F726" i="1"/>
  <c r="G726" i="1"/>
  <c r="C727" i="1"/>
  <c r="C726" i="1" s="1"/>
  <c r="C722" i="1" s="1"/>
  <c r="D727" i="1"/>
  <c r="D726" i="1" s="1"/>
  <c r="C730" i="1"/>
  <c r="D730" i="1"/>
  <c r="F730" i="1"/>
  <c r="G730" i="1"/>
  <c r="E735" i="1"/>
  <c r="F735" i="1"/>
  <c r="G735" i="1"/>
  <c r="C736" i="1"/>
  <c r="D736" i="1"/>
  <c r="D737" i="1"/>
  <c r="C738" i="1"/>
  <c r="C747" i="1"/>
  <c r="D747" i="1"/>
  <c r="E747" i="1"/>
  <c r="F747" i="1"/>
  <c r="G747" i="1"/>
  <c r="E751" i="1"/>
  <c r="C753" i="1"/>
  <c r="C751" i="1" s="1"/>
  <c r="D753" i="1"/>
  <c r="D751" i="1" s="1"/>
  <c r="F753" i="1"/>
  <c r="F751" i="1" s="1"/>
  <c r="G753" i="1"/>
  <c r="G751" i="1" s="1"/>
  <c r="F756" i="1"/>
  <c r="D757" i="1"/>
  <c r="C758" i="1"/>
  <c r="C756" i="1" s="1"/>
  <c r="E758" i="1"/>
  <c r="E756" i="1" s="1"/>
  <c r="G758" i="1"/>
  <c r="G756" i="1" s="1"/>
  <c r="F759" i="1"/>
  <c r="D760" i="1"/>
  <c r="D758" i="1" s="1"/>
  <c r="C764" i="1"/>
  <c r="D764" i="1"/>
  <c r="E764" i="1"/>
  <c r="F764" i="1"/>
  <c r="C768" i="1"/>
  <c r="C766" i="1"/>
  <c r="E768" i="1"/>
  <c r="E766" i="1" s="1"/>
  <c r="F768" i="1"/>
  <c r="F766" i="1" s="1"/>
  <c r="G768" i="1"/>
  <c r="G766" i="1" s="1"/>
  <c r="D770" i="1"/>
  <c r="D771" i="1"/>
  <c r="D772" i="1"/>
  <c r="D773" i="1"/>
  <c r="D776" i="1"/>
  <c r="D778" i="1"/>
  <c r="F779" i="1"/>
  <c r="E783" i="1"/>
  <c r="F783" i="1"/>
  <c r="G783" i="1"/>
  <c r="C784" i="1"/>
  <c r="C783" i="1" s="1"/>
  <c r="D784" i="1"/>
  <c r="D786" i="1"/>
  <c r="D787" i="1"/>
  <c r="D790" i="1"/>
  <c r="C798" i="1"/>
  <c r="D798" i="1"/>
  <c r="E798" i="1"/>
  <c r="F798" i="1"/>
  <c r="G798" i="1"/>
  <c r="E803" i="1"/>
  <c r="G803" i="1"/>
  <c r="D805" i="1"/>
  <c r="C808" i="1"/>
  <c r="C803" i="1" s="1"/>
  <c r="D808" i="1"/>
  <c r="D811" i="1"/>
  <c r="F811" i="1"/>
  <c r="F803" i="1" s="1"/>
  <c r="E820" i="1"/>
  <c r="E818" i="1" s="1"/>
  <c r="F820" i="1"/>
  <c r="F818" i="1" s="1"/>
  <c r="F816" i="1" s="1"/>
  <c r="G820" i="1"/>
  <c r="G818" i="1" s="1"/>
  <c r="C821" i="1"/>
  <c r="C820" i="1" s="1"/>
  <c r="C818" i="1" s="1"/>
  <c r="D821" i="1"/>
  <c r="D820" i="1" s="1"/>
  <c r="D818" i="1" s="1"/>
  <c r="E831" i="1"/>
  <c r="E829" i="1" s="1"/>
  <c r="F831" i="1"/>
  <c r="F829" i="1" s="1"/>
  <c r="G831" i="1"/>
  <c r="G829" i="1" s="1"/>
  <c r="D833" i="1"/>
  <c r="C835" i="1"/>
  <c r="C831" i="1" s="1"/>
  <c r="C829" i="1" s="1"/>
  <c r="C816" i="1" s="1"/>
  <c r="D835" i="1"/>
  <c r="D831" i="1" s="1"/>
  <c r="D829" i="1" s="1"/>
  <c r="D836" i="1"/>
  <c r="D842" i="1"/>
  <c r="E843" i="1"/>
  <c r="F843" i="1"/>
  <c r="G843" i="1"/>
  <c r="D844" i="1"/>
  <c r="D845" i="1"/>
  <c r="D847" i="1"/>
  <c r="C848" i="1"/>
  <c r="C843" i="1" s="1"/>
  <c r="D848" i="1"/>
  <c r="C854" i="1"/>
  <c r="C849" i="1" s="1"/>
  <c r="E854" i="1"/>
  <c r="E849" i="1" s="1"/>
  <c r="F854" i="1"/>
  <c r="F849" i="1"/>
  <c r="G854" i="1"/>
  <c r="G849" i="1" s="1"/>
  <c r="D858" i="1"/>
  <c r="D860" i="1"/>
  <c r="D861" i="1"/>
  <c r="D862" i="1"/>
  <c r="C872" i="1"/>
  <c r="D872" i="1"/>
  <c r="E872" i="1"/>
  <c r="C876" i="1"/>
  <c r="C875" i="1" s="1"/>
  <c r="E876" i="1"/>
  <c r="E875" i="1" s="1"/>
  <c r="F876" i="1"/>
  <c r="F875" i="1" s="1"/>
  <c r="G876" i="1"/>
  <c r="G875" i="1" s="1"/>
  <c r="D878" i="1"/>
  <c r="D876" i="1" s="1"/>
  <c r="D875" i="1" s="1"/>
  <c r="D879" i="1"/>
  <c r="E879" i="1"/>
  <c r="F879" i="1"/>
  <c r="G879" i="1"/>
  <c r="C880" i="1"/>
  <c r="C879" i="1" s="1"/>
  <c r="C886" i="1"/>
  <c r="D886" i="1"/>
  <c r="E886" i="1"/>
  <c r="F886" i="1"/>
  <c r="C891" i="1"/>
  <c r="C885" i="1" s="1"/>
  <c r="C47" i="1" s="1"/>
  <c r="D891" i="1"/>
  <c r="E891" i="1"/>
  <c r="F891" i="1"/>
  <c r="G891" i="1"/>
  <c r="G885" i="1" s="1"/>
  <c r="G47" i="1" s="1"/>
  <c r="C901" i="1"/>
  <c r="D901" i="1"/>
  <c r="E901" i="1"/>
  <c r="F901" i="1"/>
  <c r="G901" i="1"/>
  <c r="D902" i="1"/>
  <c r="E902" i="1"/>
  <c r="F902" i="1"/>
  <c r="D906" i="1"/>
  <c r="E906" i="1"/>
  <c r="F906" i="1"/>
  <c r="G906" i="1"/>
  <c r="C907" i="1"/>
  <c r="C906" i="1" s="1"/>
  <c r="C910" i="1"/>
  <c r="D910" i="1"/>
  <c r="E910" i="1"/>
  <c r="F910" i="1"/>
  <c r="G910" i="1"/>
  <c r="C913" i="1"/>
  <c r="D913" i="1"/>
  <c r="E913" i="1"/>
  <c r="F913" i="1"/>
  <c r="G913" i="1"/>
  <c r="D919" i="1"/>
  <c r="E919" i="1"/>
  <c r="F919" i="1"/>
  <c r="C920" i="1"/>
  <c r="C919" i="1" s="1"/>
  <c r="G921" i="1"/>
  <c r="G919" i="1" s="1"/>
  <c r="I16" i="2"/>
  <c r="I25" i="2"/>
  <c r="D37" i="2"/>
  <c r="J37" i="2"/>
  <c r="K37" i="2"/>
  <c r="H37" i="2"/>
  <c r="F52" i="2"/>
  <c r="J52" i="2"/>
  <c r="K52" i="2"/>
  <c r="D52" i="2"/>
  <c r="D79" i="2"/>
  <c r="H79" i="2"/>
  <c r="I36" i="2"/>
  <c r="J94" i="2"/>
  <c r="K94" i="2"/>
  <c r="D132" i="2"/>
  <c r="D160" i="2"/>
  <c r="F160" i="2"/>
  <c r="H160" i="2"/>
  <c r="I160" i="2"/>
  <c r="D164" i="2"/>
  <c r="F164" i="2"/>
  <c r="H164" i="2"/>
  <c r="I164" i="2"/>
  <c r="J181" i="2"/>
  <c r="K181" i="2"/>
  <c r="D189" i="2"/>
  <c r="F189" i="2"/>
  <c r="H189" i="2"/>
  <c r="I189" i="2"/>
  <c r="D210" i="2"/>
  <c r="F210" i="2"/>
  <c r="H210" i="2"/>
  <c r="I210" i="2"/>
  <c r="J210" i="2"/>
  <c r="K210" i="2"/>
  <c r="J228" i="2"/>
  <c r="K228" i="2"/>
  <c r="D228" i="2"/>
  <c r="I228" i="2"/>
  <c r="J574" i="2"/>
  <c r="K574" i="2"/>
  <c r="F577" i="2"/>
  <c r="H577" i="2"/>
  <c r="J577" i="2"/>
  <c r="I577" i="2"/>
  <c r="D585" i="2"/>
  <c r="D583" i="2" s="1"/>
  <c r="F585" i="2"/>
  <c r="F583" i="2" s="1"/>
  <c r="H585" i="2"/>
  <c r="H583" i="2" s="1"/>
  <c r="I585" i="2"/>
  <c r="I583" i="2" s="1"/>
  <c r="F592" i="2"/>
  <c r="H592" i="2"/>
  <c r="I592" i="2"/>
  <c r="J592" i="2"/>
  <c r="K592" i="2"/>
  <c r="J698" i="2"/>
  <c r="J690" i="2" s="1"/>
  <c r="K698" i="2"/>
  <c r="K690" i="2" s="1"/>
  <c r="J712" i="2"/>
  <c r="J709" i="2" s="1"/>
  <c r="K712" i="2"/>
  <c r="K709" i="2" s="1"/>
  <c r="I722" i="2"/>
  <c r="J722" i="2"/>
  <c r="K722" i="2"/>
  <c r="D725" i="2"/>
  <c r="D719" i="2" s="1"/>
  <c r="F725" i="2"/>
  <c r="F719" i="2" s="1"/>
  <c r="H725" i="2"/>
  <c r="H719" i="2" s="1"/>
  <c r="I725" i="2"/>
  <c r="J725" i="2"/>
  <c r="K725" i="2"/>
  <c r="J727" i="2"/>
  <c r="K727" i="2"/>
  <c r="D735" i="2"/>
  <c r="F735" i="2"/>
  <c r="H735" i="2"/>
  <c r="I735" i="2"/>
  <c r="J735" i="2"/>
  <c r="K735" i="2"/>
  <c r="H750" i="2"/>
  <c r="K751" i="2"/>
  <c r="K750" i="2" s="1"/>
  <c r="J925" i="2"/>
  <c r="K925" i="2"/>
  <c r="D930" i="2"/>
  <c r="D924" i="2" s="1"/>
  <c r="F930" i="2"/>
  <c r="H930" i="2"/>
  <c r="H924" i="2" s="1"/>
  <c r="I930" i="2"/>
  <c r="I924" i="2" s="1"/>
  <c r="J930" i="2"/>
  <c r="K930" i="2"/>
  <c r="D945" i="2"/>
  <c r="D935" i="2" s="1"/>
  <c r="F945" i="2"/>
  <c r="F935" i="2" s="1"/>
  <c r="H945" i="2"/>
  <c r="H935" i="2" s="1"/>
  <c r="I945" i="2"/>
  <c r="I935" i="2" s="1"/>
  <c r="J945" i="2"/>
  <c r="J935" i="2" s="1"/>
  <c r="K945" i="2"/>
  <c r="K935" i="2" s="1"/>
  <c r="G536" i="1"/>
  <c r="C515" i="1"/>
  <c r="D885" i="1"/>
  <c r="D47" i="1" s="1"/>
  <c r="G539" i="1"/>
  <c r="G432" i="1"/>
  <c r="G23" i="1" s="1"/>
  <c r="C432" i="1"/>
  <c r="C23" i="1"/>
  <c r="D355" i="1"/>
  <c r="D21" i="1" s="1"/>
  <c r="I719" i="2" l="1"/>
  <c r="I718" i="2" s="1"/>
  <c r="D36" i="2"/>
  <c r="J719" i="2"/>
  <c r="J718" i="2" s="1"/>
  <c r="K719" i="2"/>
  <c r="K718" i="2" s="1"/>
  <c r="H718" i="2"/>
  <c r="D718" i="2"/>
  <c r="F718" i="2"/>
  <c r="I159" i="2"/>
  <c r="H132" i="2"/>
  <c r="I4" i="2"/>
  <c r="F4" i="2"/>
  <c r="D4" i="2"/>
  <c r="H4" i="2"/>
  <c r="C735" i="1"/>
  <c r="C492" i="1"/>
  <c r="C28" i="1" s="1"/>
  <c r="C280" i="1"/>
  <c r="C17" i="1" s="1"/>
  <c r="E267" i="1"/>
  <c r="E16" i="1" s="1"/>
  <c r="G104" i="1"/>
  <c r="G605" i="1"/>
  <c r="F899" i="1"/>
  <c r="F49" i="1" s="1"/>
  <c r="C705" i="1"/>
  <c r="C704" i="1" s="1"/>
  <c r="C702" i="1" s="1"/>
  <c r="C46" i="1" s="1"/>
  <c r="G679" i="1"/>
  <c r="G45" i="1" s="1"/>
  <c r="C254" i="1"/>
  <c r="C9" i="1" s="1"/>
  <c r="G515" i="1"/>
  <c r="G549" i="1"/>
  <c r="C539" i="1"/>
  <c r="F705" i="1"/>
  <c r="C566" i="1"/>
  <c r="E674" i="1"/>
  <c r="E673" i="1" s="1"/>
  <c r="E41" i="1" s="1"/>
  <c r="D533" i="1"/>
  <c r="G370" i="1"/>
  <c r="F355" i="1"/>
  <c r="F21" i="1" s="1"/>
  <c r="G280" i="1"/>
  <c r="G17" i="1" s="1"/>
  <c r="E679" i="1"/>
  <c r="E45" i="1" s="1"/>
  <c r="D687" i="1"/>
  <c r="G634" i="1"/>
  <c r="G39" i="1" s="1"/>
  <c r="C634" i="1"/>
  <c r="C39" i="1" s="1"/>
  <c r="C627" i="1"/>
  <c r="E513" i="1"/>
  <c r="E370" i="1"/>
  <c r="E22" i="1" s="1"/>
  <c r="F370" i="1"/>
  <c r="F22" i="1" s="1"/>
  <c r="F280" i="1"/>
  <c r="F17" i="1" s="1"/>
  <c r="F177" i="1"/>
  <c r="F6" i="1" s="1"/>
  <c r="G177" i="1"/>
  <c r="G6" i="1" s="1"/>
  <c r="D177" i="1"/>
  <c r="D6" i="1" s="1"/>
  <c r="F53" i="1"/>
  <c r="F4" i="1" s="1"/>
  <c r="E53" i="1"/>
  <c r="D899" i="1"/>
  <c r="D49" i="1" s="1"/>
  <c r="D803" i="1"/>
  <c r="D768" i="1"/>
  <c r="D766" i="1" s="1"/>
  <c r="G705" i="1"/>
  <c r="D694" i="1"/>
  <c r="D679" i="1" s="1"/>
  <c r="D45" i="1" s="1"/>
  <c r="G614" i="1"/>
  <c r="G608" i="1" s="1"/>
  <c r="G36" i="1" s="1"/>
  <c r="C560" i="1"/>
  <c r="C559" i="1" s="1"/>
  <c r="G518" i="1"/>
  <c r="F445" i="1"/>
  <c r="F24" i="1" s="1"/>
  <c r="G445" i="1"/>
  <c r="G354" i="1" s="1"/>
  <c r="D445" i="1"/>
  <c r="D24" i="1" s="1"/>
  <c r="F432" i="1"/>
  <c r="F23" i="1" s="1"/>
  <c r="D370" i="1"/>
  <c r="G254" i="1"/>
  <c r="C87" i="1"/>
  <c r="C5" i="1" s="1"/>
  <c r="C267" i="1"/>
  <c r="C633" i="1"/>
  <c r="C38" i="1" s="1"/>
  <c r="F315" i="1"/>
  <c r="F19" i="1" s="1"/>
  <c r="E885" i="1"/>
  <c r="E47" i="1" s="1"/>
  <c r="F565" i="1"/>
  <c r="G899" i="1"/>
  <c r="G49" i="1" s="1"/>
  <c r="F679" i="1"/>
  <c r="F45" i="1" s="1"/>
  <c r="C604" i="1"/>
  <c r="C35" i="1" s="1"/>
  <c r="D513" i="1"/>
  <c r="E432" i="1"/>
  <c r="E23" i="1" s="1"/>
  <c r="D254" i="1"/>
  <c r="D9" i="1" s="1"/>
  <c r="D198" i="1"/>
  <c r="D7" i="1" s="1"/>
  <c r="C528" i="1"/>
  <c r="G816" i="1"/>
  <c r="G782" i="1" s="1"/>
  <c r="G746" i="1"/>
  <c r="G734" i="1" s="1"/>
  <c r="C746" i="1"/>
  <c r="C734" i="1" s="1"/>
  <c r="F722" i="1"/>
  <c r="D706" i="1"/>
  <c r="D705" i="1" s="1"/>
  <c r="D704" i="1" s="1"/>
  <c r="C625" i="1"/>
  <c r="C37" i="1" s="1"/>
  <c r="C614" i="1"/>
  <c r="C608" i="1" s="1"/>
  <c r="C36" i="1" s="1"/>
  <c r="C535" i="1"/>
  <c r="F533" i="1"/>
  <c r="D432" i="1"/>
  <c r="D23" i="1" s="1"/>
  <c r="C355" i="1"/>
  <c r="C21" i="1" s="1"/>
  <c r="D280" i="1"/>
  <c r="D17" i="1" s="1"/>
  <c r="E198" i="1"/>
  <c r="D53" i="1"/>
  <c r="D4" i="1" s="1"/>
  <c r="D565" i="1"/>
  <c r="G87" i="1"/>
  <c r="F885" i="1"/>
  <c r="F47" i="1" s="1"/>
  <c r="F782" i="1"/>
  <c r="C679" i="1"/>
  <c r="C45" i="1" s="1"/>
  <c r="C514" i="1"/>
  <c r="C513" i="1" s="1"/>
  <c r="F513" i="1"/>
  <c r="C445" i="1"/>
  <c r="C24" i="1" s="1"/>
  <c r="E315" i="1"/>
  <c r="E19" i="1" s="1"/>
  <c r="E280" i="1"/>
  <c r="E17" i="1" s="1"/>
  <c r="C198" i="1"/>
  <c r="C7" i="1" s="1"/>
  <c r="E87" i="1"/>
  <c r="D87" i="1"/>
  <c r="D5" i="1" s="1"/>
  <c r="J751" i="2"/>
  <c r="J750" i="2" s="1"/>
  <c r="I751" i="2"/>
  <c r="I750" i="2" s="1"/>
  <c r="F751" i="2"/>
  <c r="F750" i="2" s="1"/>
  <c r="D751" i="2"/>
  <c r="D750" i="2" s="1"/>
  <c r="H52" i="2"/>
  <c r="H36" i="2" s="1"/>
  <c r="K237" i="2"/>
  <c r="J4" i="2"/>
  <c r="D159" i="2"/>
  <c r="K159" i="2"/>
  <c r="H159" i="2"/>
  <c r="K924" i="2"/>
  <c r="J237" i="2"/>
  <c r="K4" i="2"/>
  <c r="J924" i="2"/>
  <c r="K36" i="2"/>
  <c r="J36" i="2"/>
  <c r="J159" i="2"/>
  <c r="H228" i="2"/>
  <c r="I765" i="2"/>
  <c r="I757" i="2" s="1"/>
  <c r="D22" i="1"/>
  <c r="C899" i="1"/>
  <c r="C49" i="1" s="1"/>
  <c r="C782" i="1"/>
  <c r="D722" i="1"/>
  <c r="C565" i="1"/>
  <c r="G20" i="1"/>
  <c r="E746" i="1"/>
  <c r="E734" i="1" s="1"/>
  <c r="E565" i="1"/>
  <c r="C315" i="1"/>
  <c r="C19" i="1" s="1"/>
  <c r="F87" i="1"/>
  <c r="F5" i="1" s="1"/>
  <c r="C16" i="1"/>
  <c r="E899" i="1"/>
  <c r="E49" i="1" s="1"/>
  <c r="D854" i="1"/>
  <c r="D849" i="1" s="1"/>
  <c r="D816" i="1"/>
  <c r="D634" i="1"/>
  <c r="E634" i="1"/>
  <c r="G565" i="1"/>
  <c r="G633" i="1"/>
  <c r="G38" i="1" s="1"/>
  <c r="C370" i="1"/>
  <c r="C53" i="1"/>
  <c r="F704" i="1"/>
  <c r="D843" i="1"/>
  <c r="E816" i="1"/>
  <c r="E782" i="1" s="1"/>
  <c r="E702" i="1" s="1"/>
  <c r="D783" i="1"/>
  <c r="D756" i="1"/>
  <c r="D746" i="1" s="1"/>
  <c r="F746" i="1"/>
  <c r="F734" i="1" s="1"/>
  <c r="F634" i="1"/>
  <c r="C544" i="1"/>
  <c r="G516" i="1"/>
  <c r="G513" i="1" s="1"/>
  <c r="C518" i="1"/>
  <c r="D315" i="1"/>
  <c r="D19" i="1" s="1"/>
  <c r="D267" i="1"/>
  <c r="D735" i="1"/>
  <c r="G537" i="1"/>
  <c r="G533" i="1" s="1"/>
  <c r="E533" i="1"/>
  <c r="E512" i="1" s="1"/>
  <c r="C486" i="1"/>
  <c r="C27" i="1" s="1"/>
  <c r="E355" i="1"/>
  <c r="G315" i="1"/>
  <c r="G19" i="1" s="1"/>
  <c r="G267" i="1"/>
  <c r="F198" i="1"/>
  <c r="F7" i="1" s="1"/>
  <c r="G198" i="1"/>
  <c r="G53" i="1"/>
  <c r="G722" i="1"/>
  <c r="G704" i="1" s="1"/>
  <c r="C537" i="1"/>
  <c r="C533" i="1" s="1"/>
  <c r="E445" i="1"/>
  <c r="E24" i="1" s="1"/>
  <c r="F267" i="1"/>
  <c r="E177" i="1"/>
  <c r="I226" i="2" l="1"/>
  <c r="I235" i="2" s="1"/>
  <c r="F354" i="1"/>
  <c r="F20" i="1" s="1"/>
  <c r="E252" i="1"/>
  <c r="E263" i="1" s="1"/>
  <c r="F512" i="1"/>
  <c r="F32" i="1" s="1"/>
  <c r="K960" i="2"/>
  <c r="J960" i="2"/>
  <c r="C512" i="1"/>
  <c r="G702" i="1"/>
  <c r="D512" i="1"/>
  <c r="D511" i="1" s="1"/>
  <c r="D31" i="1" s="1"/>
  <c r="F511" i="1"/>
  <c r="F31" i="1" s="1"/>
  <c r="D354" i="1"/>
  <c r="D20" i="1" s="1"/>
  <c r="E266" i="1"/>
  <c r="E15" i="1" s="1"/>
  <c r="D252" i="1"/>
  <c r="D263" i="1" s="1"/>
  <c r="D10" i="1" s="1"/>
  <c r="G512" i="1"/>
  <c r="G511" i="1" s="1"/>
  <c r="F237" i="2"/>
  <c r="H237" i="2"/>
  <c r="H226" i="2"/>
  <c r="H235" i="2" s="1"/>
  <c r="F235" i="2"/>
  <c r="J226" i="2"/>
  <c r="J235" i="2" s="1"/>
  <c r="D226" i="2"/>
  <c r="D235" i="2" s="1"/>
  <c r="K226" i="2"/>
  <c r="K235" i="2" s="1"/>
  <c r="C32" i="1"/>
  <c r="C511" i="1"/>
  <c r="C31" i="1" s="1"/>
  <c r="C4" i="1"/>
  <c r="C252" i="1"/>
  <c r="C263" i="1" s="1"/>
  <c r="C10" i="1" s="1"/>
  <c r="F266" i="1"/>
  <c r="F16" i="1"/>
  <c r="G16" i="1"/>
  <c r="G266" i="1"/>
  <c r="F39" i="1"/>
  <c r="F633" i="1"/>
  <c r="F38" i="1" s="1"/>
  <c r="D782" i="1"/>
  <c r="C22" i="1"/>
  <c r="C354" i="1"/>
  <c r="C20" i="1" s="1"/>
  <c r="F252" i="1"/>
  <c r="C266" i="1"/>
  <c r="D39" i="1"/>
  <c r="D633" i="1"/>
  <c r="D38" i="1" s="1"/>
  <c r="D8" i="1"/>
  <c r="G252" i="1"/>
  <c r="G263" i="1" s="1"/>
  <c r="E21" i="1"/>
  <c r="E354" i="1"/>
  <c r="E20" i="1" s="1"/>
  <c r="D734" i="1"/>
  <c r="D16" i="1"/>
  <c r="D266" i="1"/>
  <c r="F702" i="1"/>
  <c r="F46" i="1" s="1"/>
  <c r="E511" i="1"/>
  <c r="E31" i="1" s="1"/>
  <c r="E32" i="1"/>
  <c r="E633" i="1"/>
  <c r="E38" i="1" s="1"/>
  <c r="E39" i="1"/>
  <c r="D32" i="1" l="1"/>
  <c r="D702" i="1"/>
  <c r="D46" i="1" s="1"/>
  <c r="H960" i="2"/>
  <c r="I960" i="2"/>
  <c r="F263" i="1"/>
  <c r="F10" i="1" s="1"/>
  <c r="F8" i="1"/>
  <c r="G922" i="1"/>
  <c r="G15" i="1"/>
  <c r="D922" i="1"/>
  <c r="D50" i="1" s="1"/>
  <c r="D12" i="1" s="1"/>
  <c r="D15" i="1"/>
  <c r="C922" i="1"/>
  <c r="C50" i="1" s="1"/>
  <c r="C12" i="1" s="1"/>
  <c r="C15" i="1"/>
  <c r="E922" i="1"/>
  <c r="F922" i="1"/>
  <c r="F50" i="1" s="1"/>
  <c r="F12" i="1" s="1"/>
  <c r="F15" i="1"/>
  <c r="E8" i="4"/>
  <c r="E10" i="4" s="1"/>
  <c r="G10" i="4"/>
  <c r="C8" i="4"/>
  <c r="C10" i="4" s="1"/>
  <c r="D8" i="4"/>
  <c r="D10" i="4" s="1"/>
  <c r="F8" i="4"/>
  <c r="F10" i="4" s="1"/>
  <c r="F924" i="2"/>
  <c r="F960" i="2" l="1"/>
  <c r="E31" i="4"/>
  <c r="E12" i="4" s="1"/>
  <c r="D960" i="2"/>
  <c r="C237" i="2"/>
  <c r="C960" i="2" s="1"/>
</calcChain>
</file>

<file path=xl/comments1.xml><?xml version="1.0" encoding="utf-8"?>
<comments xmlns="http://schemas.openxmlformats.org/spreadsheetml/2006/main">
  <authors>
    <author xml:space="preserve"> </author>
  </authors>
  <commentList>
    <comment ref="H628" authorId="0" shapeId="0">
      <text>
        <r>
          <rPr>
            <b/>
            <sz val="9"/>
            <color indexed="8"/>
            <rFont val="Tahoma"/>
            <family val="2"/>
            <charset val="238"/>
          </rPr>
          <t xml:space="preserve">Jana Holíková:
</t>
        </r>
        <r>
          <rPr>
            <sz val="9"/>
            <color indexed="8"/>
            <rFont val="Tahoma"/>
            <family val="2"/>
            <charset val="238"/>
          </rPr>
          <t>0381 019 6171:
50xx  43.827.695
5424     247.607
5167     507.759,10
5173     122.275
5192-5     0
------------------------
cel     44.952.943,10</t>
        </r>
      </text>
    </comment>
    <comment ref="D767" authorId="0" shapeId="0">
      <text>
        <r>
          <rPr>
            <b/>
            <sz val="9"/>
            <color indexed="8"/>
            <rFont val="Tahoma"/>
            <family val="2"/>
            <charset val="238"/>
          </rPr>
          <t xml:space="preserve">Gabriela Vlčková:
</t>
        </r>
        <r>
          <rPr>
            <sz val="9"/>
            <color indexed="8"/>
            <rFont val="Tahoma"/>
            <family val="2"/>
            <charset val="238"/>
          </rPr>
          <t>+391 tis. dotace</t>
        </r>
      </text>
    </comment>
    <comment ref="D812" authorId="0" shapeId="0">
      <text>
        <r>
          <rPr>
            <b/>
            <sz val="9"/>
            <color indexed="8"/>
            <rFont val="Tahoma"/>
            <family val="2"/>
            <charset val="238"/>
          </rPr>
          <t xml:space="preserve">Gabriela Vlčková:
</t>
        </r>
        <r>
          <rPr>
            <sz val="9"/>
            <color indexed="8"/>
            <rFont val="Tahoma"/>
            <family val="2"/>
            <charset val="238"/>
          </rPr>
          <t>+10.450 mimoř. Př.</t>
        </r>
      </text>
    </comment>
  </commentList>
</comments>
</file>

<file path=xl/comments2.xml><?xml version="1.0" encoding="utf-8"?>
<comments xmlns="http://schemas.openxmlformats.org/spreadsheetml/2006/main">
  <authors>
    <author>Jarmila Straková</author>
    <author>Jana Holíková</author>
  </authors>
  <commentList>
    <comment ref="D10" authorId="0" shapeId="0">
      <text>
        <r>
          <rPr>
            <b/>
            <sz val="9"/>
            <color indexed="81"/>
            <rFont val="Tahoma"/>
            <family val="2"/>
            <charset val="238"/>
          </rPr>
          <t>Jarmila Straková:</t>
        </r>
        <r>
          <rPr>
            <sz val="9"/>
            <color indexed="81"/>
            <rFont val="Tahoma"/>
            <family val="2"/>
            <charset val="238"/>
          </rPr>
          <t xml:space="preserve">
RO č. 23060
</t>
        </r>
      </text>
    </comment>
    <comment ref="D80" authorId="0" shapeId="0">
      <text>
        <r>
          <rPr>
            <b/>
            <sz val="9"/>
            <color indexed="81"/>
            <rFont val="Tahoma"/>
            <family val="2"/>
            <charset val="238"/>
          </rPr>
          <t>Jarmila Straková:</t>
        </r>
        <r>
          <rPr>
            <sz val="9"/>
            <color indexed="81"/>
            <rFont val="Tahoma"/>
            <family val="2"/>
            <charset val="238"/>
          </rPr>
          <t xml:space="preserve">
RO č. 23017/02
</t>
        </r>
      </text>
    </comment>
    <comment ref="H80" authorId="0" shapeId="0">
      <text>
        <r>
          <rPr>
            <b/>
            <sz val="9"/>
            <color indexed="81"/>
            <rFont val="Tahoma"/>
            <family val="2"/>
            <charset val="238"/>
          </rPr>
          <t>Jarmila Straková:</t>
        </r>
        <r>
          <rPr>
            <sz val="9"/>
            <color indexed="81"/>
            <rFont val="Tahoma"/>
            <family val="2"/>
            <charset val="238"/>
          </rPr>
          <t xml:space="preserve">
RO č. 23017/02
</t>
        </r>
      </text>
    </comment>
    <comment ref="D163" authorId="0" shapeId="0">
      <text>
        <r>
          <rPr>
            <b/>
            <sz val="9"/>
            <color indexed="81"/>
            <rFont val="Tahoma"/>
            <family val="2"/>
            <charset val="238"/>
          </rPr>
          <t>Jarmila Straková:</t>
        </r>
        <r>
          <rPr>
            <sz val="9"/>
            <color indexed="81"/>
            <rFont val="Tahoma"/>
            <family val="2"/>
            <charset val="238"/>
          </rPr>
          <t xml:space="preserve">
RO č. 23005
</t>
        </r>
      </text>
    </comment>
    <comment ref="D787" authorId="1" shapeId="0">
      <text>
        <r>
          <rPr>
            <b/>
            <sz val="9"/>
            <color indexed="81"/>
            <rFont val="Tahoma"/>
            <family val="2"/>
            <charset val="238"/>
          </rPr>
          <t>Jana Holíková:</t>
        </r>
        <r>
          <rPr>
            <sz val="9"/>
            <color indexed="81"/>
            <rFont val="Tahoma"/>
            <family val="2"/>
            <charset val="238"/>
          </rPr>
          <t xml:space="preserve">
23532/03 -431.000
23546/04 -152.880
23563/05 -400.000
</t>
        </r>
      </text>
    </comment>
    <comment ref="D789" authorId="1" shapeId="0">
      <text>
        <r>
          <rPr>
            <b/>
            <sz val="9"/>
            <color indexed="81"/>
            <rFont val="Tahoma"/>
            <family val="2"/>
            <charset val="238"/>
          </rPr>
          <t>Jana Holíková:</t>
        </r>
        <r>
          <rPr>
            <sz val="9"/>
            <color indexed="81"/>
            <rFont val="Tahoma"/>
            <family val="2"/>
            <charset val="238"/>
          </rPr>
          <t xml:space="preserve">
23513/02 +45.254
</t>
        </r>
      </text>
    </comment>
    <comment ref="D791" authorId="1" shapeId="0">
      <text>
        <r>
          <rPr>
            <b/>
            <sz val="9"/>
            <color indexed="81"/>
            <rFont val="Tahoma"/>
            <family val="2"/>
            <charset val="238"/>
          </rPr>
          <t>Jana Holíková:</t>
        </r>
        <r>
          <rPr>
            <sz val="9"/>
            <color indexed="81"/>
            <rFont val="Tahoma"/>
            <family val="2"/>
            <charset val="238"/>
          </rPr>
          <t xml:space="preserve">
23563/05 -150.000</t>
        </r>
      </text>
    </comment>
    <comment ref="D793" authorId="1" shapeId="0">
      <text>
        <r>
          <rPr>
            <b/>
            <sz val="9"/>
            <color indexed="81"/>
            <rFont val="Tahoma"/>
            <family val="2"/>
            <charset val="238"/>
          </rPr>
          <t>Jana Holíková:</t>
        </r>
        <r>
          <rPr>
            <sz val="9"/>
            <color indexed="81"/>
            <rFont val="Tahoma"/>
            <family val="2"/>
            <charset val="238"/>
          </rPr>
          <t xml:space="preserve">
23563/05 -250.000</t>
        </r>
      </text>
    </comment>
    <comment ref="D794" authorId="1" shapeId="0">
      <text>
        <r>
          <rPr>
            <b/>
            <sz val="9"/>
            <color indexed="81"/>
            <rFont val="Tahoma"/>
            <family val="2"/>
            <charset val="238"/>
          </rPr>
          <t>Jana Holíková:</t>
        </r>
        <r>
          <rPr>
            <sz val="9"/>
            <color indexed="81"/>
            <rFont val="Tahoma"/>
            <family val="2"/>
            <charset val="238"/>
          </rPr>
          <t xml:space="preserve">
23563/05 -100.000</t>
        </r>
      </text>
    </comment>
    <comment ref="D796" authorId="1" shapeId="0">
      <text>
        <r>
          <rPr>
            <b/>
            <sz val="9"/>
            <color indexed="81"/>
            <rFont val="Tahoma"/>
            <family val="2"/>
            <charset val="238"/>
          </rPr>
          <t>Jana Holíková:</t>
        </r>
        <r>
          <rPr>
            <sz val="9"/>
            <color indexed="81"/>
            <rFont val="Tahoma"/>
            <family val="2"/>
            <charset val="238"/>
          </rPr>
          <t xml:space="preserve">
23563/05 -800.000</t>
        </r>
      </text>
    </comment>
    <comment ref="D797" authorId="1" shapeId="0">
      <text>
        <r>
          <rPr>
            <b/>
            <sz val="9"/>
            <color indexed="81"/>
            <rFont val="Tahoma"/>
            <family val="2"/>
            <charset val="238"/>
          </rPr>
          <t>Jana Holíková:</t>
        </r>
        <r>
          <rPr>
            <sz val="9"/>
            <color indexed="81"/>
            <rFont val="Tahoma"/>
            <family val="2"/>
            <charset val="238"/>
          </rPr>
          <t xml:space="preserve">
23563/05 -300.000</t>
        </r>
      </text>
    </comment>
    <comment ref="D799" authorId="1" shapeId="0">
      <text>
        <r>
          <rPr>
            <b/>
            <sz val="9"/>
            <color indexed="81"/>
            <rFont val="Tahoma"/>
            <family val="2"/>
            <charset val="238"/>
          </rPr>
          <t>Jana Holíková:</t>
        </r>
        <r>
          <rPr>
            <sz val="9"/>
            <color indexed="81"/>
            <rFont val="Tahoma"/>
            <family val="2"/>
            <charset val="238"/>
          </rPr>
          <t xml:space="preserve">
23006/01 +1.812.000
23513/02 -45.254
23558/05 -20.971
23561/05 -13.463,31
23563/05 +2.100.000
23574/06 -63.727</t>
        </r>
      </text>
    </comment>
    <comment ref="D800" authorId="1" shapeId="0">
      <text>
        <r>
          <rPr>
            <b/>
            <sz val="9"/>
            <color indexed="81"/>
            <rFont val="Tahoma"/>
            <family val="2"/>
            <charset val="238"/>
          </rPr>
          <t>Jana Holíková:</t>
        </r>
        <r>
          <rPr>
            <sz val="9"/>
            <color indexed="81"/>
            <rFont val="Tahoma"/>
            <family val="2"/>
            <charset val="238"/>
          </rPr>
          <t xml:space="preserve">
23546/04 
+152.880
23558/05 +20.971
23561/05 +13.463,31
23574/06 +63.727</t>
        </r>
      </text>
    </comment>
    <comment ref="D804" authorId="1" shapeId="0">
      <text>
        <r>
          <rPr>
            <b/>
            <sz val="9"/>
            <color indexed="81"/>
            <rFont val="Tahoma"/>
            <family val="2"/>
            <charset val="238"/>
          </rPr>
          <t>Jana Holíková:</t>
        </r>
        <r>
          <rPr>
            <sz val="9"/>
            <color indexed="81"/>
            <rFont val="Tahoma"/>
            <family val="2"/>
            <charset val="238"/>
          </rPr>
          <t xml:space="preserve">
23532/03 +431.000</t>
        </r>
      </text>
    </comment>
    <comment ref="D807" authorId="1" shapeId="0">
      <text>
        <r>
          <rPr>
            <b/>
            <sz val="9"/>
            <color indexed="81"/>
            <rFont val="Tahoma"/>
            <family val="2"/>
            <charset val="238"/>
          </rPr>
          <t>Jana Holíková:</t>
        </r>
        <r>
          <rPr>
            <sz val="9"/>
            <color indexed="81"/>
            <rFont val="Tahoma"/>
            <family val="2"/>
            <charset val="238"/>
          </rPr>
          <t xml:space="preserve">
23022/02 -617.845,43</t>
        </r>
      </text>
    </comment>
    <comment ref="D812" authorId="1" shapeId="0">
      <text>
        <r>
          <rPr>
            <b/>
            <sz val="9"/>
            <color indexed="81"/>
            <rFont val="Tahoma"/>
            <family val="2"/>
            <charset val="238"/>
          </rPr>
          <t>Jana Holíková:</t>
        </r>
        <r>
          <rPr>
            <sz val="9"/>
            <color indexed="81"/>
            <rFont val="Tahoma"/>
            <family val="2"/>
            <charset val="238"/>
          </rPr>
          <t xml:space="preserve">
23024/02 -1.500.000</t>
        </r>
      </text>
    </comment>
    <comment ref="D819" authorId="1" shapeId="0">
      <text>
        <r>
          <rPr>
            <b/>
            <sz val="9"/>
            <color indexed="81"/>
            <rFont val="Tahoma"/>
            <family val="2"/>
            <charset val="238"/>
          </rPr>
          <t>Jana Holíková:</t>
        </r>
        <r>
          <rPr>
            <sz val="9"/>
            <color indexed="81"/>
            <rFont val="Tahoma"/>
            <family val="2"/>
            <charset val="238"/>
          </rPr>
          <t xml:space="preserve">
23024/02  - 500.000 jung b2 (část z 1.200.00)</t>
        </r>
      </text>
    </comment>
    <comment ref="D822" authorId="1" shapeId="0">
      <text>
        <r>
          <rPr>
            <b/>
            <sz val="9"/>
            <color indexed="81"/>
            <rFont val="Tahoma"/>
            <family val="2"/>
            <charset val="238"/>
          </rPr>
          <t>Jana Holíková:</t>
        </r>
        <r>
          <rPr>
            <sz val="9"/>
            <color indexed="81"/>
            <rFont val="Tahoma"/>
            <family val="2"/>
            <charset val="238"/>
          </rPr>
          <t xml:space="preserve">
23024/02  
-1.500.000 jung b1
- 500.000 jung b2 (část z 1.200.00)
</t>
        </r>
      </text>
    </comment>
    <comment ref="D827" authorId="1" shapeId="0">
      <text>
        <r>
          <rPr>
            <b/>
            <sz val="9"/>
            <color indexed="81"/>
            <rFont val="Tahoma"/>
            <family val="2"/>
            <charset val="238"/>
          </rPr>
          <t>Jana Holíková:</t>
        </r>
        <r>
          <rPr>
            <sz val="9"/>
            <color indexed="81"/>
            <rFont val="Tahoma"/>
            <family val="2"/>
            <charset val="238"/>
          </rPr>
          <t xml:space="preserve">
23095/06 +13.073</t>
        </r>
      </text>
    </comment>
    <comment ref="D833" authorId="1" shapeId="0">
      <text>
        <r>
          <rPr>
            <b/>
            <sz val="9"/>
            <color indexed="81"/>
            <rFont val="Tahoma"/>
            <family val="2"/>
            <charset val="238"/>
          </rPr>
          <t>Jana Holíková:</t>
        </r>
        <r>
          <rPr>
            <sz val="9"/>
            <color indexed="81"/>
            <rFont val="Tahoma"/>
            <family val="2"/>
            <charset val="238"/>
          </rPr>
          <t xml:space="preserve">
23095/06 +13.073</t>
        </r>
      </text>
    </comment>
    <comment ref="D854" authorId="1" shapeId="0">
      <text>
        <r>
          <rPr>
            <b/>
            <sz val="9"/>
            <color indexed="81"/>
            <rFont val="Tahoma"/>
            <family val="2"/>
            <charset val="238"/>
          </rPr>
          <t>Jana Holíková:</t>
        </r>
        <r>
          <rPr>
            <sz val="9"/>
            <color indexed="81"/>
            <rFont val="Tahoma"/>
            <family val="2"/>
            <charset val="238"/>
          </rPr>
          <t xml:space="preserve">
23020/02 +150.000</t>
        </r>
      </text>
    </comment>
    <comment ref="D857" authorId="1" shapeId="0">
      <text>
        <r>
          <rPr>
            <b/>
            <sz val="9"/>
            <color indexed="81"/>
            <rFont val="Tahoma"/>
            <family val="2"/>
            <charset val="238"/>
          </rPr>
          <t>Jana Holíková:</t>
        </r>
        <r>
          <rPr>
            <sz val="9"/>
            <color indexed="81"/>
            <rFont val="Tahoma"/>
            <family val="2"/>
            <charset val="238"/>
          </rPr>
          <t xml:space="preserve">
23024/02 -4.000.000</t>
        </r>
      </text>
    </comment>
    <comment ref="D882" authorId="1" shapeId="0">
      <text>
        <r>
          <rPr>
            <b/>
            <sz val="9"/>
            <color indexed="81"/>
            <rFont val="Tahoma"/>
            <family val="2"/>
            <charset val="238"/>
          </rPr>
          <t>Jana Holíková:</t>
        </r>
        <r>
          <rPr>
            <sz val="9"/>
            <color indexed="81"/>
            <rFont val="Tahoma"/>
            <family val="2"/>
            <charset val="238"/>
          </rPr>
          <t xml:space="preserve">
23020/02 
-330.000 +180.000</t>
        </r>
      </text>
    </comment>
    <comment ref="D910" authorId="1" shapeId="0">
      <text>
        <r>
          <rPr>
            <b/>
            <sz val="9"/>
            <color indexed="81"/>
            <rFont val="Tahoma"/>
            <family val="2"/>
            <charset val="238"/>
          </rPr>
          <t>Jana Holíková:</t>
        </r>
        <r>
          <rPr>
            <sz val="9"/>
            <color indexed="81"/>
            <rFont val="Tahoma"/>
            <family val="2"/>
            <charset val="238"/>
          </rPr>
          <t xml:space="preserve">
23545/04 +-1.500.000 org</t>
        </r>
      </text>
    </comment>
    <comment ref="D944" authorId="0" shapeId="0">
      <text>
        <r>
          <rPr>
            <b/>
            <sz val="9"/>
            <color indexed="81"/>
            <rFont val="Tahoma"/>
            <family val="2"/>
            <charset val="238"/>
          </rPr>
          <t>Jarmila Straková:</t>
        </r>
        <r>
          <rPr>
            <sz val="9"/>
            <color indexed="81"/>
            <rFont val="Tahoma"/>
            <family val="2"/>
            <charset val="238"/>
          </rPr>
          <t xml:space="preserve">
RO č. 23086/06
</t>
        </r>
      </text>
    </comment>
  </commentList>
</comments>
</file>

<file path=xl/sharedStrings.xml><?xml version="1.0" encoding="utf-8"?>
<sst xmlns="http://schemas.openxmlformats.org/spreadsheetml/2006/main" count="2464" uniqueCount="2056">
  <si>
    <t>Příloha č. 1</t>
  </si>
  <si>
    <r>
      <rPr>
        <b/>
        <sz val="9"/>
        <rFont val="Arial CE"/>
        <charset val="238"/>
      </rPr>
      <t xml:space="preserve">Rozpočtová skladba                                                                                                                                                                                                                                                    </t>
    </r>
    <r>
      <rPr>
        <sz val="8"/>
        <rFont val="Arial CE"/>
        <charset val="238"/>
      </rPr>
      <t xml:space="preserve"> ORJ/odd.par./pol./org./ÚZ</t>
    </r>
  </si>
  <si>
    <r>
      <rPr>
        <b/>
        <sz val="14"/>
        <rFont val="Arial CE"/>
        <family val="2"/>
        <charset val="238"/>
      </rPr>
      <t xml:space="preserve">Návrh rozpočtu města Nový Jičín 
na rok 2021                                                                                                                                                                                                                                                                                                                                                                                  </t>
    </r>
    <r>
      <rPr>
        <sz val="11"/>
        <rFont val="Arial CE"/>
        <charset val="238"/>
      </rPr>
      <t xml:space="preserve"> (údaje </t>
    </r>
    <r>
      <rPr>
        <b/>
        <sz val="11"/>
        <rFont val="Arial CE"/>
        <charset val="238"/>
      </rPr>
      <t>v textu</t>
    </r>
    <r>
      <rPr>
        <sz val="11"/>
        <rFont val="Arial CE"/>
        <charset val="238"/>
      </rPr>
      <t xml:space="preserve"> jsou v tis. Kč)          </t>
    </r>
    <r>
      <rPr>
        <b/>
        <sz val="14"/>
        <rFont val="Arial CE"/>
        <family val="2"/>
        <charset val="238"/>
      </rPr>
      <t xml:space="preserve">                  </t>
    </r>
  </si>
  <si>
    <r>
      <rPr>
        <b/>
        <sz val="12"/>
        <rFont val="Arial CE"/>
        <family val="2"/>
        <charset val="238"/>
      </rPr>
      <t xml:space="preserve">Schválený
rozpočet 2020
</t>
    </r>
    <r>
      <rPr>
        <sz val="9"/>
        <rFont val="Arial CE"/>
        <charset val="238"/>
      </rPr>
      <t>(v Kč)</t>
    </r>
  </si>
  <si>
    <r>
      <rPr>
        <b/>
        <sz val="12"/>
        <rFont val="Arial CE"/>
        <family val="2"/>
        <charset val="238"/>
      </rPr>
      <t xml:space="preserve">Upravený
rozpočet                                                                                                                                                                                                                                                                                                                                                                                                                                                                                                                                         k 31.8.2020
</t>
    </r>
    <r>
      <rPr>
        <sz val="9"/>
        <rFont val="Arial CE"/>
        <charset val="238"/>
      </rPr>
      <t>(v Kč)</t>
    </r>
  </si>
  <si>
    <r>
      <rPr>
        <b/>
        <sz val="12"/>
        <rFont val="Arial CE"/>
        <family val="2"/>
        <charset val="238"/>
      </rPr>
      <t xml:space="preserve">Očekávané plnění
k 31.12. 2020
</t>
    </r>
    <r>
      <rPr>
        <sz val="9"/>
        <rFont val="Arial CE"/>
        <charset val="238"/>
      </rPr>
      <t>(v Kč)</t>
    </r>
  </si>
  <si>
    <r>
      <rPr>
        <b/>
        <sz val="12"/>
        <rFont val="Arial CE"/>
        <family val="2"/>
        <charset val="238"/>
      </rPr>
      <t xml:space="preserve">Skutečnost za
k 31.8. 2020
</t>
    </r>
    <r>
      <rPr>
        <sz val="9"/>
        <rFont val="Arial CE"/>
        <charset val="238"/>
      </rPr>
      <t>(v Kč)</t>
    </r>
  </si>
  <si>
    <r>
      <rPr>
        <b/>
        <sz val="12"/>
        <rFont val="Arial CE"/>
        <family val="2"/>
        <charset val="238"/>
      </rPr>
      <t xml:space="preserve">2021                                                                                                                                                                                                                                                                                                                                                                                                                      </t>
    </r>
    <r>
      <rPr>
        <sz val="9"/>
        <rFont val="Arial CE"/>
        <charset val="238"/>
      </rPr>
      <t xml:space="preserve"> (v Kč)   </t>
    </r>
    <r>
      <rPr>
        <b/>
        <sz val="9"/>
        <rFont val="Arial CE"/>
        <charset val="238"/>
      </rPr>
      <t xml:space="preserve">        </t>
    </r>
    <r>
      <rPr>
        <b/>
        <sz val="12"/>
        <rFont val="Arial CE"/>
        <family val="2"/>
        <charset val="238"/>
      </rPr>
      <t xml:space="preserve">                                                                                                                                                                  </t>
    </r>
  </si>
  <si>
    <t>Příjmy</t>
  </si>
  <si>
    <t>Třída 1 - Daňové příjmy</t>
  </si>
  <si>
    <t>Třída 2 - Nedaňové příjmy</t>
  </si>
  <si>
    <t>Třída 3 - Kapitálové příjmy</t>
  </si>
  <si>
    <t>Třída 4 - Přijaté transfery (dotace)</t>
  </si>
  <si>
    <t>Příjmy celkem</t>
  </si>
  <si>
    <t>Třída 8 - Financování</t>
  </si>
  <si>
    <t>Úhrn zdrojů</t>
  </si>
  <si>
    <r>
      <rPr>
        <b/>
        <sz val="14"/>
        <rFont val="Arial CE"/>
        <family val="2"/>
        <charset val="238"/>
      </rPr>
      <t>Výdaje:</t>
    </r>
    <r>
      <rPr>
        <sz val="14"/>
        <rFont val="Arial CE"/>
        <charset val="238"/>
      </rPr>
      <t xml:space="preserve"> </t>
    </r>
    <r>
      <rPr>
        <i/>
        <sz val="12"/>
        <rFont val="Arial CE"/>
        <charset val="238"/>
      </rPr>
      <t xml:space="preserve">(ORJ = organizační jednotka) </t>
    </r>
  </si>
  <si>
    <t>Třída 5 - Běžné výdaje</t>
  </si>
  <si>
    <t>Třída 6 - Kapitálové výdaje</t>
  </si>
  <si>
    <t>z toho:</t>
  </si>
  <si>
    <t xml:space="preserve">ORJ 1xx - Odbor správy majetku                                                                                                                                                                                                                                                                                                                                                                                                                                                                                          </t>
  </si>
  <si>
    <t>v tom: 102 - Vodní hospodářství</t>
  </si>
  <si>
    <t xml:space="preserve">           110 - Doprava</t>
  </si>
  <si>
    <t xml:space="preserve">           120 - Majetkoprávní záležitosti</t>
  </si>
  <si>
    <t xml:space="preserve">           139 - Komunální služby</t>
  </si>
  <si>
    <t xml:space="preserve">ORJ 6xx - Odbor rozvoje a investic                                                                                                                                                                                                                                                                                                                                                                                                                                                                                   </t>
  </si>
  <si>
    <t>v tom: 602 - Vodní hospodářství</t>
  </si>
  <si>
    <t xml:space="preserve">           610 - Doprava</t>
  </si>
  <si>
    <t xml:space="preserve">           615 - Zdravé město a marketing</t>
  </si>
  <si>
    <t xml:space="preserve">           639 - Komunální služby</t>
  </si>
  <si>
    <t xml:space="preserve">           641 - Dotace, návratné finanční výpomoci a dary cizích subjektům </t>
  </si>
  <si>
    <t>ORJ 009 - Obecní živnostenský úřad</t>
  </si>
  <si>
    <r>
      <rPr>
        <b/>
        <i/>
        <sz val="14"/>
        <rFont val="Arial CE"/>
        <family val="2"/>
        <charset val="238"/>
      </rPr>
      <t xml:space="preserve">ORJ 011 - Návštěvnické centrum NJ-město klobouků </t>
    </r>
    <r>
      <rPr>
        <i/>
        <sz val="12"/>
        <rFont val="Arial CE"/>
        <charset val="238"/>
      </rPr>
      <t>(org. složka)</t>
    </r>
  </si>
  <si>
    <t>ORJ 210 - Odbor dopravy</t>
  </si>
  <si>
    <t>ORJ 313 - Odbor přestupkových agend</t>
  </si>
  <si>
    <t xml:space="preserve">ORJ 317 - Odbor správních agend                                                                                                                                                                                                                                                                                                                                                                                                                                                                                          </t>
  </si>
  <si>
    <t>ORJ 4xx - Odbor školství, kultury a sportu</t>
  </si>
  <si>
    <t>v tom: 414 - Školství, sport</t>
  </si>
  <si>
    <t xml:space="preserve">           416 - Kultura</t>
  </si>
  <si>
    <t xml:space="preserve">           441 - Dotace, návratné finanční výpomoci a dary cizím subjektům</t>
  </si>
  <si>
    <t>ORJ 018 - Městská policie NJ</t>
  </si>
  <si>
    <t xml:space="preserve">ORJ 019 - Odbor organizační </t>
  </si>
  <si>
    <r>
      <rPr>
        <b/>
        <i/>
        <sz val="14"/>
        <rFont val="Arial CE"/>
        <family val="2"/>
        <charset val="238"/>
      </rPr>
      <t>ORJ 919 - Odbor kancelář vedení města</t>
    </r>
    <r>
      <rPr>
        <i/>
        <sz val="12"/>
        <rFont val="Arial CE"/>
        <charset val="238"/>
      </rPr>
      <t xml:space="preserve">                                                                                                                                                                                                                                                                                                                                                                                                                                                                                                                           </t>
    </r>
  </si>
  <si>
    <t>ORJ 5xx - Odbor sociálních věcí</t>
  </si>
  <si>
    <t>v tom: 528 - Sociální věci</t>
  </si>
  <si>
    <t xml:space="preserve">           541 - Dotace, návratné finanční výpomoci a dary cizím subjektům</t>
  </si>
  <si>
    <r>
      <rPr>
        <b/>
        <i/>
        <sz val="14"/>
        <rFont val="Arial CE"/>
        <family val="2"/>
        <charset val="238"/>
      </rPr>
      <t xml:space="preserve">ORJ 029 - Prosenior NJ </t>
    </r>
    <r>
      <rPr>
        <i/>
        <sz val="12"/>
        <rFont val="Arial CE"/>
        <charset val="238"/>
      </rPr>
      <t>(org. složka)</t>
    </r>
  </si>
  <si>
    <t>v tom:  Pečovatelská služba (org. 0390)</t>
  </si>
  <si>
    <t xml:space="preserve">            Denní stacionář (org. 1391)</t>
  </si>
  <si>
    <t xml:space="preserve">            Odlehčovací služba Pohoda (org. 1393)</t>
  </si>
  <si>
    <t>ORJ 035 - Odbor životního prostředí</t>
  </si>
  <si>
    <t>ORJ 037 - Odbor bytový</t>
  </si>
  <si>
    <t>ORJ 040 - Odbor územního plánování a stavebního řádu</t>
  </si>
  <si>
    <t xml:space="preserve">v tom: 041 - Dotace cizím subjektům </t>
  </si>
  <si>
    <t>ORJ 741 - Odbor finanční</t>
  </si>
  <si>
    <t>Výdaje celkem</t>
  </si>
  <si>
    <t xml:space="preserve">Příjmy </t>
  </si>
  <si>
    <t xml:space="preserve">Třída 1 - Daňové příjmy                                                                                                                                                                                                                                                                                                                                                                                                                                                                                                  </t>
  </si>
  <si>
    <r>
      <rPr>
        <b/>
        <sz val="10"/>
        <rFont val="Arial CE"/>
        <family val="2"/>
        <charset val="238"/>
      </rPr>
      <t xml:space="preserve">Daň z příjmů fyzických osob placená plátci </t>
    </r>
    <r>
      <rPr>
        <sz val="9"/>
        <rFont val="Arial CE"/>
        <charset val="238"/>
      </rPr>
      <t>(sdílená část)</t>
    </r>
    <r>
      <rPr>
        <b/>
        <sz val="10"/>
        <rFont val="Arial CE"/>
        <family val="2"/>
        <charset val="238"/>
      </rPr>
      <t xml:space="preserve"> </t>
    </r>
    <r>
      <rPr>
        <sz val="10"/>
        <rFont val="Arial CE"/>
        <charset val="238"/>
      </rPr>
      <t xml:space="preserve">                                                         </t>
    </r>
  </si>
  <si>
    <r>
      <rPr>
        <b/>
        <sz val="10"/>
        <rFont val="Arial CE"/>
        <family val="2"/>
        <charset val="238"/>
      </rPr>
      <t xml:space="preserve">Daň z příjmů fyzických osob placená plátci </t>
    </r>
    <r>
      <rPr>
        <sz val="9"/>
        <rFont val="Arial CE"/>
        <charset val="238"/>
      </rPr>
      <t xml:space="preserve">(motivační 1,5%)            </t>
    </r>
    <r>
      <rPr>
        <sz val="10"/>
        <rFont val="Arial CE"/>
        <family val="2"/>
        <charset val="238"/>
      </rPr>
      <t xml:space="preserve">                                       </t>
    </r>
  </si>
  <si>
    <r>
      <rPr>
        <b/>
        <sz val="10"/>
        <rFont val="Arial CE"/>
        <family val="2"/>
        <charset val="238"/>
      </rPr>
      <t>Daň z příjmů fyzických osob placená poplatníky</t>
    </r>
    <r>
      <rPr>
        <sz val="9"/>
        <rFont val="Arial CE"/>
        <charset val="238"/>
      </rPr>
      <t xml:space="preserve"> (sdílená) </t>
    </r>
    <r>
      <rPr>
        <i/>
        <sz val="9"/>
        <rFont val="Arial CE"/>
        <charset val="238"/>
      </rPr>
      <t xml:space="preserve"> </t>
    </r>
    <r>
      <rPr>
        <sz val="9"/>
        <rFont val="Arial CE"/>
        <charset val="238"/>
      </rPr>
      <t xml:space="preserve">      </t>
    </r>
    <r>
      <rPr>
        <b/>
        <sz val="10"/>
        <rFont val="Arial CE"/>
        <family val="2"/>
        <charset val="238"/>
      </rPr>
      <t xml:space="preserve">                                                   </t>
    </r>
  </si>
  <si>
    <r>
      <rPr>
        <b/>
        <sz val="10"/>
        <rFont val="Arial CE"/>
        <family val="2"/>
        <charset val="238"/>
      </rPr>
      <t xml:space="preserve">Daň z příjmů fyzických osob vybíraná srážkou </t>
    </r>
    <r>
      <rPr>
        <sz val="9"/>
        <rFont val="Arial CE"/>
        <charset val="238"/>
      </rPr>
      <t>(podle zvláštní sazby daně)</t>
    </r>
  </si>
  <si>
    <r>
      <rPr>
        <b/>
        <sz val="10"/>
        <rFont val="Arial CE"/>
        <family val="2"/>
        <charset val="238"/>
      </rPr>
      <t xml:space="preserve">Daň z příjmů právnických osob </t>
    </r>
    <r>
      <rPr>
        <sz val="9"/>
        <rFont val="Arial CE"/>
        <charset val="238"/>
      </rPr>
      <t xml:space="preserve">(sdílená)        </t>
    </r>
    <r>
      <rPr>
        <b/>
        <sz val="10"/>
        <rFont val="Arial CE"/>
        <family val="2"/>
        <charset val="238"/>
      </rPr>
      <t xml:space="preserve">                                                                     </t>
    </r>
    <r>
      <rPr>
        <sz val="9"/>
        <rFont val="Arial CE"/>
        <family val="2"/>
        <charset val="238"/>
      </rPr>
      <t xml:space="preserve"> </t>
    </r>
  </si>
  <si>
    <r>
      <rPr>
        <b/>
        <sz val="10"/>
        <rFont val="Arial CE"/>
        <family val="2"/>
        <charset val="238"/>
      </rPr>
      <t xml:space="preserve">Daň z příjmů právnických osob za obec </t>
    </r>
    <r>
      <rPr>
        <sz val="9"/>
        <rFont val="Arial CE"/>
        <family val="2"/>
        <charset val="238"/>
      </rPr>
      <t>(za město NJ) = 100%</t>
    </r>
  </si>
  <si>
    <r>
      <rPr>
        <b/>
        <sz val="10"/>
        <rFont val="Arial CE"/>
        <family val="2"/>
        <charset val="238"/>
      </rPr>
      <t xml:space="preserve">Daň z přidané hodnoty </t>
    </r>
    <r>
      <rPr>
        <sz val="9"/>
        <rFont val="Arial CE"/>
        <charset val="238"/>
      </rPr>
      <t xml:space="preserve">(sdílená) </t>
    </r>
    <r>
      <rPr>
        <b/>
        <sz val="9"/>
        <rFont val="Arial CE"/>
        <charset val="238"/>
      </rPr>
      <t xml:space="preserve">           </t>
    </r>
    <r>
      <rPr>
        <b/>
        <sz val="10"/>
        <rFont val="Arial CE"/>
        <family val="2"/>
        <charset val="238"/>
      </rPr>
      <t xml:space="preserve">                                                                                  </t>
    </r>
    <r>
      <rPr>
        <b/>
        <sz val="9"/>
        <rFont val="Arial CE"/>
        <family val="2"/>
        <charset val="238"/>
      </rPr>
      <t xml:space="preserve"> </t>
    </r>
  </si>
  <si>
    <t>Odvody za odnětí půdy ze zemědělského půdního fondu</t>
  </si>
  <si>
    <t>Poplatky za odnětí pozemků plnění funkcí lesa</t>
  </si>
  <si>
    <t>Poplatky za povolené vypouštění odpadních vod do vod podzemních</t>
  </si>
  <si>
    <t>Poplatek za provoz systému shromažďování, sběru, přepravy, třídění, využívání a odstraňování komunálních odpadů</t>
  </si>
  <si>
    <t>Poplatek ze psů</t>
  </si>
  <si>
    <t>Poplatek za užívání veřejného prostranství</t>
  </si>
  <si>
    <t xml:space="preserve">z toho: odbor obecní živnostenský úřad </t>
  </si>
  <si>
    <r>
      <rPr>
        <sz val="10"/>
        <rFont val="Arial CE"/>
        <family val="2"/>
        <charset val="238"/>
      </rPr>
      <t xml:space="preserve">            odbor správy majetku (</t>
    </r>
    <r>
      <rPr>
        <sz val="9"/>
        <rFont val="Arial CE"/>
        <family val="2"/>
        <charset val="238"/>
      </rPr>
      <t>překopy+zábory+MP vyhrazené parkování)</t>
    </r>
  </si>
  <si>
    <r>
      <rPr>
        <sz val="10"/>
        <rFont val="Arial CE"/>
        <family val="2"/>
        <charset val="238"/>
      </rPr>
      <t xml:space="preserve">            odbor životního prostředí</t>
    </r>
    <r>
      <rPr>
        <sz val="9"/>
        <rFont val="Arial CE"/>
        <charset val="238"/>
      </rPr>
      <t xml:space="preserve"> (zvláštní užívání zeleně)</t>
    </r>
  </si>
  <si>
    <r>
      <rPr>
        <b/>
        <sz val="10"/>
        <rFont val="Arial CE"/>
        <family val="2"/>
        <charset val="238"/>
      </rPr>
      <t xml:space="preserve">Poplatek za povolení k vjezdu do vybraných míst </t>
    </r>
    <r>
      <rPr>
        <sz val="9"/>
        <rFont val="Arial CE"/>
        <family val="2"/>
        <charset val="238"/>
      </rPr>
      <t>(od r. 2020: příjmy z parkovacích automatů v městské památkové rezervaci 30 zůstávají TSM, NCNJ: abonentní a rezidentní karty 90)</t>
    </r>
  </si>
  <si>
    <t>z toho: TSM NJ (příjmy z parkovacích automatů )</t>
  </si>
  <si>
    <t xml:space="preserve">            NC NJ (příjmy z abonentních a rezidentních karet)</t>
  </si>
  <si>
    <t>Příjmy za zkoušky z odborné způsobilosti od žadatelů o řidičské oprávnění</t>
  </si>
  <si>
    <t>Příjmy úhrad za dobývání nerostů a poplatků za geologické práce</t>
  </si>
  <si>
    <t>Ostatní odvody z vybraných činností a služeb j.n.</t>
  </si>
  <si>
    <t>Správní poplatky</t>
  </si>
  <si>
    <t>z toho: odbor dopravy</t>
  </si>
  <si>
    <r>
      <rPr>
        <sz val="10"/>
        <rFont val="Arial CE"/>
        <family val="2"/>
        <charset val="238"/>
      </rPr>
      <t xml:space="preserve">            obecní živnostenský úřad </t>
    </r>
    <r>
      <rPr>
        <sz val="9"/>
        <rFont val="Arial CE"/>
        <charset val="238"/>
      </rPr>
      <t>(nové a změnové výpisy z živnost.rejstříku 378, vydání výpisů z živnost.rejstříku 2,                                                                                                                                                                                                                                                                                                                                                                                                                vydání povolení k hernímu prostoru 30, osvědčení zemědělský podnikatel 10)</t>
    </r>
  </si>
  <si>
    <t xml:space="preserve">            odbor územního plánování a stavebního řádu </t>
  </si>
  <si>
    <r>
      <rPr>
        <sz val="10"/>
        <rFont val="Arial CE"/>
        <family val="2"/>
        <charset val="238"/>
      </rPr>
      <t xml:space="preserve">            odbor správních agend </t>
    </r>
    <r>
      <rPr>
        <sz val="9"/>
        <rFont val="Arial CE"/>
        <charset val="238"/>
      </rPr>
      <t>(r. 2021: matrika 170, ohlaš. 40, CzechPoint 70, OP+CD 720)</t>
    </r>
  </si>
  <si>
    <r>
      <rPr>
        <sz val="10"/>
        <rFont val="Arial CE"/>
        <family val="2"/>
        <charset val="238"/>
      </rPr>
      <t xml:space="preserve">            odbor životního prostředí </t>
    </r>
    <r>
      <rPr>
        <sz val="9"/>
        <rFont val="Arial CE"/>
        <charset val="238"/>
      </rPr>
      <t>(r. 2021: rybářské a lovecké lístky 80, vodní hospodářství 100, odpady 2)</t>
    </r>
  </si>
  <si>
    <r>
      <rPr>
        <sz val="10"/>
        <rFont val="Arial CE"/>
        <family val="2"/>
        <charset val="238"/>
      </rPr>
      <t xml:space="preserve">            odbor finanční </t>
    </r>
    <r>
      <rPr>
        <sz val="9"/>
        <rFont val="Arial CE"/>
        <charset val="238"/>
      </rPr>
      <t>(ověřování + splátkové kalendáře)</t>
    </r>
  </si>
  <si>
    <t>Daň z hazardních her s vvýjimkou dílčí daně z technických her</t>
  </si>
  <si>
    <t>Dílčí daň z technických her</t>
  </si>
  <si>
    <r>
      <rPr>
        <b/>
        <sz val="10"/>
        <rFont val="Arial CE"/>
        <family val="2"/>
        <charset val="238"/>
      </rPr>
      <t xml:space="preserve">Daň z nemovitých věcí </t>
    </r>
    <r>
      <rPr>
        <sz val="9"/>
        <rFont val="Arial CE"/>
        <charset val="238"/>
      </rPr>
      <t xml:space="preserve">(výlučná)    </t>
    </r>
    <r>
      <rPr>
        <b/>
        <sz val="10"/>
        <rFont val="Arial CE"/>
        <family val="2"/>
        <charset val="238"/>
      </rPr>
      <t xml:space="preserve">                                                                                                              </t>
    </r>
  </si>
  <si>
    <t>Příjmy z vlastní činnosti</t>
  </si>
  <si>
    <t xml:space="preserve">               § 1019 ostatní zemědělská a potravinářská činnost a rozvoj</t>
  </si>
  <si>
    <r>
      <rPr>
        <sz val="10"/>
        <rFont val="Arial CE"/>
        <family val="2"/>
        <charset val="238"/>
      </rPr>
      <t xml:space="preserve">               § 1031 pěstební činnost </t>
    </r>
    <r>
      <rPr>
        <sz val="9"/>
        <rFont val="Arial CE"/>
        <charset val="238"/>
      </rPr>
      <t>(těžba v městských lesích)</t>
    </r>
  </si>
  <si>
    <r>
      <rPr>
        <sz val="10"/>
        <rFont val="Arial CE"/>
        <family val="2"/>
        <charset val="238"/>
      </rPr>
      <t xml:space="preserve">               § 2143 cestovní ruch</t>
    </r>
    <r>
      <rPr>
        <sz val="9"/>
        <rFont val="Arial CE"/>
        <charset val="238"/>
      </rPr>
      <t xml:space="preserve"> (Návštěvnické centrum NJ-město klobouků)</t>
    </r>
  </si>
  <si>
    <r>
      <rPr>
        <sz val="10"/>
        <rFont val="Arial CE"/>
        <family val="2"/>
        <charset val="238"/>
      </rPr>
      <t xml:space="preserve">               § 2229 Baby-Senior taxi </t>
    </r>
    <r>
      <rPr>
        <sz val="9"/>
        <rFont val="Arial CE"/>
        <charset val="238"/>
      </rPr>
      <t>(prodej průkazek)</t>
    </r>
  </si>
  <si>
    <r>
      <rPr>
        <sz val="10"/>
        <rFont val="Arial CE"/>
        <family val="2"/>
        <charset val="238"/>
      </rPr>
      <t xml:space="preserve">               § 3412 sportovní zařízení v majetku obce</t>
    </r>
    <r>
      <rPr>
        <sz val="9"/>
        <rFont val="Arial CE"/>
        <charset val="238"/>
      </rPr>
      <t xml:space="preserve"> (bazé</t>
    </r>
    <r>
      <rPr>
        <sz val="9"/>
        <rFont val="Arial CE"/>
        <family val="2"/>
        <charset val="238"/>
      </rPr>
      <t>n: Basketbalový klub,o.s.-vstupné, nájmy)</t>
    </r>
  </si>
  <si>
    <r>
      <rPr>
        <sz val="10"/>
        <rFont val="Arial CE"/>
        <family val="2"/>
        <charset val="238"/>
      </rPr>
      <t xml:space="preserve">               § 3412 sportovní zařízení v majetku obce </t>
    </r>
    <r>
      <rPr>
        <sz val="9"/>
        <rFont val="Arial CE"/>
        <family val="2"/>
        <charset val="238"/>
      </rPr>
      <t>(zimní stadión: Hokejový klub-vstupné, nájmy)</t>
    </r>
  </si>
  <si>
    <r>
      <rPr>
        <sz val="10"/>
        <rFont val="Arial CE"/>
        <family val="2"/>
        <charset val="238"/>
      </rPr>
      <t xml:space="preserve">               § 3612 tržby za správu SVJ</t>
    </r>
    <r>
      <rPr>
        <sz val="9"/>
        <rFont val="Arial CE"/>
        <charset val="238"/>
      </rPr>
      <t xml:space="preserve"> (odbor bytový)</t>
    </r>
  </si>
  <si>
    <r>
      <rPr>
        <sz val="10"/>
        <rFont val="Arial CE"/>
        <family val="2"/>
        <charset val="238"/>
      </rPr>
      <t xml:space="preserve">               § 3613 tržby za metropolitní síť </t>
    </r>
    <r>
      <rPr>
        <sz val="9"/>
        <rFont val="Arial CE"/>
        <charset val="238"/>
      </rPr>
      <t>(odbor organizační)</t>
    </r>
  </si>
  <si>
    <r>
      <rPr>
        <sz val="10"/>
        <rFont val="Arial CE"/>
        <family val="2"/>
        <charset val="238"/>
      </rPr>
      <t xml:space="preserve">               § 3632 poplatky za hrobová místa</t>
    </r>
    <r>
      <rPr>
        <sz val="9"/>
        <rFont val="Arial CE"/>
        <charset val="238"/>
      </rPr>
      <t xml:space="preserve"> (odbor správy majetku: od r. 2020 zůstává TSM)</t>
    </r>
  </si>
  <si>
    <r>
      <rPr>
        <sz val="10"/>
        <rFont val="Arial CE"/>
        <family val="2"/>
        <charset val="238"/>
      </rPr>
      <t xml:space="preserve">               § 4351 </t>
    </r>
    <r>
      <rPr>
        <sz val="10"/>
        <rFont val="Arial CE"/>
        <charset val="238"/>
      </rPr>
      <t xml:space="preserve">pečovatelská služba, denní stacionář, odlehč. služba Pohoda </t>
    </r>
    <r>
      <rPr>
        <sz val="9"/>
        <rFont val="Arial CE"/>
        <family val="2"/>
        <charset val="238"/>
      </rPr>
      <t>(Prosenior NJ)</t>
    </r>
  </si>
  <si>
    <r>
      <rPr>
        <sz val="10"/>
        <rFont val="Arial CE"/>
        <family val="2"/>
        <charset val="238"/>
      </rPr>
      <t xml:space="preserve">               § 5311 bezpečnost a veřejný pořádek </t>
    </r>
    <r>
      <rPr>
        <sz val="9"/>
        <rFont val="Arial CE"/>
        <family val="2"/>
        <charset val="238"/>
      </rPr>
      <t>(Městská policie)</t>
    </r>
  </si>
  <si>
    <r>
      <rPr>
        <sz val="10"/>
        <rFont val="Arial CE"/>
        <family val="2"/>
        <charset val="238"/>
      </rPr>
      <t xml:space="preserve">               § 6171 činnost místní správy </t>
    </r>
    <r>
      <rPr>
        <sz val="9"/>
        <rFont val="Arial CE"/>
        <charset val="238"/>
      </rPr>
      <t>(kopírování pro veřejnost)</t>
    </r>
  </si>
  <si>
    <r>
      <rPr>
        <b/>
        <sz val="10"/>
        <rFont val="Arial CE"/>
        <family val="2"/>
        <charset val="238"/>
      </rPr>
      <t xml:space="preserve">Ostatní příjmy z vlastní činnosti </t>
    </r>
    <r>
      <rPr>
        <sz val="9"/>
        <rFont val="Arial CE"/>
        <family val="2"/>
        <charset val="238"/>
      </rPr>
      <t>(odbor správy majetku: věcná břemena s DPH 21%)</t>
    </r>
  </si>
  <si>
    <r>
      <rPr>
        <b/>
        <sz val="10"/>
        <rFont val="Arial CE"/>
        <family val="2"/>
        <charset val="238"/>
      </rPr>
      <t xml:space="preserve">Odvody příspěvkových organizací </t>
    </r>
    <r>
      <rPr>
        <sz val="9"/>
        <rFont val="Arial CE"/>
        <charset val="238"/>
      </rPr>
      <t>(z fondu investic: odpisy z nemovitého majetku)</t>
    </r>
    <r>
      <rPr>
        <b/>
        <i/>
        <sz val="9"/>
        <rFont val="Arial CE"/>
        <family val="2"/>
        <charset val="238"/>
      </rPr>
      <t xml:space="preserve">       </t>
    </r>
    <r>
      <rPr>
        <sz val="9"/>
        <rFont val="Arial CE"/>
        <charset val="238"/>
      </rPr>
      <t xml:space="preserve">      </t>
    </r>
  </si>
  <si>
    <r>
      <rPr>
        <b/>
        <sz val="10"/>
        <rFont val="Arial CE"/>
        <family val="2"/>
        <charset val="238"/>
      </rPr>
      <t xml:space="preserve">Příjmy z pronájmu pozemků </t>
    </r>
    <r>
      <rPr>
        <sz val="9"/>
        <rFont val="Arial CE"/>
        <charset val="238"/>
      </rPr>
      <t>(odbor správy majetku: s 0% DPH 1140, s 21% DPH 850 + zápočet oplocení p. Perútka 8,78833)</t>
    </r>
  </si>
  <si>
    <t>Příjmy z pronájmů ostatních nemovitých věcí a jejich částí</t>
  </si>
  <si>
    <r>
      <rPr>
        <sz val="10"/>
        <rFont val="Arial CE"/>
        <family val="2"/>
        <charset val="238"/>
      </rPr>
      <t xml:space="preserve">              § 2212 vyhrazené parkování formou nájemní smlouvy </t>
    </r>
    <r>
      <rPr>
        <sz val="9"/>
        <rFont val="Arial CE"/>
        <charset val="238"/>
      </rPr>
      <t>(odbor správy majetku: v režimu DPH)</t>
    </r>
  </si>
  <si>
    <r>
      <rPr>
        <sz val="10"/>
        <rFont val="Arial CE"/>
        <family val="2"/>
        <charset val="238"/>
      </rPr>
      <t xml:space="preserve">              § 2310 nájem ostatních nemovitostí </t>
    </r>
    <r>
      <rPr>
        <sz val="9"/>
        <rFont val="Arial CE"/>
        <charset val="238"/>
      </rPr>
      <t>(odbor správy majetku)</t>
    </r>
  </si>
  <si>
    <r>
      <rPr>
        <sz val="10"/>
        <rFont val="Arial CE"/>
        <family val="2"/>
        <charset val="238"/>
      </rPr>
      <t xml:space="preserve">              § 2321 nájem Kanalizace od SmVaK (DSO) </t>
    </r>
    <r>
      <rPr>
        <sz val="9"/>
        <rFont val="Arial CE"/>
        <charset val="238"/>
      </rPr>
      <t>- účet 2310441 Plán financování obnovy (PFO)</t>
    </r>
  </si>
  <si>
    <r>
      <rPr>
        <sz val="10"/>
        <rFont val="Arial CE"/>
        <family val="2"/>
        <charset val="238"/>
      </rPr>
      <t xml:space="preserve">              § 3122 nájem EDUCA </t>
    </r>
    <r>
      <rPr>
        <sz val="9"/>
        <rFont val="Arial CE"/>
        <charset val="238"/>
      </rPr>
      <t>(odbor bytový)</t>
    </r>
  </si>
  <si>
    <r>
      <rPr>
        <sz val="10"/>
        <rFont val="Arial CE"/>
        <family val="2"/>
        <charset val="238"/>
      </rPr>
      <t xml:space="preserve">              § 3612 z bytů v majetku města</t>
    </r>
    <r>
      <rPr>
        <sz val="9"/>
        <rFont val="Arial CE"/>
        <charset val="238"/>
      </rPr>
      <t xml:space="preserve"> (odbor bytový: nájmy 32000, zálohy na služby 18500, vyplácení přeplatků, pacht Suvorovova 441,650)</t>
    </r>
  </si>
  <si>
    <r>
      <rPr>
        <sz val="10"/>
        <rFont val="Arial CE"/>
        <family val="2"/>
        <charset val="238"/>
      </rPr>
      <t xml:space="preserve">              § 3613 v nebytových prostorech </t>
    </r>
    <r>
      <rPr>
        <sz val="9"/>
        <rFont val="Arial CE"/>
        <family val="2"/>
        <charset val="238"/>
      </rPr>
      <t>(odbor organizační: Kavamat 3, Metropolitní síť 83,405+1194,7929)</t>
    </r>
  </si>
  <si>
    <r>
      <rPr>
        <sz val="10"/>
        <rFont val="Arial CE"/>
        <family val="2"/>
        <charset val="238"/>
      </rPr>
      <t xml:space="preserve">              § 3613 v nebyt.prostorech </t>
    </r>
    <r>
      <rPr>
        <sz val="9"/>
        <rFont val="Arial CE"/>
        <family val="2"/>
        <charset val="238"/>
      </rPr>
      <t>(odbor správy majetku: s DPH 0% je 100 =nájem plynovodu, s DPH 21%=325)</t>
    </r>
  </si>
  <si>
    <r>
      <rPr>
        <sz val="10"/>
        <rFont val="Arial CE"/>
        <charset val="238"/>
      </rPr>
      <t xml:space="preserve">              § 3613 v nebytových prostorech </t>
    </r>
    <r>
      <rPr>
        <sz val="9"/>
        <rFont val="Arial CE"/>
        <charset val="238"/>
      </rPr>
      <t>(odbor bytový: nájmy 13500, zálohy na služby 3000, kryté stání Loučka 240, krátkodobé 20, Hotel Praha 746, zálohy na služby a energie Hotel Praha 216, nájem teplovod Smet.sady 134)</t>
    </r>
  </si>
  <si>
    <r>
      <rPr>
        <sz val="10"/>
        <rFont val="Arial CE"/>
        <family val="2"/>
        <charset val="238"/>
      </rPr>
      <t xml:space="preserve">              § 3634 v zásobování teplem </t>
    </r>
    <r>
      <rPr>
        <sz val="9"/>
        <rFont val="Arial CE"/>
        <family val="2"/>
        <charset val="238"/>
      </rPr>
      <t>(VEOLIA)</t>
    </r>
  </si>
  <si>
    <r>
      <rPr>
        <sz val="10"/>
        <rFont val="Arial CE"/>
        <family val="2"/>
        <charset val="238"/>
      </rPr>
      <t xml:space="preserve">              § 4351 v domech s pečovatelskou službou </t>
    </r>
    <r>
      <rPr>
        <sz val="9"/>
        <rFont val="Arial CE"/>
        <family val="2"/>
        <charset val="238"/>
      </rPr>
      <t xml:space="preserve">(nájmy: krátkodobé 18), </t>
    </r>
    <r>
      <rPr>
        <sz val="8"/>
        <rFont val="Arial CE"/>
        <charset val="238"/>
      </rPr>
      <t>pozn.:skut.k 31.8.2020 vč.pol.2329</t>
    </r>
  </si>
  <si>
    <r>
      <rPr>
        <sz val="10"/>
        <rFont val="Arial CE"/>
        <family val="2"/>
        <charset val="238"/>
      </rPr>
      <t xml:space="preserve">              § 4379 v klubech seniorů </t>
    </r>
    <r>
      <rPr>
        <sz val="9"/>
        <rFont val="Arial CE"/>
        <family val="2"/>
        <charset val="238"/>
      </rPr>
      <t xml:space="preserve">(nájmy: dlouhodobé 16, krátkodobé 11) </t>
    </r>
  </si>
  <si>
    <t>Příjmy z úroků</t>
  </si>
  <si>
    <t>Sankční platby přijaté od jiných subjektů</t>
  </si>
  <si>
    <r>
      <rPr>
        <sz val="10"/>
        <rFont val="Arial CE"/>
        <family val="2"/>
        <charset val="238"/>
      </rPr>
      <t xml:space="preserve">z toho:  § 2141 vnitřní obchod </t>
    </r>
    <r>
      <rPr>
        <sz val="9"/>
        <rFont val="Arial CE"/>
        <charset val="238"/>
      </rPr>
      <t>(obecní živnostenský úřad: ve správním řízení 5, v blokovém řízení 15)</t>
    </r>
  </si>
  <si>
    <t xml:space="preserve">             § 2169 stavební úřad</t>
  </si>
  <si>
    <t xml:space="preserve">             § 2223 dopravní přestupky </t>
  </si>
  <si>
    <r>
      <rPr>
        <sz val="10"/>
        <rFont val="Arial CE"/>
        <family val="2"/>
        <charset val="238"/>
      </rPr>
      <t xml:space="preserve">             § 2223 dopravní přestupky </t>
    </r>
    <r>
      <rPr>
        <sz val="9"/>
        <rFont val="Arial CE"/>
        <charset val="238"/>
      </rPr>
      <t>(radary)</t>
    </r>
  </si>
  <si>
    <t xml:space="preserve">             § 3613 smluvní pokuta Čerťák (odbor bytový)</t>
  </si>
  <si>
    <t xml:space="preserve">             § 3633 smluvní pokuta IS RD Za Školou</t>
  </si>
  <si>
    <t xml:space="preserve">             § 3769 ostatní správa v ochraně životního prostředí       </t>
  </si>
  <si>
    <r>
      <rPr>
        <sz val="10"/>
        <rFont val="Arial CE"/>
        <family val="2"/>
        <charset val="238"/>
      </rPr>
      <t xml:space="preserve">             § 5311 bezpečnost a veřejný pořádek </t>
    </r>
    <r>
      <rPr>
        <sz val="9"/>
        <rFont val="Arial CE"/>
        <charset val="238"/>
      </rPr>
      <t>(Městská policie: na místě zaplacené 500, na místě nezapl. 150)</t>
    </r>
  </si>
  <si>
    <r>
      <rPr>
        <sz val="10"/>
        <rFont val="Arial CE"/>
        <family val="2"/>
        <charset val="238"/>
      </rPr>
      <t xml:space="preserve">             § 6171 pokuty </t>
    </r>
    <r>
      <rPr>
        <sz val="9"/>
        <rFont val="Arial CE"/>
        <family val="2"/>
        <charset val="238"/>
      </rPr>
      <t>(odbor přestupkových agend)</t>
    </r>
  </si>
  <si>
    <r>
      <rPr>
        <sz val="10"/>
        <rFont val="Arial CE"/>
        <family val="2"/>
        <charset val="238"/>
      </rPr>
      <t xml:space="preserve">             § 6171 pokuty </t>
    </r>
    <r>
      <rPr>
        <sz val="9"/>
        <rFont val="Arial CE"/>
        <family val="2"/>
        <charset val="238"/>
      </rPr>
      <t>(odbor správních agend)</t>
    </r>
  </si>
  <si>
    <r>
      <rPr>
        <b/>
        <sz val="10"/>
        <rFont val="Arial CE"/>
        <family val="2"/>
        <charset val="238"/>
      </rPr>
      <t xml:space="preserve">Ostatní příjmy z fin.vypořádání předch.let od jiných veřej.rozpočtů </t>
    </r>
    <r>
      <rPr>
        <sz val="10"/>
        <rFont val="Arial CE"/>
        <charset val="238"/>
      </rPr>
      <t xml:space="preserve">doplatek dotace 2019-volby do EP </t>
    </r>
  </si>
  <si>
    <r>
      <rPr>
        <b/>
        <sz val="10"/>
        <rFont val="Arial CE"/>
        <family val="2"/>
        <charset val="238"/>
      </rPr>
      <t xml:space="preserve">Ostatní přijaté vratky transferů </t>
    </r>
    <r>
      <rPr>
        <sz val="10"/>
        <rFont val="Arial CE"/>
        <charset val="238"/>
      </rPr>
      <t>(příspěvků a dotací)</t>
    </r>
  </si>
  <si>
    <t>z toho § 3111 MŠ vratky příspěvků 2019 na energie (org.305+307+309)</t>
  </si>
  <si>
    <t xml:space="preserve">           § 3111 MŠ vratky dotace 2019 - Šablony I (org. 0309)</t>
  </si>
  <si>
    <t xml:space="preserve">           § 3111 vratky veř.výpomoci 2019 - individuální žádosti kultura+sport (org.1180)</t>
  </si>
  <si>
    <t xml:space="preserve">           § 3113 ZŠ vratky příspěvků 2019 na energie (org.321+325)</t>
  </si>
  <si>
    <t xml:space="preserve">           § 3113 ZŠ vratky dotace 2019 - Šablony I  (org. 0323)</t>
  </si>
  <si>
    <t xml:space="preserve">           § 3233 SVČ Fokus vratky příspěvků 2019 na energie</t>
  </si>
  <si>
    <t xml:space="preserve">           § 3311 Beskydské divadlo vratky příspěvků 2019 na energie</t>
  </si>
  <si>
    <t xml:space="preserve">           § 3392 MěKS vratky příspěvků 2019 na energie</t>
  </si>
  <si>
    <t xml:space="preserve">           § 3412 Basketbalový klub z.s.-vratky příspěvků 2019 energie a provoz</t>
  </si>
  <si>
    <t xml:space="preserve">           § 3419 vratky veř.výpomoci 2019 - sport (org.1134, 1136,1137, 1141, 1180)</t>
  </si>
  <si>
    <t xml:space="preserve">           § 3429 vratky veř.výpomoci 2019 - sport (org. 1141)</t>
  </si>
  <si>
    <t xml:space="preserve">           § 4171- § 4379 dávky a podpory v soc.zabezpečení z minulých let</t>
  </si>
  <si>
    <t>Příjmy z prodeje krd a drobného dld majetku</t>
  </si>
  <si>
    <r>
      <rPr>
        <b/>
        <sz val="10"/>
        <rFont val="Arial CE"/>
        <family val="2"/>
        <charset val="238"/>
      </rPr>
      <t xml:space="preserve">Přijaté neinvestiční dary </t>
    </r>
    <r>
      <rPr>
        <sz val="9"/>
        <rFont val="Arial CE"/>
        <family val="2"/>
        <charset val="238"/>
      </rPr>
      <t xml:space="preserve">(Veolia Dalkia ČR-financování kulturních a společenských akcí města) </t>
    </r>
  </si>
  <si>
    <t>Přijaté pojistné náhrady</t>
  </si>
  <si>
    <t>Přijaté nekapitálové příspěvky a náhrady</t>
  </si>
  <si>
    <r>
      <rPr>
        <sz val="10"/>
        <rFont val="Arial CE"/>
        <charset val="238"/>
      </rPr>
      <t xml:space="preserve">             § 2141 vnitřní obchod </t>
    </r>
    <r>
      <rPr>
        <sz val="9"/>
        <rFont val="Arial CE"/>
        <family val="2"/>
        <charset val="238"/>
      </rPr>
      <t>(obecní živnostenský úřad: náklady řízení)</t>
    </r>
  </si>
  <si>
    <r>
      <rPr>
        <sz val="10"/>
        <rFont val="Arial CE"/>
        <charset val="238"/>
      </rPr>
      <t xml:space="preserve">             § 2223 bezpečnost silničního provozu </t>
    </r>
    <r>
      <rPr>
        <sz val="9"/>
        <rFont val="Arial CE"/>
        <charset val="238"/>
      </rPr>
      <t>(dopravní přestupky: náklady řízení)</t>
    </r>
  </si>
  <si>
    <r>
      <rPr>
        <sz val="10"/>
        <rFont val="Arial CE"/>
        <charset val="238"/>
      </rPr>
      <t xml:space="preserve">             § 3612 bytové hospodářství </t>
    </r>
    <r>
      <rPr>
        <sz val="9"/>
        <rFont val="Arial CE"/>
        <charset val="238"/>
      </rPr>
      <t>(odbor bytový: úhrada nákladů soudních řízení+poplatky z prodlení)</t>
    </r>
  </si>
  <si>
    <r>
      <rPr>
        <sz val="10"/>
        <rFont val="Arial CE"/>
        <charset val="238"/>
      </rPr>
      <t xml:space="preserve">             § 3613 nebytové hospodářství </t>
    </r>
    <r>
      <rPr>
        <sz val="9"/>
        <rFont val="Arial CE"/>
        <charset val="238"/>
      </rPr>
      <t>(odb.bytový: úhrada nákladů soudních řízení+popl.z prodlení,OSM 3,84798)</t>
    </r>
  </si>
  <si>
    <r>
      <rPr>
        <sz val="10"/>
        <rFont val="Arial CE"/>
        <family val="2"/>
        <charset val="238"/>
      </rPr>
      <t xml:space="preserve">             § 3631 veřejné osvětlení (náhrada za </t>
    </r>
    <r>
      <rPr>
        <sz val="9"/>
        <rFont val="Arial CE"/>
        <charset val="238"/>
      </rPr>
      <t>VO na území obce Šenov u NJ+F67</t>
    </r>
    <r>
      <rPr>
        <sz val="10"/>
        <rFont val="Arial CE"/>
        <family val="2"/>
        <charset val="238"/>
      </rPr>
      <t>)</t>
    </r>
  </si>
  <si>
    <r>
      <rPr>
        <sz val="10"/>
        <rFont val="Arial CE"/>
        <family val="2"/>
        <charset val="238"/>
      </rPr>
      <t xml:space="preserve">             § 3632 pohřebnictví (</t>
    </r>
    <r>
      <rPr>
        <sz val="9"/>
        <rFont val="Arial CE"/>
        <charset val="238"/>
      </rPr>
      <t>příspěvek od Česko-něm fondu budoucnosti na sanaci čestných hrobů NJ</t>
    </r>
    <r>
      <rPr>
        <sz val="10"/>
        <rFont val="Arial CE"/>
        <family val="2"/>
        <charset val="238"/>
      </rPr>
      <t>)</t>
    </r>
  </si>
  <si>
    <r>
      <rPr>
        <sz val="10"/>
        <rFont val="Arial CE"/>
        <family val="2"/>
        <charset val="238"/>
      </rPr>
      <t xml:space="preserve">             § 3639 náklady řízení </t>
    </r>
    <r>
      <rPr>
        <sz val="9"/>
        <rFont val="Arial CE"/>
        <charset val="238"/>
      </rPr>
      <t>(odbor finanční)</t>
    </r>
  </si>
  <si>
    <r>
      <rPr>
        <sz val="10"/>
        <rFont val="Arial CE"/>
        <family val="2"/>
        <charset val="238"/>
      </rPr>
      <t xml:space="preserve">             § 3722 sběr a svoz komunálních odpadů </t>
    </r>
    <r>
      <rPr>
        <sz val="9"/>
        <rFont val="Arial CE"/>
        <family val="2"/>
        <charset val="238"/>
      </rPr>
      <t xml:space="preserve">(příspěvek od EKOKOMu)               </t>
    </r>
  </si>
  <si>
    <r>
      <rPr>
        <sz val="10"/>
        <rFont val="Arial CE"/>
        <family val="2"/>
        <charset val="238"/>
      </rPr>
      <t xml:space="preserve">             § 3769 ostatní správa v ochraně životního prostředí</t>
    </r>
    <r>
      <rPr>
        <sz val="9"/>
        <rFont val="Arial CE"/>
        <family val="2"/>
        <charset val="238"/>
      </rPr>
      <t xml:space="preserve">       </t>
    </r>
  </si>
  <si>
    <r>
      <rPr>
        <sz val="10"/>
        <rFont val="Arial CE"/>
        <family val="2"/>
        <charset val="238"/>
      </rPr>
      <t xml:space="preserve">             § 4329 ostatní soc.péče a pomoc dětem a mládeži</t>
    </r>
    <r>
      <rPr>
        <sz val="9"/>
        <rFont val="Arial CE"/>
        <family val="2"/>
        <charset val="238"/>
      </rPr>
      <t xml:space="preserve">   </t>
    </r>
  </si>
  <si>
    <r>
      <rPr>
        <sz val="10"/>
        <rFont val="Arial CE"/>
        <family val="2"/>
        <charset val="238"/>
      </rPr>
      <t xml:space="preserve">             § 5311 bezpečnost a veřejný pořádek</t>
    </r>
    <r>
      <rPr>
        <sz val="9"/>
        <rFont val="Arial CE"/>
        <charset val="238"/>
      </rPr>
      <t xml:space="preserve"> (Městská policie: náhrady)</t>
    </r>
  </si>
  <si>
    <r>
      <rPr>
        <sz val="10"/>
        <rFont val="Arial CE"/>
        <family val="2"/>
        <charset val="238"/>
      </rPr>
      <t xml:space="preserve">             § 6171 činnost místní správy </t>
    </r>
    <r>
      <rPr>
        <sz val="9"/>
        <rFont val="Arial CE"/>
        <charset val="238"/>
      </rPr>
      <t>(odbor přestupkových agend: náklady řízení)</t>
    </r>
  </si>
  <si>
    <r>
      <rPr>
        <sz val="10"/>
        <rFont val="Arial CE"/>
        <family val="2"/>
        <charset val="238"/>
      </rPr>
      <t xml:space="preserve">             § 6171 činnost místní správy</t>
    </r>
    <r>
      <rPr>
        <sz val="9"/>
        <rFont val="Arial CE"/>
        <family val="2"/>
        <charset val="238"/>
      </rPr>
      <t xml:space="preserve"> (náhrady škod, dobropisy z min.let)</t>
    </r>
  </si>
  <si>
    <r>
      <rPr>
        <sz val="10"/>
        <rFont val="Arial CE"/>
        <family val="2"/>
        <charset val="238"/>
      </rPr>
      <t xml:space="preserve">             § 6171 činnost místní správy</t>
    </r>
    <r>
      <rPr>
        <sz val="9"/>
        <rFont val="Arial CE"/>
        <family val="2"/>
        <charset val="238"/>
      </rPr>
      <t xml:space="preserve"> (odbor finanční: exekuční a soudní náklady)</t>
    </r>
  </si>
  <si>
    <r>
      <rPr>
        <sz val="10"/>
        <rFont val="Arial CE"/>
        <family val="2"/>
        <charset val="238"/>
      </rPr>
      <t xml:space="preserve">             § 6409 ostatní činnosti j.n. (</t>
    </r>
    <r>
      <rPr>
        <sz val="9"/>
        <rFont val="Arial CE"/>
        <charset val="238"/>
      </rPr>
      <t>příspěvek na opravu kamenného divadla</t>
    </r>
    <r>
      <rPr>
        <sz val="10"/>
        <rFont val="Arial CE"/>
        <family val="2"/>
        <charset val="238"/>
      </rPr>
      <t>)</t>
    </r>
  </si>
  <si>
    <t>Neidentifikované příjmy</t>
  </si>
  <si>
    <t>Ostatní nedaňové příjmy j.n.</t>
  </si>
  <si>
    <t>z toho: § 2292 dopravní obslužnost (odbor dopravy)</t>
  </si>
  <si>
    <r>
      <rPr>
        <sz val="10"/>
        <rFont val="Arial CE"/>
        <family val="2"/>
        <charset val="238"/>
      </rPr>
      <t xml:space="preserve">             § 3341 kabelová televize Straník-přihlášky</t>
    </r>
    <r>
      <rPr>
        <sz val="9"/>
        <rFont val="Arial CE"/>
        <family val="2"/>
        <charset val="238"/>
      </rPr>
      <t xml:space="preserve"> </t>
    </r>
    <r>
      <rPr>
        <sz val="10"/>
        <rFont val="Arial CE"/>
        <charset val="238"/>
      </rPr>
      <t>(odbor správy majetku)</t>
    </r>
  </si>
  <si>
    <t xml:space="preserve">             § 3612 bytové hospodářství (odbor bytový)</t>
  </si>
  <si>
    <t xml:space="preserve">             § 3613 nebytové hospodářství (odbor bytový)</t>
  </si>
  <si>
    <r>
      <rPr>
        <sz val="10"/>
        <rFont val="Arial CE"/>
        <family val="2"/>
        <charset val="238"/>
      </rPr>
      <t xml:space="preserve">             § 3613 chata Jičínka </t>
    </r>
    <r>
      <rPr>
        <sz val="10"/>
        <rFont val="Arial CE"/>
        <charset val="238"/>
      </rPr>
      <t>(org. 4381)=účet 2310440, OSM kovošrot 0,310 + ostatní=účet 2310600</t>
    </r>
  </si>
  <si>
    <r>
      <rPr>
        <sz val="10"/>
        <rFont val="Arial CE"/>
        <family val="2"/>
        <charset val="238"/>
      </rPr>
      <t xml:space="preserve">             § 3632</t>
    </r>
    <r>
      <rPr>
        <sz val="10"/>
        <rFont val="Arial CE"/>
        <charset val="238"/>
      </rPr>
      <t xml:space="preserve"> pohřebnictví (odbor sociálních věcí - příjmy ze sociálních pohřbů)</t>
    </r>
  </si>
  <si>
    <r>
      <rPr>
        <sz val="10"/>
        <rFont val="Arial CE"/>
        <family val="2"/>
        <charset val="238"/>
      </rPr>
      <t xml:space="preserve">             § 3639 provoz internetu ve Straníku </t>
    </r>
    <r>
      <rPr>
        <sz val="10"/>
        <rFont val="Arial CE"/>
        <charset val="238"/>
      </rPr>
      <t>(odbor správy majetku)</t>
    </r>
  </si>
  <si>
    <t xml:space="preserve">             § 4351 domy s pečovatelskou službou (odbor bytový)</t>
  </si>
  <si>
    <t xml:space="preserve">             § 4399 ostatní záležitosti soc.věcí a politiky zaměstnanosti</t>
  </si>
  <si>
    <t xml:space="preserve">             § 6171 odbor organizační (DPH)</t>
  </si>
  <si>
    <t xml:space="preserve">             § 6409 odbor organizační </t>
  </si>
  <si>
    <r>
      <rPr>
        <b/>
        <sz val="10"/>
        <rFont val="Arial CE"/>
        <family val="2"/>
        <charset val="238"/>
      </rPr>
      <t xml:space="preserve">Splátky půjč.prostředků od podnik.subjektů-FO </t>
    </r>
    <r>
      <rPr>
        <sz val="10"/>
        <rFont val="Arial CE"/>
        <charset val="238"/>
      </rPr>
      <t>(návratná fin.výpomoc 2019 org.1180-Ing.Žitníková, projekt Beránek s plandavým ouškem)</t>
    </r>
  </si>
  <si>
    <r>
      <rPr>
        <b/>
        <sz val="10"/>
        <rFont val="Arial CE"/>
        <family val="2"/>
        <charset val="238"/>
      </rPr>
      <t xml:space="preserve">Příjmy z prodeje pozemků </t>
    </r>
    <r>
      <rPr>
        <sz val="10"/>
        <rFont val="Arial CE"/>
        <charset val="238"/>
      </rPr>
      <t>(v mil. Kč: za Kauflandem 5,95 + Dolní Brána 3,9 + IS Za Školou 3.etapa 44,064+ Lokalita Pod Skalkou 14,478 + chata Bludovice 0,8 + SBD Venkov 1,8 + trafostanice ČP 0,4 + ost. 2,5)</t>
    </r>
  </si>
  <si>
    <t xml:space="preserve">Příjmy z prodeje ostatních nemovitých věcí a jejich částí </t>
  </si>
  <si>
    <t xml:space="preserve">z toho: bytový dům Purkyňova 40 (podíl města 64/100) </t>
  </si>
  <si>
    <t xml:space="preserve">            nebytový dům Karla Čapka 15</t>
  </si>
  <si>
    <t xml:space="preserve">            bytový dům Hoblíkova 32</t>
  </si>
  <si>
    <t xml:space="preserve">            bytový dům Dolní Brána 26</t>
  </si>
  <si>
    <t xml:space="preserve">            nebytový dům Hoblíkova 3</t>
  </si>
  <si>
    <t xml:space="preserve">            nebytový dům U Jezu - celý areál - odhad</t>
  </si>
  <si>
    <t xml:space="preserve">            bytový dům Beskydská 176 (Škola života) - odhad</t>
  </si>
  <si>
    <t xml:space="preserve">            vodovodní řady města na pozemcích Žilina, Bludovice, NJ (ORJ 102)</t>
  </si>
  <si>
    <r>
      <rPr>
        <b/>
        <sz val="10"/>
        <rFont val="Arial CE"/>
        <family val="2"/>
        <charset val="238"/>
      </rPr>
      <t>Příjmy z prodeje ostatního hmotného dlouhodobého majetku</t>
    </r>
    <r>
      <rPr>
        <sz val="9"/>
        <rFont val="Arial CE"/>
        <charset val="238"/>
      </rPr>
      <t xml:space="preserve"> </t>
    </r>
  </si>
  <si>
    <r>
      <rPr>
        <b/>
        <sz val="10"/>
        <rFont val="Arial CE"/>
        <family val="2"/>
        <charset val="238"/>
      </rPr>
      <t>Ostatní příjmy z prodeje dlouhodobého majetku</t>
    </r>
    <r>
      <rPr>
        <sz val="9"/>
        <rFont val="Arial CE"/>
        <charset val="238"/>
      </rPr>
      <t xml:space="preserve"> (odbor organizační: metropolitní síť)</t>
    </r>
  </si>
  <si>
    <r>
      <rPr>
        <b/>
        <sz val="10"/>
        <rFont val="Arial CE"/>
        <family val="2"/>
        <charset val="238"/>
      </rPr>
      <t xml:space="preserve">Přijaté dary na pořízení dlouhodobého majetku </t>
    </r>
    <r>
      <rPr>
        <sz val="10"/>
        <rFont val="Arial CE"/>
        <charset val="238"/>
      </rPr>
      <t>(chodník Na Valech-spoluúčast, komunikace ČSAD r. 2021)</t>
    </r>
  </si>
  <si>
    <t>Přijaté příspěvky na pořízení dlouhodobého majetku</t>
  </si>
  <si>
    <t>Ostatní investiční příjmy j.n.</t>
  </si>
  <si>
    <t xml:space="preserve">             Modernizace kotelny zimního stadionu- bude u dotace na Rekonstrukci střechy</t>
  </si>
  <si>
    <t xml:space="preserve">             Vybudování kotelny v DPS U Jičínky 25</t>
  </si>
  <si>
    <t xml:space="preserve">             Místo pro přecházení Bludovice u České školy</t>
  </si>
  <si>
    <t xml:space="preserve">             Stavební úprava a nástavba objektu SVČ Fokus</t>
  </si>
  <si>
    <t>Třída 4  - Přijaté transfery</t>
  </si>
  <si>
    <t xml:space="preserve">Neinvestiční přijaté transfery z všeobecné pokladní správy státního rozpočtu </t>
  </si>
  <si>
    <t xml:space="preserve">               kompenzační bonus v souvislosti s kriz.opatřeními spojenými s výskytem koronaviru </t>
  </si>
  <si>
    <t xml:space="preserve">               na společné volby do Senátu Parlamentu ČR a zastupitelstev krajů</t>
  </si>
  <si>
    <r>
      <rPr>
        <b/>
        <sz val="10"/>
        <rFont val="Arial CE"/>
        <family val="2"/>
        <charset val="238"/>
      </rPr>
      <t xml:space="preserve">Neinvestiční přijaté transfery ze státního rozpočtu v rámci souhrnného dotačního vztahu </t>
    </r>
    <r>
      <rPr>
        <sz val="10"/>
        <rFont val="Arial CE"/>
        <family val="2"/>
        <charset val="238"/>
      </rPr>
      <t>(2020: příspěvek na výkon státní správy, z toho základní působnost 958935,0949 + matriční působnost 709659,9826 + příspěvek za narozené 520950 + příspěvek za sňatek 433320 + příspěvek za úmrtí 542800 + příspěvek za určení otcovství 39919 + stavební působnost 4236063,649 + pověřený obecní úřad 7723640,937 + rozšířená působnost 23616817,65 + obč.průkazy (5454 ks) + veřejné opatrovnictví 1363000 (47 opatr.) + 1530786 územní plánování + 236555 řidičské průkazy (2057 ks) + zaokrouhleno)                                                                                                                                                                                                                                                                                                                                                                                                                                                                     (2021: ...................................)</t>
    </r>
  </si>
  <si>
    <t xml:space="preserve">Ostatní neinvestiční přijaté transfery ze státního rozpočtu </t>
  </si>
  <si>
    <r>
      <rPr>
        <sz val="10"/>
        <rFont val="Arial CE"/>
        <family val="2"/>
        <charset val="238"/>
      </rPr>
      <t xml:space="preserve">              ostatní </t>
    </r>
    <r>
      <rPr>
        <sz val="9"/>
        <rFont val="Arial CE"/>
        <family val="2"/>
        <charset val="238"/>
      </rPr>
      <t>(minimální podíl melioračních dřevin, aj.)</t>
    </r>
  </si>
  <si>
    <t xml:space="preserve">              Výkon pěstounské péče (ÚZ 13010)</t>
  </si>
  <si>
    <t xml:space="preserve">              Výkon sociálněprávní ochrany dětí (ÚZ 13011)</t>
  </si>
  <si>
    <t xml:space="preserve">              Na výkon sociální práce mimo SPOD (ÚZ 13015)</t>
  </si>
  <si>
    <t xml:space="preserve">                                                        ÚZ 13351</t>
  </si>
  <si>
    <t xml:space="preserve">              MMR IROP SR NIV-EÚ bytového domu Revoluční 36 (ÚZ 17015)</t>
  </si>
  <si>
    <t xml:space="preserve">              MMR IROP EU NIV-EÚ bytového domu Revoluční 36 (ÚZ 17016)</t>
  </si>
  <si>
    <t xml:space="preserve">              Mze-zmírnění dopadů kůrovcové kalamity v lesích 1.10.2017-31.12.2018 (ÚZ 29030)</t>
  </si>
  <si>
    <t xml:space="preserve">                                                 ÚZ 33063</t>
  </si>
  <si>
    <t xml:space="preserve">                                                 ÚZ 34053</t>
  </si>
  <si>
    <t xml:space="preserve">              Min.kultury-Program regenerace MPR a MPZ</t>
  </si>
  <si>
    <t>Neinvestiční přijaté transfery od obcí</t>
  </si>
  <si>
    <r>
      <rPr>
        <sz val="10"/>
        <rFont val="Arial CE"/>
        <family val="2"/>
        <charset val="238"/>
      </rPr>
      <t xml:space="preserve">z toho: za veřejnoprávní smlouvy s ostatními obcemi na úseku přestupků </t>
    </r>
    <r>
      <rPr>
        <sz val="9"/>
        <rFont val="Arial CE"/>
        <family val="2"/>
        <charset val="238"/>
      </rPr>
      <t>(odbor přestupkových agend)</t>
    </r>
  </si>
  <si>
    <r>
      <rPr>
        <sz val="10"/>
        <rFont val="Arial CE"/>
        <family val="2"/>
        <charset val="238"/>
      </rPr>
      <t xml:space="preserve">             za veřejnopravní smlouvy s ostatními obcemi </t>
    </r>
    <r>
      <rPr>
        <sz val="9"/>
        <rFont val="Arial CE"/>
        <family val="2"/>
        <charset val="238"/>
      </rPr>
      <t>(Městská policie-odchyt psů)</t>
    </r>
  </si>
  <si>
    <t xml:space="preserve">             za poskytování odlehčovací služby Pohoda (ProSenior NJ)</t>
  </si>
  <si>
    <t xml:space="preserve">             na poskytování podpory soc.služeb dle zákona o soc.službách ORJ 541, org.1113</t>
  </si>
  <si>
    <t xml:space="preserve">             na poskytování podpory soc.služeb dle zákona o soc.službách ORJ 541, org.1114</t>
  </si>
  <si>
    <t xml:space="preserve">             za veřejnoprávní smlouvy s ostatními obcemi (odbor životního prostředí - veř.zeleň)</t>
  </si>
  <si>
    <r>
      <rPr>
        <sz val="10"/>
        <rFont val="Arial CE"/>
        <family val="2"/>
        <charset val="238"/>
      </rPr>
      <t xml:space="preserve">             za veřejnoprávní smlouvy s ostatními obcemi </t>
    </r>
    <r>
      <rPr>
        <sz val="9"/>
        <rFont val="Arial CE"/>
        <charset val="238"/>
      </rPr>
      <t>(</t>
    </r>
    <r>
      <rPr>
        <sz val="10"/>
        <rFont val="Arial CE"/>
        <charset val="238"/>
      </rPr>
      <t>stavební úřad</t>
    </r>
    <r>
      <rPr>
        <sz val="9"/>
        <rFont val="Arial CE"/>
        <charset val="238"/>
      </rPr>
      <t>)</t>
    </r>
  </si>
  <si>
    <t xml:space="preserve">Neinvestiční přijaté transfery od krajů </t>
  </si>
  <si>
    <t xml:space="preserve">              pořízení ochranných prostředků a pomůcek pro dopravce veř.dopravy- covid-19 (ÚZ 27009) </t>
  </si>
  <si>
    <t xml:space="preserve">              Okresní a kraj.soutěže typu AaB-SVČ Fokus (ÚZ 133)</t>
  </si>
  <si>
    <t xml:space="preserve">              podpora technických atraktivit v NJ (ÚZ 201)</t>
  </si>
  <si>
    <t xml:space="preserve">              zajištění výkonu regionálních funkcí knihoven-MěKS (ÚZ 345)</t>
  </si>
  <si>
    <r>
      <rPr>
        <sz val="10"/>
        <rFont val="Arial CE"/>
        <family val="2"/>
        <charset val="238"/>
      </rPr>
      <t xml:space="preserve">              poskytování sociálních služeb (ÚZ 13305) - </t>
    </r>
    <r>
      <rPr>
        <sz val="9"/>
        <rFont val="Arial CE"/>
        <charset val="238"/>
      </rPr>
      <t>pro Prosenior</t>
    </r>
  </si>
  <si>
    <r>
      <rPr>
        <sz val="9"/>
        <rFont val="Arial CE"/>
        <charset val="238"/>
      </rPr>
      <t>2360100/741/6330/</t>
    </r>
    <r>
      <rPr>
        <b/>
        <sz val="9"/>
        <rFont val="Arial CE"/>
        <charset val="238"/>
      </rPr>
      <t>4134</t>
    </r>
    <r>
      <rPr>
        <sz val="9"/>
        <rFont val="Arial CE"/>
        <charset val="238"/>
      </rPr>
      <t>/0/0</t>
    </r>
  </si>
  <si>
    <r>
      <rPr>
        <b/>
        <sz val="10"/>
        <rFont val="Arial CE"/>
        <family val="2"/>
        <charset val="238"/>
      </rPr>
      <t xml:space="preserve">Převody z rozpočtových účtů </t>
    </r>
    <r>
      <rPr>
        <sz val="9"/>
        <rFont val="Arial CE"/>
        <family val="2"/>
        <charset val="238"/>
      </rPr>
      <t>(sociální fond)</t>
    </r>
  </si>
  <si>
    <t>Investiční přijaté transfery ze SF</t>
  </si>
  <si>
    <t xml:space="preserve">              SFŽP -IV- nákup vozidel na alternativní pohon pro město NJ (ÚZ 90992)</t>
  </si>
  <si>
    <t xml:space="preserve">              SZIF-dotace pro JSDH Straník</t>
  </si>
  <si>
    <t xml:space="preserve">              SZIF- IV-SR-Program na rozvoj venkova-proj.Oprava kamenného divadla Skalky (ÚZ 89509)</t>
  </si>
  <si>
    <t xml:space="preserve">              SZIF- IV-EU-Program na rozvoj venkova-proj.Oprava kamenného divadla Skalky (ÚZ 89510)</t>
  </si>
  <si>
    <t>Ostatní investiční přijaté transfery ze státního rozpočtu</t>
  </si>
  <si>
    <t xml:space="preserve">             Zborovská 11 (revitalizace bytového domu) - dle rozhodnutí o poskytnutí dotace</t>
  </si>
  <si>
    <t xml:space="preserve">             Na Lani 212 (revitalizace bytového domu) -  dle rozhodnutí o poskytnutí dotace</t>
  </si>
  <si>
    <t xml:space="preserve">              MMR - Místo pro přecházení na silnici I/57 Bludovice u NJ (ÚZ 17969) </t>
  </si>
  <si>
    <t xml:space="preserve">              MMR IROP SR IV-EÚ bytového domu Revoluční 36 (ÚZ 17968)</t>
  </si>
  <si>
    <t xml:space="preserve">              MMR IROP EU IV-EÚ bytového domu Revoluční 36 (ÚZ 17969)</t>
  </si>
  <si>
    <t xml:space="preserve">              MMR IROP SR IV-Regulační plán MPR NJ (ÚZ 17968)</t>
  </si>
  <si>
    <t xml:space="preserve">              MMR IROP EU IV-Regulační plán MPR NJ (ÚZ 17969)</t>
  </si>
  <si>
    <t xml:space="preserve">              Opatření ke snížení energ.náročnosti VO - EFEKT 2021 (ÚZ 22500) </t>
  </si>
  <si>
    <t xml:space="preserve">                                          ÚZ 33502</t>
  </si>
  <si>
    <t xml:space="preserve">                                          ÚZ 34544</t>
  </si>
  <si>
    <t>Investiční přijaté transfery od krajů</t>
  </si>
  <si>
    <t xml:space="preserve">             Huckelovy vily (ÚZ 201) - dotace</t>
  </si>
  <si>
    <t xml:space="preserve">             Podpora technických atraktivit v NJ (ÚZ 201)</t>
  </si>
  <si>
    <t xml:space="preserve">             Rozšíření průmyslové zóny 2.etapa - dotace MSK (ÚZ 201)</t>
  </si>
  <si>
    <t xml:space="preserve">             Cyklostezka NJ-Hostašovice - úsek vojenská vlečka (ÚZ 719)</t>
  </si>
  <si>
    <r>
      <rPr>
        <b/>
        <sz val="10"/>
        <rFont val="Arial CE"/>
        <family val="2"/>
        <charset val="238"/>
      </rPr>
      <t xml:space="preserve">Změna stavu krátkodobých prostředků na bankovních účtech </t>
    </r>
    <r>
      <rPr>
        <sz val="9"/>
        <rFont val="Arial CE"/>
        <charset val="238"/>
      </rPr>
      <t>(zapojení konečného zůstatku k 31.12.2020 na účtech města)</t>
    </r>
  </si>
  <si>
    <r>
      <rPr>
        <b/>
        <sz val="10"/>
        <rFont val="Arial CE"/>
        <family val="2"/>
        <charset val="238"/>
      </rPr>
      <t xml:space="preserve">Aktivní krátkodobé operace řízení likvidity - příjmy </t>
    </r>
    <r>
      <rPr>
        <sz val="9"/>
        <rFont val="Arial CE"/>
        <charset val="238"/>
      </rPr>
      <t>(zhodnocování volných finančních zdrojů města)</t>
    </r>
  </si>
  <si>
    <r>
      <rPr>
        <b/>
        <sz val="10"/>
        <rFont val="Arial CE"/>
        <family val="2"/>
        <charset val="238"/>
      </rPr>
      <t>Dlouhodobé přijaté půjčené prostředky</t>
    </r>
    <r>
      <rPr>
        <sz val="9"/>
        <rFont val="Arial CE"/>
        <charset val="238"/>
      </rPr>
      <t xml:space="preserve"> (investiční úvěr na akce: Revitalizace K Archívu 2+Revitalizace Zborovská 11+Revitalizace Na Lani 212)</t>
    </r>
  </si>
  <si>
    <t>Změna stavu dlouhodobých prostředků na bankovních účtech</t>
  </si>
  <si>
    <t>Operace z peněžních účtů organizace nemající charakter příjmů a výdajů vládního sektoru</t>
  </si>
  <si>
    <t xml:space="preserve">            splátky úvěru do DSO regionu Novojičínska - Kanalizace Žilina-Loučka</t>
  </si>
  <si>
    <t xml:space="preserve">            DPH - přenesená daňová povinnost</t>
  </si>
  <si>
    <t>Výdaje</t>
  </si>
  <si>
    <t>ORJ 1xx - Odbor správy majetku</t>
  </si>
  <si>
    <t>102 - Vodní hospodářství</t>
  </si>
  <si>
    <r>
      <rPr>
        <b/>
        <sz val="10"/>
        <rFont val="Arial CE"/>
        <family val="2"/>
        <charset val="238"/>
      </rPr>
      <t>Pitná voda</t>
    </r>
    <r>
      <rPr>
        <sz val="9"/>
        <rFont val="Arial CE"/>
        <family val="2"/>
        <charset val="238"/>
      </rPr>
      <t xml:space="preserve"> (účet 2310800)</t>
    </r>
  </si>
  <si>
    <t>0387/2310/5151</t>
  </si>
  <si>
    <t xml:space="preserve">           dovoz pitné vody </t>
  </si>
  <si>
    <t>0387/2310/5169</t>
  </si>
  <si>
    <r>
      <rPr>
        <sz val="10"/>
        <rFont val="Arial CE"/>
        <family val="2"/>
        <charset val="238"/>
      </rPr>
      <t xml:space="preserve">           </t>
    </r>
    <r>
      <rPr>
        <sz val="9"/>
        <rFont val="Arial CE"/>
        <charset val="238"/>
      </rPr>
      <t xml:space="preserve">PD k opravám, pasport vodovodů </t>
    </r>
  </si>
  <si>
    <t>0387/2310/5171</t>
  </si>
  <si>
    <r>
      <rPr>
        <sz val="10"/>
        <rFont val="Arial CE"/>
        <family val="2"/>
        <charset val="238"/>
      </rPr>
      <t xml:space="preserve">           </t>
    </r>
    <r>
      <rPr>
        <sz val="9"/>
        <rFont val="Arial CE"/>
        <charset val="238"/>
      </rPr>
      <t>opravy a udržba</t>
    </r>
  </si>
  <si>
    <r>
      <rPr>
        <b/>
        <sz val="10"/>
        <rFont val="Arial CE"/>
        <family val="2"/>
        <charset val="238"/>
      </rPr>
      <t xml:space="preserve">Odvádění a čištění odpadních vod a nakládání s kaly </t>
    </r>
    <r>
      <rPr>
        <sz val="9"/>
        <rFont val="Arial CE"/>
        <charset val="238"/>
      </rPr>
      <t>(účet 2310800)</t>
    </r>
  </si>
  <si>
    <t>0387/2321/5151</t>
  </si>
  <si>
    <t xml:space="preserve">            studená voda </t>
  </si>
  <si>
    <t>0387/2321/5169</t>
  </si>
  <si>
    <t xml:space="preserve">            revize, poplatky, PD k opravám, pasport kanalizace</t>
  </si>
  <si>
    <t>0387/2321/5171</t>
  </si>
  <si>
    <t xml:space="preserve">            opravy a údržba</t>
  </si>
  <si>
    <r>
      <rPr>
        <sz val="10"/>
        <rFont val="Arial CE"/>
        <charset val="238"/>
      </rPr>
      <t xml:space="preserve">            Plán financování obnovy </t>
    </r>
    <r>
      <rPr>
        <sz val="9"/>
        <rFont val="Arial CE"/>
        <charset val="238"/>
      </rPr>
      <t>(účet 2310441) - opr. a udržování (rekonstrukce - obnova kanallizačních šachet ul. Slezská a Na Prachárně)</t>
    </r>
  </si>
  <si>
    <r>
      <rPr>
        <b/>
        <sz val="10"/>
        <rFont val="Arial CE"/>
        <family val="2"/>
        <charset val="238"/>
      </rPr>
      <t xml:space="preserve">Úpravy drobných vodních toků </t>
    </r>
    <r>
      <rPr>
        <sz val="10"/>
        <rFont val="Arial CE"/>
        <charset val="238"/>
      </rPr>
      <t>(účet 231 0800)</t>
    </r>
  </si>
  <si>
    <t>0387/2333/5169</t>
  </si>
  <si>
    <t xml:space="preserve">            revize, poplatky, PD k opravám</t>
  </si>
  <si>
    <t>0387/2333/5171</t>
  </si>
  <si>
    <t>110 - Doprava</t>
  </si>
  <si>
    <r>
      <rPr>
        <b/>
        <sz val="10"/>
        <rFont val="Arial CE"/>
        <family val="2"/>
        <charset val="238"/>
      </rPr>
      <t xml:space="preserve">Silnice </t>
    </r>
    <r>
      <rPr>
        <sz val="8"/>
        <rFont val="Arial CE"/>
        <charset val="238"/>
      </rPr>
      <t>(účet 2310800)</t>
    </r>
  </si>
  <si>
    <t>z toho: Investice celkem</t>
  </si>
  <si>
    <t>0517/2212/6351</t>
  </si>
  <si>
    <t xml:space="preserve">                  parkovací automaty - obnova (TSM)</t>
  </si>
  <si>
    <t xml:space="preserve">                  dvoumístné vozidlo o celkové hmotnosti 3,5 t se sklápěcí korbou (TSM)</t>
  </si>
  <si>
    <t xml:space="preserve">                  dřevěné prodejní stánky (TSM)</t>
  </si>
  <si>
    <t>0517/2212/5331</t>
  </si>
  <si>
    <r>
      <rPr>
        <sz val="10"/>
        <rFont val="Arial CE"/>
        <family val="2"/>
        <charset val="238"/>
      </rPr>
      <t xml:space="preserve">             veřejně prospěšné práce </t>
    </r>
    <r>
      <rPr>
        <sz val="9"/>
        <rFont val="Arial CE"/>
        <family val="2"/>
        <charset val="238"/>
      </rPr>
      <t>(TSM)</t>
    </r>
  </si>
  <si>
    <r>
      <rPr>
        <sz val="10"/>
        <rFont val="Arial CE"/>
        <family val="2"/>
        <charset val="238"/>
      </rPr>
      <t xml:space="preserve">             oprava a údržba místních komunikací </t>
    </r>
    <r>
      <rPr>
        <sz val="9"/>
        <rFont val="Arial CE"/>
        <family val="2"/>
        <charset val="238"/>
      </rPr>
      <t>(TSM)</t>
    </r>
  </si>
  <si>
    <t>0517/2212/5139</t>
  </si>
  <si>
    <t xml:space="preserve">             nákup materiálu jinde nezařazený</t>
  </si>
  <si>
    <t>0386/2212/5171</t>
  </si>
  <si>
    <t xml:space="preserve">             oprava a údržba místních komunikací - město</t>
  </si>
  <si>
    <t>0386/2212/5169</t>
  </si>
  <si>
    <r>
      <rPr>
        <sz val="10"/>
        <rFont val="Arial CE"/>
        <family val="2"/>
        <charset val="238"/>
      </rPr>
      <t xml:space="preserve">             </t>
    </r>
    <r>
      <rPr>
        <sz val="10"/>
        <rFont val="Arial CE"/>
        <charset val="238"/>
      </rPr>
      <t>služby -  PD k opravám, revize, poplatky</t>
    </r>
  </si>
  <si>
    <r>
      <rPr>
        <sz val="10"/>
        <rFont val="Arial CE"/>
        <family val="2"/>
        <charset val="238"/>
      </rPr>
      <t xml:space="preserve">             </t>
    </r>
    <r>
      <rPr>
        <sz val="10"/>
        <rFont val="Arial CE"/>
        <charset val="238"/>
      </rPr>
      <t>služby -  pasport místních komunikací</t>
    </r>
  </si>
  <si>
    <t>0386/2212/5164</t>
  </si>
  <si>
    <r>
      <rPr>
        <sz val="10"/>
        <rFont val="Arial CE"/>
        <family val="2"/>
        <charset val="238"/>
      </rPr>
      <t xml:space="preserve">             </t>
    </r>
    <r>
      <rPr>
        <sz val="10"/>
        <rFont val="Arial CE"/>
        <charset val="238"/>
      </rPr>
      <t>nájemné</t>
    </r>
  </si>
  <si>
    <r>
      <rPr>
        <b/>
        <sz val="10"/>
        <rFont val="Arial CE"/>
        <family val="2"/>
        <charset val="238"/>
      </rPr>
      <t xml:space="preserve">Ostatní záležitosti pozemních komunikací </t>
    </r>
    <r>
      <rPr>
        <sz val="9"/>
        <rFont val="Arial CE"/>
        <charset val="238"/>
      </rPr>
      <t>(účet 2310800)</t>
    </r>
  </si>
  <si>
    <t>0386/2219/5169</t>
  </si>
  <si>
    <t xml:space="preserve">             služby - PD k opravám, revize, poplatky</t>
  </si>
  <si>
    <t>0386/2219/5171</t>
  </si>
  <si>
    <t xml:space="preserve">             opravy a udržování chodníků</t>
  </si>
  <si>
    <t>0386/2219/5362</t>
  </si>
  <si>
    <t xml:space="preserve">             platby daní a poplatků, sankce</t>
  </si>
  <si>
    <t>0517/2219/5331</t>
  </si>
  <si>
    <t xml:space="preserve">             parkoviště (TSM)</t>
  </si>
  <si>
    <r>
      <rPr>
        <b/>
        <sz val="10"/>
        <rFont val="Arial CE"/>
        <family val="2"/>
        <charset val="238"/>
      </rPr>
      <t>Provoz veřejné silniční dopravy</t>
    </r>
    <r>
      <rPr>
        <sz val="9"/>
        <rFont val="Arial CE"/>
        <charset val="238"/>
      </rPr>
      <t xml:space="preserve"> (účet 2310800)</t>
    </r>
  </si>
  <si>
    <t>0386/2221/5169</t>
  </si>
  <si>
    <t>z toho: služby - revize, poplatky, PD k opravám</t>
  </si>
  <si>
    <t>0386/2221/5171</t>
  </si>
  <si>
    <t xml:space="preserve">            opravy autobusových přístřešků</t>
  </si>
  <si>
    <t>120 - Majetkoprávní záležitosti</t>
  </si>
  <si>
    <t>Komunální služby a územní rozvoj j.n.</t>
  </si>
  <si>
    <t>0092/3639/6130</t>
  </si>
  <si>
    <r>
      <rPr>
        <sz val="10"/>
        <rFont val="Arial CE"/>
        <charset val="238"/>
      </rPr>
      <t xml:space="preserve">z toho: investice - výkupy pozemků </t>
    </r>
    <r>
      <rPr>
        <sz val="9"/>
        <rFont val="Arial CE"/>
        <charset val="238"/>
      </rPr>
      <t>(ostatní 0,5+Orlita 0,9+Jednota 0,2)</t>
    </r>
  </si>
  <si>
    <t>0002/3639/5122</t>
  </si>
  <si>
    <r>
      <rPr>
        <sz val="10"/>
        <rFont val="Arial CE"/>
        <family val="2"/>
        <charset val="238"/>
      </rPr>
      <t xml:space="preserve">            věcná břemena (</t>
    </r>
    <r>
      <rPr>
        <sz val="9"/>
        <rFont val="Arial CE"/>
        <charset val="238"/>
      </rPr>
      <t>účet 2310440)</t>
    </r>
  </si>
  <si>
    <r>
      <rPr>
        <sz val="10"/>
        <rFont val="Arial CE"/>
        <family val="2"/>
        <charset val="238"/>
      </rPr>
      <t xml:space="preserve">            věcná břemena (</t>
    </r>
    <r>
      <rPr>
        <sz val="9"/>
        <rFont val="Arial CE"/>
        <charset val="238"/>
      </rPr>
      <t>účet 2310800)</t>
    </r>
  </si>
  <si>
    <t>0092/3639/5021</t>
  </si>
  <si>
    <t xml:space="preserve">            majetkoprávní - ostatní osobní výdaje (dohoda)</t>
  </si>
  <si>
    <t>0092/3639/5166</t>
  </si>
  <si>
    <t xml:space="preserve">            majetkoprávní - sociální pojištění</t>
  </si>
  <si>
    <t>0092/3639/5169</t>
  </si>
  <si>
    <t xml:space="preserve">            majetkoprávní - zdravotní pojištění</t>
  </si>
  <si>
    <t>0092/3639/5164</t>
  </si>
  <si>
    <t xml:space="preserve">            majetkoprávní - nájemné</t>
  </si>
  <si>
    <t xml:space="preserve">            majetkoprávní - znalecké posudky</t>
  </si>
  <si>
    <t xml:space="preserve">            majetkoprávní - posudky a geometrické plány</t>
  </si>
  <si>
    <t>0092/3639/5179</t>
  </si>
  <si>
    <t xml:space="preserve">            majetkoprávní - ostatní nákupy jinde nezařazené (kauce - veřejná dražba)</t>
  </si>
  <si>
    <t>0092/3639/5361</t>
  </si>
  <si>
    <t xml:space="preserve">            majetkoprávní - nákup kolků</t>
  </si>
  <si>
    <t>0092/3639/5362</t>
  </si>
  <si>
    <t xml:space="preserve">            majetkoprávní - správní poplatky</t>
  </si>
  <si>
    <t xml:space="preserve">139 - Komunální služby </t>
  </si>
  <si>
    <r>
      <rPr>
        <b/>
        <sz val="10"/>
        <rFont val="Arial CE"/>
        <family val="2"/>
        <charset val="238"/>
      </rPr>
      <t>Rozhlas a televize</t>
    </r>
    <r>
      <rPr>
        <sz val="9"/>
        <rFont val="Arial CE"/>
        <charset val="238"/>
      </rPr>
      <t xml:space="preserve"> (účet 2310800) </t>
    </r>
  </si>
  <si>
    <t>0513/3341/5171</t>
  </si>
  <si>
    <t xml:space="preserve">            opravy a udržování</t>
  </si>
  <si>
    <t>0513/3341/5362</t>
  </si>
  <si>
    <t xml:space="preserve">            poplatky</t>
  </si>
  <si>
    <r>
      <rPr>
        <b/>
        <sz val="10"/>
        <rFont val="Arial CE"/>
        <family val="2"/>
        <charset val="238"/>
      </rPr>
      <t xml:space="preserve">Využití volného času dětí a mládeže </t>
    </r>
    <r>
      <rPr>
        <sz val="9"/>
        <rFont val="Arial CE"/>
        <charset val="238"/>
      </rPr>
      <t>(účet 2310800)</t>
    </r>
  </si>
  <si>
    <t>0382/3421/5137</t>
  </si>
  <si>
    <t xml:space="preserve">             Dětská hřiště - drobný hmotný dlouhodobý majetek</t>
  </si>
  <si>
    <t>0382/3421/5139</t>
  </si>
  <si>
    <t xml:space="preserve">             Dětská hřiště - nákup materiálu</t>
  </si>
  <si>
    <t>0382/3421/5169</t>
  </si>
  <si>
    <t xml:space="preserve">             Dětská hřiště -ostatní služby (revize, PD k opravám)</t>
  </si>
  <si>
    <t>0382/3421/5171</t>
  </si>
  <si>
    <t xml:space="preserve">             Dětská hřiště - opravy a údržba </t>
  </si>
  <si>
    <t>0517/3421/5331</t>
  </si>
  <si>
    <t xml:space="preserve">             Dětská hřiště - příspěvek na údržbu a opravy TSM </t>
  </si>
  <si>
    <r>
      <rPr>
        <b/>
        <sz val="10"/>
        <rFont val="Arial CE"/>
        <family val="2"/>
        <charset val="238"/>
      </rPr>
      <t xml:space="preserve">Nebytové hospodářství </t>
    </r>
    <r>
      <rPr>
        <sz val="9"/>
        <rFont val="Arial CE"/>
        <charset val="238"/>
      </rPr>
      <t>(účet 2310800)</t>
    </r>
  </si>
  <si>
    <t>0382/3613/5137</t>
  </si>
  <si>
    <t xml:space="preserve">             drobný hmotný dlouhodobý majetek</t>
  </si>
  <si>
    <t>0382/3613/5139</t>
  </si>
  <si>
    <t xml:space="preserve">              nákup materiálu jinde nezařazeného</t>
  </si>
  <si>
    <t>0382/3613/5151</t>
  </si>
  <si>
    <t xml:space="preserve">              voda</t>
  </si>
  <si>
    <t>0382/3613/5154</t>
  </si>
  <si>
    <t xml:space="preserve">              elektrická energie</t>
  </si>
  <si>
    <t>0382/3613/5169</t>
  </si>
  <si>
    <t xml:space="preserve">              nákup služeb</t>
  </si>
  <si>
    <t xml:space="preserve">              nákup služeb - nátěry lam, košů, laviček v MPR</t>
  </si>
  <si>
    <t>0382/3613/5171</t>
  </si>
  <si>
    <t xml:space="preserve">              opravy a údržba</t>
  </si>
  <si>
    <r>
      <rPr>
        <b/>
        <sz val="10"/>
        <rFont val="Arial CE"/>
        <family val="2"/>
        <charset val="238"/>
      </rPr>
      <t xml:space="preserve">Veřejné osvětlení (VO) </t>
    </r>
    <r>
      <rPr>
        <sz val="9"/>
        <rFont val="Arial CE"/>
        <charset val="238"/>
      </rPr>
      <t>(účet 2310800)</t>
    </r>
  </si>
  <si>
    <t>0382/3631/5169</t>
  </si>
  <si>
    <t xml:space="preserve">             nákup služeb</t>
  </si>
  <si>
    <t>0382/3631/5171</t>
  </si>
  <si>
    <t xml:space="preserve">             opravy a údržba VO</t>
  </si>
  <si>
    <t>0517/3631/5331</t>
  </si>
  <si>
    <t xml:space="preserve">             příspěvek TSM</t>
  </si>
  <si>
    <t>0382/3631/5154</t>
  </si>
  <si>
    <t xml:space="preserve">             elektrická energie </t>
  </si>
  <si>
    <r>
      <rPr>
        <b/>
        <sz val="10"/>
        <rFont val="Arial CE"/>
        <charset val="238"/>
      </rPr>
      <t xml:space="preserve">Pohřebnictví </t>
    </r>
    <r>
      <rPr>
        <sz val="10"/>
        <rFont val="Arial CE"/>
        <charset val="238"/>
      </rPr>
      <t xml:space="preserve">(účet 2310800) </t>
    </r>
  </si>
  <si>
    <t>z toho: investice celkem = inv. příspěvky TSM</t>
  </si>
  <si>
    <t>0517/3632/6351</t>
  </si>
  <si>
    <t xml:space="preserve">                    Oplocení hřbitova v městské části Žilina</t>
  </si>
  <si>
    <t xml:space="preserve">                    Zastřešení prostoru před márnicí na hřbitově v Novém Jičíně </t>
  </si>
  <si>
    <t xml:space="preserve">                    Upgrade softwaru pro pasportizaci hřbitovů </t>
  </si>
  <si>
    <t xml:space="preserve">                    Oprava kamenné zdi</t>
  </si>
  <si>
    <t xml:space="preserve">                    Projektová dokumentace ke GO smuteční síně a márnice</t>
  </si>
  <si>
    <t>0517/3632/5331</t>
  </si>
  <si>
    <t xml:space="preserve">             příspěvek TSM - údržba</t>
  </si>
  <si>
    <t>0382/3632/5169</t>
  </si>
  <si>
    <t xml:space="preserve">             nákup služeb - pasport ozelenění hřbitova</t>
  </si>
  <si>
    <t>0382/3632/5171</t>
  </si>
  <si>
    <t xml:space="preserve">             opravy a údržba hřbitova</t>
  </si>
  <si>
    <r>
      <rPr>
        <b/>
        <sz val="10"/>
        <rFont val="Arial CE"/>
        <family val="2"/>
        <charset val="238"/>
      </rPr>
      <t>Komunální služby a územní rozvoj j.n.</t>
    </r>
    <r>
      <rPr>
        <sz val="9"/>
        <rFont val="Arial CE"/>
        <family val="2"/>
        <charset val="238"/>
      </rPr>
      <t xml:space="preserve"> </t>
    </r>
  </si>
  <si>
    <t>0382/3639/6121</t>
  </si>
  <si>
    <r>
      <rPr>
        <sz val="10"/>
        <rFont val="Arial CE"/>
        <family val="2"/>
        <charset val="238"/>
      </rPr>
      <t xml:space="preserve">z toho: investice celkem - zápočet oplocení p. Perútka </t>
    </r>
    <r>
      <rPr>
        <sz val="9"/>
        <rFont val="Arial CE"/>
        <charset val="238"/>
      </rPr>
      <t>(účet 2310440)</t>
    </r>
  </si>
  <si>
    <t>0382/3639/5139</t>
  </si>
  <si>
    <r>
      <rPr>
        <sz val="10"/>
        <rFont val="Arial CE"/>
        <family val="2"/>
        <charset val="238"/>
      </rPr>
      <t xml:space="preserve">            přípojky na televizní kabelové rozvody Straník - materiál</t>
    </r>
    <r>
      <rPr>
        <sz val="9"/>
        <rFont val="Arial CE"/>
        <charset val="238"/>
      </rPr>
      <t xml:space="preserve"> (účet 231 0800)</t>
    </r>
  </si>
  <si>
    <r>
      <rPr>
        <b/>
        <sz val="10"/>
        <rFont val="Arial CE"/>
        <family val="2"/>
        <charset val="238"/>
      </rPr>
      <t xml:space="preserve">Ostatní záležitosti bydlení, komunálních služeb a územního rozvoje </t>
    </r>
    <r>
      <rPr>
        <sz val="9"/>
        <rFont val="Arial CE"/>
        <charset val="238"/>
      </rPr>
      <t>(účet 2310800)</t>
    </r>
  </si>
  <si>
    <t>0517/3699/5331</t>
  </si>
  <si>
    <r>
      <rPr>
        <sz val="10"/>
        <rFont val="Arial CE"/>
        <family val="2"/>
        <charset val="238"/>
      </rPr>
      <t xml:space="preserve">z toho: mobiliář </t>
    </r>
    <r>
      <rPr>
        <sz val="9"/>
        <rFont val="Arial CE"/>
        <charset val="238"/>
      </rPr>
      <t>(TSM 200)</t>
    </r>
  </si>
  <si>
    <t xml:space="preserve">ORJ 6XX - Odbor rozvoje a investic </t>
  </si>
  <si>
    <t>602 - Vodní hospodářství</t>
  </si>
  <si>
    <r>
      <rPr>
        <b/>
        <sz val="10"/>
        <rFont val="Arial CE"/>
      </rPr>
      <t>Pitná voda</t>
    </r>
    <r>
      <rPr>
        <sz val="9"/>
        <rFont val="Arial CE"/>
      </rPr>
      <t xml:space="preserve"> (účet 2310800)</t>
    </r>
  </si>
  <si>
    <t>4387/2310/6121</t>
  </si>
  <si>
    <t xml:space="preserve">                      Vodovod Loučka, Císařská </t>
  </si>
  <si>
    <t>5380/2310/6121</t>
  </si>
  <si>
    <t xml:space="preserve">                      Akumulační nádrž na vodu Straník PD</t>
  </si>
  <si>
    <t>5387/2310/6121</t>
  </si>
  <si>
    <t xml:space="preserve">                      Vodovod Žilina, Pstruží potok - Životice </t>
  </si>
  <si>
    <t>6387/2310/6121</t>
  </si>
  <si>
    <t xml:space="preserve">                      Vodovod Bludovice, Záhumenní </t>
  </si>
  <si>
    <r>
      <rPr>
        <b/>
        <sz val="10"/>
        <rFont val="Arial CE"/>
      </rPr>
      <t xml:space="preserve">Odvádění a čištění odpadních vod a nakládání s kaly </t>
    </r>
    <r>
      <rPr>
        <sz val="9"/>
        <rFont val="Arial CE"/>
      </rPr>
      <t>(účet 2310800)</t>
    </r>
  </si>
  <si>
    <t>5410/2321/6121</t>
  </si>
  <si>
    <t xml:space="preserve">                      Kanalizace Žilina, U Mlýna PD - ukončeno 8/2020</t>
  </si>
  <si>
    <t>5430/2321/6121</t>
  </si>
  <si>
    <r>
      <rPr>
        <sz val="10"/>
        <rFont val="Arial CE"/>
        <charset val="238"/>
      </rPr>
      <t xml:space="preserve">                      </t>
    </r>
    <r>
      <rPr>
        <sz val="10"/>
        <rFont val="Arial CE"/>
      </rPr>
      <t xml:space="preserve">Zatrubnění dešťové kanalizace Žilina p. č. 951 </t>
    </r>
  </si>
  <si>
    <t>5434/2321/6121</t>
  </si>
  <si>
    <t xml:space="preserve">                      Jednotná kanalizace Žilina, Příčná </t>
  </si>
  <si>
    <t>8387/2321/6121</t>
  </si>
  <si>
    <t xml:space="preserve">                      Kanalizace Žilina, Okružní PD</t>
  </si>
  <si>
    <t>9387/2321/6121</t>
  </si>
  <si>
    <t xml:space="preserve">                      Kanalizace Trlicova - aktualizace PD</t>
  </si>
  <si>
    <t>XXXX/2321/6121</t>
  </si>
  <si>
    <t xml:space="preserve">                      Odvodnění lokality Loučka, Na Lani (cyklostezka, kryté stání) PD</t>
  </si>
  <si>
    <r>
      <rPr>
        <b/>
        <sz val="10"/>
        <rFont val="Arial CE"/>
      </rPr>
      <t xml:space="preserve">Úpravy drobných vodních toků </t>
    </r>
    <r>
      <rPr>
        <sz val="9"/>
        <rFont val="Arial CE"/>
      </rPr>
      <t>(účet 2310800)</t>
    </r>
  </si>
  <si>
    <t>5412/2333/6121</t>
  </si>
  <si>
    <t xml:space="preserve">                      Úprava Stranického potoka 3. etapa - ukončeno 3/2020</t>
  </si>
  <si>
    <t>610 - Doprava</t>
  </si>
  <si>
    <r>
      <rPr>
        <b/>
        <sz val="10"/>
        <rFont val="Arial CE"/>
      </rPr>
      <t xml:space="preserve">Silnice </t>
    </r>
    <r>
      <rPr>
        <sz val="9"/>
        <rFont val="Arial CE"/>
      </rPr>
      <t>(účet 2310800)</t>
    </r>
  </si>
  <si>
    <t xml:space="preserve">                     Velkoplošné opravy MK nad 500 000 Kč - služby</t>
  </si>
  <si>
    <t xml:space="preserve">                     Velkoplošné opravy MK nad 500 000 Kč </t>
  </si>
  <si>
    <t>4385/2212/6121</t>
  </si>
  <si>
    <t xml:space="preserve">                     Rondel Gen. Hlaďo - K Nemocnici PD</t>
  </si>
  <si>
    <t>5376/2212/6121</t>
  </si>
  <si>
    <t xml:space="preserve">                     Příjezdová  komunikace areál ČSAD</t>
  </si>
  <si>
    <t>5377/2212/6121</t>
  </si>
  <si>
    <t xml:space="preserve">                     Přechod včetně rondelu K Nemocnici, Pod Skalkou, B. Martinů PD</t>
  </si>
  <si>
    <t>5378/2212/6121</t>
  </si>
  <si>
    <t xml:space="preserve">                     Příjezdová  komunikace ČOV Kojetín PD</t>
  </si>
  <si>
    <t>5379/2212/6121</t>
  </si>
  <si>
    <t xml:space="preserve">                     Rozšíření komunikace Kojetín p. č. 625/1 (Bala) </t>
  </si>
  <si>
    <t>5390/2212/6121</t>
  </si>
  <si>
    <t xml:space="preserve">                     Most - propustek Straník č. p. 86 </t>
  </si>
  <si>
    <t>5391/2212/6121</t>
  </si>
  <si>
    <r>
      <rPr>
        <sz val="10"/>
        <rFont val="Arial CE"/>
        <charset val="238"/>
      </rPr>
      <t xml:space="preserve">                     M</t>
    </r>
    <r>
      <rPr>
        <sz val="10"/>
        <rFont val="Arial CE"/>
      </rPr>
      <t>ost Jiráskova, pod gymnáziem PD</t>
    </r>
  </si>
  <si>
    <t>5397/2212/6121</t>
  </si>
  <si>
    <t xml:space="preserve">                     Komunikace Žilina, Za Školou p. č. 616/2</t>
  </si>
  <si>
    <t>5414/2212/6121</t>
  </si>
  <si>
    <t xml:space="preserve">                     Komunikace  Žilina, Potoční</t>
  </si>
  <si>
    <t>5432/2212/6121</t>
  </si>
  <si>
    <t xml:space="preserve">                     Přechod SVČ Fokus, K Nemocnici </t>
  </si>
  <si>
    <t xml:space="preserve"> </t>
  </si>
  <si>
    <t>5433/2212/6121</t>
  </si>
  <si>
    <t xml:space="preserve">                     Lávka Novosady PD</t>
  </si>
  <si>
    <t>8386/2212/6121</t>
  </si>
  <si>
    <t xml:space="preserve">                     Most Revoluční u domu č. p. 105 </t>
  </si>
  <si>
    <t>9386/2212/6121</t>
  </si>
  <si>
    <t xml:space="preserve">                     Most Loučka, V Kútě PD</t>
  </si>
  <si>
    <t>9388/2212/6121</t>
  </si>
  <si>
    <t xml:space="preserve">                     Stacionární místo pro radar Bludovice </t>
  </si>
  <si>
    <t>XXXX/2212/6121</t>
  </si>
  <si>
    <t xml:space="preserve">                     Most Dolní Brána (u Laposu) </t>
  </si>
  <si>
    <t xml:space="preserve">                     Komunikace - propojení Hoblíkova - Žižkova PD</t>
  </si>
  <si>
    <t xml:space="preserve">                     Komunikace K Archivu PD</t>
  </si>
  <si>
    <t xml:space="preserve">                     Rekonstrukce komunikace Straník - Kojetín PD</t>
  </si>
  <si>
    <r>
      <rPr>
        <b/>
        <sz val="10"/>
        <rFont val="Arial CE"/>
      </rPr>
      <t xml:space="preserve">Ostatní záležitosti pozemních komunikací </t>
    </r>
    <r>
      <rPr>
        <sz val="9"/>
        <rFont val="Arial CE"/>
      </rPr>
      <t>(účet 2310800)</t>
    </r>
  </si>
  <si>
    <t xml:space="preserve">                     Velkoplošné opravy chodníků nad 500 000 Kč - služby</t>
  </si>
  <si>
    <t xml:space="preserve">                     Velkoplošné opravy chodníků nad 500 000 Kč </t>
  </si>
  <si>
    <t>0507/2219/6121</t>
  </si>
  <si>
    <t xml:space="preserve">                    Chodníkové těleso Žilina, Pstruží potok - Životice (opěrná zeď) 4. etapa</t>
  </si>
  <si>
    <t>2384/2219/6121</t>
  </si>
  <si>
    <t xml:space="preserve">                    Laudonovo nádvoří </t>
  </si>
  <si>
    <t>2386/2219/6121</t>
  </si>
  <si>
    <t xml:space="preserve">                    Cyklostezka NJ - Hostašovice, vlečka </t>
  </si>
  <si>
    <t>5370/2219/6121</t>
  </si>
  <si>
    <t xml:space="preserve">                    Čerťák 3. etapa</t>
  </si>
  <si>
    <t>5371/2219/6121</t>
  </si>
  <si>
    <t xml:space="preserve">                    Cykloboxy PD</t>
  </si>
  <si>
    <t>5372/2219/6121</t>
  </si>
  <si>
    <t xml:space="preserve">                    Prodloužení turistické trasy Čerťák PD</t>
  </si>
  <si>
    <t>5373/2219/6121</t>
  </si>
  <si>
    <t xml:space="preserve">                    Parkoviště Žilina p. č. 673/2 (u kostela)</t>
  </si>
  <si>
    <t>5374/2219/6121</t>
  </si>
  <si>
    <t xml:space="preserve">                    Parkoviště Straník, hřbitov</t>
  </si>
  <si>
    <t>5375/2219/6121</t>
  </si>
  <si>
    <t xml:space="preserve">                    Chodníkové těleso, opěrná zeď Revoluční I/57 </t>
  </si>
  <si>
    <t>5385/2219/6121</t>
  </si>
  <si>
    <t xml:space="preserve">                    Chodníkové těleso Loučka, Na Drážkách</t>
  </si>
  <si>
    <t>5393/2219/6121</t>
  </si>
  <si>
    <t xml:space="preserve">                    Chodníkové těleso Na Valech - ukončeno 03/2020</t>
  </si>
  <si>
    <t>5404/2219/6121</t>
  </si>
  <si>
    <t xml:space="preserve">                    Rozšíření cyklostezky Bludovice</t>
  </si>
  <si>
    <t>5406/2219/6121</t>
  </si>
  <si>
    <t xml:space="preserve">                    Parkovací stání Dlouhá (úsek Palackého - Budovatelů)</t>
  </si>
  <si>
    <t>5417/2219/6121</t>
  </si>
  <si>
    <t xml:space="preserve">                    Chodníkové těleso k autobusové zastávce Bocheta </t>
  </si>
  <si>
    <t>5419/2219/6121</t>
  </si>
  <si>
    <t xml:space="preserve">                    Parkoviště Dlouhá č. o. 8 - 14, 2. etapa </t>
  </si>
  <si>
    <t>5420/2219/6121</t>
  </si>
  <si>
    <t xml:space="preserve">                    Rozšíření odstavných ploch Vančurova  č. o. 2 -10 PD</t>
  </si>
  <si>
    <t>5421/2219/6121</t>
  </si>
  <si>
    <t xml:space="preserve">                    Parkoviště B. Martinů - krátkodobé stání</t>
  </si>
  <si>
    <t>5431/2219/6121</t>
  </si>
  <si>
    <t xml:space="preserve">                    Chodníkové těleso u silnice I/57 p. č. 700/1 Bludovice </t>
  </si>
  <si>
    <t>7385/2219/6121</t>
  </si>
  <si>
    <t xml:space="preserve">                    Kontejnerová stání </t>
  </si>
  <si>
    <t>8384/2219/6121</t>
  </si>
  <si>
    <t xml:space="preserve">                    Parkoviště Restaurace Na Skalkách </t>
  </si>
  <si>
    <t>XXXX/2219/6121</t>
  </si>
  <si>
    <t xml:space="preserve">                    Společná stezka pro chodce a cyklisty, Rybníčky  PD</t>
  </si>
  <si>
    <t xml:space="preserve">                    Parkoviště Hoblíkova PD</t>
  </si>
  <si>
    <t xml:space="preserve">                    Parkoviště Budovatelů, bytové domy č. o. 5, 7, 9  PD</t>
  </si>
  <si>
    <t xml:space="preserve">                    Parkovací stání Dlouhá, bytové domy č. o. 42 - 48 PD</t>
  </si>
  <si>
    <t xml:space="preserve">                    Parkoviště Dlouhá (výměníková stanice - bytový dům č. o. 40) PD</t>
  </si>
  <si>
    <t xml:space="preserve">                    Parkoviště Luční p. č.  218/9 PD</t>
  </si>
  <si>
    <t xml:space="preserve">                    Parkovací stání Revoluční p. č. 673/13 PD</t>
  </si>
  <si>
    <t xml:space="preserve">                    Parkoviště Smetanovy sady, bytové domy č. o. 20, 22, 24 PD</t>
  </si>
  <si>
    <t xml:space="preserve">                    Zpevněné plochy a mobiliář  Tyršova </t>
  </si>
  <si>
    <t xml:space="preserve">                    Regenerace panelového sídliště Nerudova PD</t>
  </si>
  <si>
    <t xml:space="preserve">                    Chodníkové těleso U Stadionu  PD</t>
  </si>
  <si>
    <t xml:space="preserve">                    Zpevněné plochy okolo Beskydského divadla PD</t>
  </si>
  <si>
    <r>
      <rPr>
        <b/>
        <sz val="10"/>
        <rFont val="Arial CE"/>
      </rPr>
      <t>Provoz veřejné silniční dopravy</t>
    </r>
    <r>
      <rPr>
        <sz val="9"/>
        <rFont val="Arial CE"/>
      </rPr>
      <t xml:space="preserve"> (účet 2310800)</t>
    </r>
  </si>
  <si>
    <t>5398/2221/6121</t>
  </si>
  <si>
    <t xml:space="preserve">                    Autobusová zastávká Žilina, U Partyzána </t>
  </si>
  <si>
    <t>5407/2221/6121</t>
  </si>
  <si>
    <t xml:space="preserve">                    Autobusová zastávka Žilina, U Požární zbrojnice</t>
  </si>
  <si>
    <t>5422/2221/6121</t>
  </si>
  <si>
    <t xml:space="preserve">                    Autobusová zastávká Pod Svincem - ukončeno 09/2020</t>
  </si>
  <si>
    <t>XXXX/2221/6121</t>
  </si>
  <si>
    <t xml:space="preserve">                    Autobusová zastávka Straník na pozemku p. č. 191/45</t>
  </si>
  <si>
    <t xml:space="preserve">615 - Oddělení rozvoje - plány, marketing, Zdravé město </t>
  </si>
  <si>
    <t>Komunální služby - nebytové prostory  - oddělení investic (účet 2310800)</t>
  </si>
  <si>
    <t>1388/3613/5169</t>
  </si>
  <si>
    <t xml:space="preserve">                    Studie - oddělení investic</t>
  </si>
  <si>
    <t>Komunální služby a rozvoj - plány, propagace, marketing, Zdravé město (účet 2310800)</t>
  </si>
  <si>
    <t>1388/3639/5021</t>
  </si>
  <si>
    <t xml:space="preserve">                    Dohody (odměny) Architektonická soutěž Hala NJ</t>
  </si>
  <si>
    <t>1388/3639/5139</t>
  </si>
  <si>
    <t xml:space="preserve">                    Ostatní materiál</t>
  </si>
  <si>
    <t>1388/3639/5164</t>
  </si>
  <si>
    <t xml:space="preserve">                   Jarní škola NSZM - nájmy místností</t>
  </si>
  <si>
    <t>1388/3639/5166</t>
  </si>
  <si>
    <t xml:space="preserve">                    Konzultační služby (z toho městský architekt 460 000 Kč)</t>
  </si>
  <si>
    <t>1388/3639/5169</t>
  </si>
  <si>
    <t xml:space="preserve">                    Rozvojové plány, studie, propagace, marketing, Zdravé město, particip.rozpočet, administrace projektů, architektonické soutěže (víceúčelová sportovní hala), SPRM, rozvojové studie (revitalizace Horního nádraží, cykloopatření B. Martinů, urbanistická studie sportovní areál), pořízení sčítačů pro monitoring cyklodopravy, Jarní škola Zdravých měst   </t>
  </si>
  <si>
    <t>1388/3639/5175</t>
  </si>
  <si>
    <t xml:space="preserve">                   Pohoštění</t>
  </si>
  <si>
    <t>1388/3639/5222</t>
  </si>
  <si>
    <t xml:space="preserve">                   Mládež kraji</t>
  </si>
  <si>
    <t>1388/3639/5229</t>
  </si>
  <si>
    <t xml:space="preserve">                   Členský poplatek národní síť zdravých měst a MAS Lašsko</t>
  </si>
  <si>
    <t>1388/3639/6122</t>
  </si>
  <si>
    <t xml:space="preserve">                   Mobilní zastřešení Straník - participativní rozpočet</t>
  </si>
  <si>
    <t xml:space="preserve">639 - Komunální služby a územní rozvoj </t>
  </si>
  <si>
    <r>
      <rPr>
        <b/>
        <sz val="10"/>
        <rFont val="Arial CE"/>
      </rPr>
      <t xml:space="preserve">Sportovní zařízení v majetku obce </t>
    </r>
    <r>
      <rPr>
        <sz val="9"/>
        <rFont val="Arial CE"/>
      </rPr>
      <t>(účet 2310800)</t>
    </r>
  </si>
  <si>
    <t>XXXX/3412/6121</t>
  </si>
  <si>
    <t xml:space="preserve">                   Skatepark ve sportovním areálu U Stadionu PD</t>
  </si>
  <si>
    <t xml:space="preserve">                   Tenisová hala na ul. B. Martinů PD</t>
  </si>
  <si>
    <r>
      <rPr>
        <b/>
        <sz val="10"/>
        <rFont val="Arial CE"/>
      </rPr>
      <t xml:space="preserve">Nebytové hospodářství </t>
    </r>
    <r>
      <rPr>
        <sz val="9"/>
        <rFont val="Arial CE"/>
      </rPr>
      <t>(účet 2310800)</t>
    </r>
  </si>
  <si>
    <t>5368/3613/6121</t>
  </si>
  <si>
    <t xml:space="preserve">                   Čítárna</t>
  </si>
  <si>
    <t>5369/3613/6121</t>
  </si>
  <si>
    <t xml:space="preserve">                   Úprava Smetanových sadů PD</t>
  </si>
  <si>
    <t>5424/3613/6121</t>
  </si>
  <si>
    <t xml:space="preserve">                   Oplocení vč. ochranné bariéry Školy života Žilina, Beskydská PD</t>
  </si>
  <si>
    <t>6389/3613/6121</t>
  </si>
  <si>
    <t xml:space="preserve">                   Kryté stání Loučka - opatření proti vodě, přeložka VO</t>
  </si>
  <si>
    <t>XXXX/3613/6121</t>
  </si>
  <si>
    <t xml:space="preserve">                   Sociálně-provozní objekt ve sport.areálu U Stadionu PD</t>
  </si>
  <si>
    <r>
      <rPr>
        <b/>
        <sz val="10"/>
        <rFont val="Arial CE"/>
      </rPr>
      <t xml:space="preserve">Veřejné osvětlení (VO) </t>
    </r>
    <r>
      <rPr>
        <sz val="9"/>
        <rFont val="Arial CE"/>
      </rPr>
      <t>(účet 2310800)</t>
    </r>
  </si>
  <si>
    <t>5362/3631/5169</t>
  </si>
  <si>
    <t xml:space="preserve">                   VO Generel</t>
  </si>
  <si>
    <t>0541/3631/6121</t>
  </si>
  <si>
    <t xml:space="preserve">                   VO Nádražní - ukončeno 8/2020</t>
  </si>
  <si>
    <t>0542/3631/6121</t>
  </si>
  <si>
    <t xml:space="preserve">                   VO Purkyňova</t>
  </si>
  <si>
    <t>5435/3631/6121</t>
  </si>
  <si>
    <t xml:space="preserve">                   Opatření ke snížení energ.náročnosti VO - EFEKT 2021</t>
  </si>
  <si>
    <t>4395/3631/6121</t>
  </si>
  <si>
    <t xml:space="preserve">                   VO Bludovice, pneuservis - ukončeno 6/2020</t>
  </si>
  <si>
    <t>5359/3631/6121</t>
  </si>
  <si>
    <t xml:space="preserve">                   VO Štefanikova ČSOB</t>
  </si>
  <si>
    <t>5360/3631/6121</t>
  </si>
  <si>
    <t xml:space="preserve">                   VO Hřbitovní</t>
  </si>
  <si>
    <t>5363/3631/6121</t>
  </si>
  <si>
    <t xml:space="preserve">                   VO cyklostezka průmyslová zóna PD</t>
  </si>
  <si>
    <t>5364/3631/6121</t>
  </si>
  <si>
    <t xml:space="preserve">                   VO Smetanovy sady a Skalky </t>
  </si>
  <si>
    <t>5365/3631/6121</t>
  </si>
  <si>
    <t xml:space="preserve">                   VO Skalky - parkoviště </t>
  </si>
  <si>
    <t>5366/3631/6121</t>
  </si>
  <si>
    <t xml:space="preserve">                   VO Štefanikova ČS (okolo ČSOB)</t>
  </si>
  <si>
    <t>5367/3631/6121</t>
  </si>
  <si>
    <t xml:space="preserve">                   VO Loučka - Křenová, Jičínská, Za Potokem</t>
  </si>
  <si>
    <t>6383/3631/6121</t>
  </si>
  <si>
    <t xml:space="preserve">                   VO K Archivu PD</t>
  </si>
  <si>
    <r>
      <rPr>
        <b/>
        <sz val="10"/>
        <rFont val="Arial CE"/>
      </rPr>
      <t>Hřbitovy</t>
    </r>
    <r>
      <rPr>
        <sz val="9"/>
        <rFont val="Arial CE"/>
      </rPr>
      <t xml:space="preserve"> (účet 2310800)</t>
    </r>
  </si>
  <si>
    <t>5361/3632/5171</t>
  </si>
  <si>
    <t xml:space="preserve">                   Sanace čestných hrobů</t>
  </si>
  <si>
    <t>5361/3632/6121</t>
  </si>
  <si>
    <r>
      <rPr>
        <b/>
        <sz val="10"/>
        <rFont val="Arial CE"/>
      </rPr>
      <t>Výstavba a údržba místních inženýrských sítí (IS)</t>
    </r>
    <r>
      <rPr>
        <sz val="9"/>
        <rFont val="Arial CE"/>
      </rPr>
      <t xml:space="preserve"> (účet 2310800)</t>
    </r>
  </si>
  <si>
    <t>0538/3633/6121</t>
  </si>
  <si>
    <t xml:space="preserve">                   Rozšíření průmyslové zóny PD</t>
  </si>
  <si>
    <t>0539/3633/6121</t>
  </si>
  <si>
    <t xml:space="preserve">                   IS Žilina, Za Školou</t>
  </si>
  <si>
    <t>5425/3633/6121</t>
  </si>
  <si>
    <t xml:space="preserve">                   IS RD Bocheta PD 4. etapa</t>
  </si>
  <si>
    <t>641 - Oddělení rozvoje - dotace ČOV, topení Kojetín, kotlíkové dotace</t>
  </si>
  <si>
    <t>1388/2321/6371</t>
  </si>
  <si>
    <t xml:space="preserve">                    Dotace ČOV</t>
  </si>
  <si>
    <t>1388/3634/6371</t>
  </si>
  <si>
    <t xml:space="preserve">                    Dotace na ekologické vytápění Kojetín</t>
  </si>
  <si>
    <t>1388/3713/6342</t>
  </si>
  <si>
    <t xml:space="preserve">                    Kotlíkové dotace MSK</t>
  </si>
  <si>
    <r>
      <rPr>
        <b/>
        <sz val="10"/>
        <rFont val="Arial CE"/>
        <family val="2"/>
        <charset val="238"/>
      </rPr>
      <t xml:space="preserve">Vnitřní obchod </t>
    </r>
    <r>
      <rPr>
        <sz val="9"/>
        <rFont val="Arial CE"/>
        <family val="2"/>
        <charset val="238"/>
      </rPr>
      <t>(nákup materiálu 16, zpracování dat 3, ostatní služby 366, věcné dary 10, neinvestiční transfery neziskovým organizacím 80, reklamní tabule MPR 200)</t>
    </r>
  </si>
  <si>
    <r>
      <rPr>
        <b/>
        <sz val="10"/>
        <rFont val="Arial CE"/>
        <family val="2"/>
        <charset val="238"/>
      </rPr>
      <t>Rozhlas a televize</t>
    </r>
    <r>
      <rPr>
        <b/>
        <sz val="9"/>
        <rFont val="Arial CE"/>
        <family val="2"/>
        <charset val="238"/>
      </rPr>
      <t xml:space="preserve"> </t>
    </r>
    <r>
      <rPr>
        <sz val="9"/>
        <rFont val="Arial CE"/>
        <family val="2"/>
        <charset val="238"/>
      </rPr>
      <t>(TV Polar, záznamy ze ZM)</t>
    </r>
  </si>
  <si>
    <r>
      <rPr>
        <b/>
        <sz val="10"/>
        <rFont val="Arial CE"/>
        <family val="2"/>
        <charset val="238"/>
      </rPr>
      <t xml:space="preserve">Ostatní záležitosti kultury, církví a sdělovacích prostředků </t>
    </r>
    <r>
      <rPr>
        <sz val="9"/>
        <rFont val="Arial CE"/>
        <charset val="238"/>
      </rPr>
      <t>(odměny za užití duševního vlastnictví 20)</t>
    </r>
  </si>
  <si>
    <t>ORJ 011 - Návštěvnické centrum Nový Jičín - město klobouků</t>
  </si>
  <si>
    <r>
      <rPr>
        <b/>
        <sz val="10"/>
        <rFont val="Arial CE"/>
        <family val="2"/>
        <charset val="238"/>
      </rPr>
      <t xml:space="preserve">Vnitřní obchod  </t>
    </r>
    <r>
      <rPr>
        <b/>
        <sz val="9"/>
        <rFont val="Arial CE"/>
        <charset val="238"/>
      </rPr>
      <t xml:space="preserve">- </t>
    </r>
    <r>
      <rPr>
        <sz val="9"/>
        <rFont val="Arial CE"/>
        <charset val="238"/>
      </rPr>
      <t xml:space="preserve">opravy a údržba 25, materiál 38, služby 64, příspěvek TSM celkem (jarmarky, vánoční strom, výzdoba,…) 454, pohoštění 5, DHM 100, stroje, přístroje, zařízení 540.  </t>
    </r>
  </si>
  <si>
    <r>
      <rPr>
        <b/>
        <sz val="10"/>
        <rFont val="Arial CE"/>
        <charset val="238"/>
      </rPr>
      <t>Cestovní ruch</t>
    </r>
    <r>
      <rPr>
        <b/>
        <sz val="9"/>
        <rFont val="Arial CE"/>
        <charset val="238"/>
      </rPr>
      <t xml:space="preserve"> </t>
    </r>
    <r>
      <rPr>
        <sz val="9"/>
        <rFont val="Arial CE"/>
        <charset val="238"/>
      </rPr>
      <t xml:space="preserve">(platy 3600, dohody 360, soc.poj. 982 080, zdrav. poj. 356 400, náhrada mezd za nemoc 20, platby daní a popl. Stát. rozp. 6,5, knihy, tisk 6, drobný hmotný maj. 480, materiál (kalendáře, upom. Př., tiskoviny,…) 640, materiál DPH 374,5, poštovné 4, telefony 10, pronájem 277, služby zprac. dat. 30, nákup služeb (prop. inz., služby) 1170, nákup služeb DPH (služby spojené s kelímky NICKNACK) 170 976, opravy a údržba 80, cestovné 10, pohoštění 80, ost.nák.j.n. 4,5, neinvest. transféry 140, neinvest. přísp. Pivobraní 170. </t>
    </r>
  </si>
  <si>
    <r>
      <rPr>
        <b/>
        <sz val="10"/>
        <rFont val="Arial CE"/>
        <family val="2"/>
        <charset val="238"/>
      </rPr>
      <t>Ost.záležitosti kultury, církví a sdělovacích prostředků</t>
    </r>
    <r>
      <rPr>
        <sz val="10"/>
        <rFont val="Arial CE"/>
        <family val="2"/>
        <charset val="238"/>
      </rPr>
      <t xml:space="preserve"> (</t>
    </r>
    <r>
      <rPr>
        <sz val="9"/>
        <rFont val="Arial CE"/>
        <family val="2"/>
        <charset val="238"/>
      </rPr>
      <t xml:space="preserve">platby za autorská práva - OSA, Integram) </t>
    </r>
  </si>
  <si>
    <r>
      <rPr>
        <b/>
        <sz val="10"/>
        <rFont val="Arial CE"/>
        <family val="2"/>
        <charset val="238"/>
      </rPr>
      <t>Mezinárodní spolupráce</t>
    </r>
    <r>
      <rPr>
        <sz val="9"/>
        <rFont val="Arial CE"/>
        <charset val="238"/>
      </rPr>
      <t xml:space="preserve"> - materiál 55, materiál DPH 5, PHM 5, nájemné 20, služby 280, cestovné 40, pohoštění 110.</t>
    </r>
  </si>
  <si>
    <t>Bezpečnost silničního provozu (BESIP)</t>
  </si>
  <si>
    <t xml:space="preserve">             DHM 6, materiál 3, nájemné 42, služby 10, opravy a udržování 7, pohoštění 2, věcné dary 6 </t>
  </si>
  <si>
    <r>
      <rPr>
        <b/>
        <sz val="10"/>
        <rFont val="Arial CE"/>
        <charset val="238"/>
      </rPr>
      <t xml:space="preserve">Ostatní záležitosti v silniční dopravě - </t>
    </r>
    <r>
      <rPr>
        <sz val="10"/>
        <rFont val="Arial CE"/>
        <charset val="238"/>
      </rPr>
      <t>odvod ekologické daně 12/2019</t>
    </r>
  </si>
  <si>
    <r>
      <rPr>
        <b/>
        <sz val="10"/>
        <rFont val="Arial CE"/>
        <family val="2"/>
        <charset val="238"/>
      </rPr>
      <t>Dopravní obslužnost</t>
    </r>
    <r>
      <rPr>
        <sz val="10"/>
        <rFont val="Arial CE"/>
        <charset val="238"/>
      </rPr>
      <t xml:space="preserve"> - veřejná doprava</t>
    </r>
  </si>
  <si>
    <t>z toho: územní dopravní obslužnost dle smlouvy s MSK</t>
  </si>
  <si>
    <r>
      <rPr>
        <sz val="10"/>
        <rFont val="Arial CE"/>
        <family val="2"/>
        <charset val="238"/>
      </rPr>
      <t xml:space="preserve">             příspěvek na MHD</t>
    </r>
    <r>
      <rPr>
        <sz val="9"/>
        <rFont val="Arial CE"/>
        <family val="2"/>
        <charset val="238"/>
      </rPr>
      <t xml:space="preserve"> (ARRIVA) - dle smlouvy </t>
    </r>
  </si>
  <si>
    <r>
      <rPr>
        <sz val="10"/>
        <rFont val="Arial CE"/>
        <family val="2"/>
        <charset val="238"/>
      </rPr>
      <t xml:space="preserve">             příspěvek na ochranné chem prostředky a pomůcky pro dopravce veř.dopravy </t>
    </r>
    <r>
      <rPr>
        <sz val="9"/>
        <rFont val="Arial CE"/>
        <family val="2"/>
        <charset val="238"/>
      </rPr>
      <t>(ARRIVA) - z MSK (úz 27009)</t>
    </r>
  </si>
  <si>
    <r>
      <rPr>
        <sz val="10"/>
        <rFont val="Arial CE"/>
        <family val="2"/>
        <charset val="238"/>
      </rPr>
      <t xml:space="preserve">             kompenzace ztráty dopravci za rozšíření tarifu "město" 2020: </t>
    </r>
    <r>
      <rPr>
        <sz val="10"/>
        <rFont val="Arial CE"/>
        <charset val="238"/>
      </rPr>
      <t xml:space="preserve">dokrytí ztráty za provozování skibusu: </t>
    </r>
  </si>
  <si>
    <t xml:space="preserve">                dokrytí ztráty za provozovaní autobusového spojení Hranice na Moravě </t>
  </si>
  <si>
    <r>
      <rPr>
        <b/>
        <sz val="10"/>
        <rFont val="Arial CE"/>
        <family val="2"/>
        <charset val="238"/>
      </rPr>
      <t xml:space="preserve">Bezpečnost silničního provozu - </t>
    </r>
    <r>
      <rPr>
        <sz val="10"/>
        <rFont val="Arial CE"/>
        <charset val="238"/>
      </rPr>
      <t>znalecké posudky při řešení dopravních deliktů+tlumočení</t>
    </r>
  </si>
  <si>
    <r>
      <rPr>
        <b/>
        <sz val="10"/>
        <rFont val="Arial CE"/>
        <charset val="238"/>
      </rPr>
      <t xml:space="preserve">Činnost místní správy - </t>
    </r>
    <r>
      <rPr>
        <sz val="10"/>
        <rFont val="Arial CE"/>
        <charset val="238"/>
      </rPr>
      <t>ostatní platy (refundace vč.pojist.), konzult.a porad.služby, náhrady svědkům</t>
    </r>
  </si>
  <si>
    <t>ORJ 317 - Odbor správních agend</t>
  </si>
  <si>
    <t>Volby do zastupitelstev krajů</t>
  </si>
  <si>
    <t xml:space="preserve">Volby do Poslanecké sněmovny </t>
  </si>
  <si>
    <t>414 - Školství</t>
  </si>
  <si>
    <t>Předškolní zařízení</t>
  </si>
  <si>
    <t xml:space="preserve">příspěvky a dotace vlastní: na provoz MŠ </t>
  </si>
  <si>
    <t xml:space="preserve">                                            na údržbu MŠ </t>
  </si>
  <si>
    <t xml:space="preserve">                                            na investice</t>
  </si>
  <si>
    <r>
      <rPr>
        <sz val="10"/>
        <rFont val="Arial CE"/>
        <family val="2"/>
        <charset val="238"/>
      </rPr>
      <t xml:space="preserve">             v tom:  </t>
    </r>
    <r>
      <rPr>
        <b/>
        <i/>
        <sz val="10"/>
        <rFont val="Arial CE"/>
        <charset val="238"/>
      </rPr>
      <t>MŠ Sady</t>
    </r>
    <r>
      <rPr>
        <sz val="10"/>
        <rFont val="Arial CE"/>
        <family val="2"/>
        <charset val="238"/>
      </rPr>
      <t xml:space="preserve"> (org. 305)</t>
    </r>
  </si>
  <si>
    <t xml:space="preserve">                               - příspěvek na provoz, včetně energií 850, včetně odpisů z nemovitého majetku </t>
  </si>
  <si>
    <t xml:space="preserve">                              </t>
  </si>
  <si>
    <r>
      <rPr>
        <sz val="10"/>
        <rFont val="Arial CE"/>
        <family val="2"/>
        <charset val="238"/>
      </rPr>
      <t xml:space="preserve">                               - příspěvek na údržbu </t>
    </r>
    <r>
      <rPr>
        <sz val="9"/>
        <rFont val="Arial CE"/>
        <family val="2"/>
        <charset val="238"/>
      </rPr>
      <t>(oprava střešních svodů MŠ Revoluční a zásaků vody do kanalizace, oprava venkovního schodiště - zahradad Sm.sady, orpava chodníků na zaahradě MŠ Revoluční, malování a nátěry, oprava terasy MŠ Revoluční ) při zapojení FI 100</t>
    </r>
  </si>
  <si>
    <r>
      <rPr>
        <sz val="10"/>
        <rFont val="Arial CE"/>
        <family val="2"/>
        <charset val="238"/>
      </rPr>
      <t xml:space="preserve">                               - příspěvek na investice</t>
    </r>
    <r>
      <rPr>
        <sz val="9"/>
        <rFont val="Arial CE"/>
        <charset val="238"/>
      </rPr>
      <t xml:space="preserve"> (revitalizace zahrady MŠ Smetanovy sady, elektroinstalace MŠ Jiráskova-havarijní stav, rekonstrukce vzduchotechniky MŠ Jiráskova)</t>
    </r>
  </si>
  <si>
    <r>
      <rPr>
        <b/>
        <i/>
        <sz val="10"/>
        <rFont val="Arial CE"/>
        <charset val="238"/>
      </rPr>
      <t xml:space="preserve">                          MŠ Máj</t>
    </r>
    <r>
      <rPr>
        <sz val="10"/>
        <rFont val="Arial CE"/>
        <charset val="238"/>
      </rPr>
      <t xml:space="preserve"> (org. 307)</t>
    </r>
  </si>
  <si>
    <t xml:space="preserve">                               - příspěvek na provoz, včetně energií 1270, včetně odpisů z nemovitého majetku </t>
  </si>
  <si>
    <r>
      <rPr>
        <sz val="10"/>
        <rFont val="Arial CE"/>
        <family val="2"/>
        <charset val="238"/>
      </rPr>
      <t xml:space="preserve">                               - příspěvek na údržbu </t>
    </r>
    <r>
      <rPr>
        <sz val="9"/>
        <rFont val="Arial CE"/>
        <family val="2"/>
        <charset val="238"/>
      </rPr>
      <t>(malování a nátěry, oprava plotu, výměna podlahových krytin, PD sanace sušárny a prádelny MŠ Vančurova, zajištění dešťové mřížky okapů u MŠ Jubilejní, oprava výtahu) při zapojení FR a FI 170</t>
    </r>
  </si>
  <si>
    <r>
      <rPr>
        <sz val="10"/>
        <rFont val="Arial CE"/>
        <family val="2"/>
        <charset val="238"/>
      </rPr>
      <t xml:space="preserve">                               - příspěvek na investice</t>
    </r>
    <r>
      <rPr>
        <sz val="9"/>
        <rFont val="Arial CE"/>
        <charset val="238"/>
      </rPr>
      <t xml:space="preserve"> (myčka ) zapojení FI 50</t>
    </r>
  </si>
  <si>
    <r>
      <rPr>
        <sz val="10"/>
        <rFont val="Arial CE"/>
        <family val="2"/>
        <charset val="238"/>
      </rPr>
      <t xml:space="preserve">                          </t>
    </r>
    <r>
      <rPr>
        <b/>
        <i/>
        <sz val="10"/>
        <rFont val="Arial CE"/>
        <charset val="238"/>
      </rPr>
      <t>MŠ Trojlístek</t>
    </r>
    <r>
      <rPr>
        <sz val="10"/>
        <rFont val="Arial CE"/>
        <family val="2"/>
        <charset val="238"/>
      </rPr>
      <t xml:space="preserve"> (org. 309)</t>
    </r>
  </si>
  <si>
    <r>
      <rPr>
        <sz val="10"/>
        <rFont val="Arial CE"/>
        <family val="2"/>
        <charset val="238"/>
      </rPr>
      <t xml:space="preserve">                               - příspěvek na údržbu </t>
    </r>
    <r>
      <rPr>
        <sz val="9"/>
        <rFont val="Arial CE"/>
        <family val="2"/>
        <charset val="238"/>
      </rPr>
      <t>(oprava plotu MŠ Kom - poslední etapa, oprava kuchyněk a parapetů MŠ Máchova, oprava výtahu MŠ Máchova, výměna podlahových krytin, malování a nátěry, oprava sprchy MŠ Beskydská, ochranný val proti zatečení MŠ Beskydská)</t>
    </r>
  </si>
  <si>
    <r>
      <rPr>
        <sz val="10"/>
        <rFont val="Arial CE"/>
        <family val="2"/>
        <charset val="238"/>
      </rPr>
      <t xml:space="preserve">                               - příspěvek na investice </t>
    </r>
    <r>
      <rPr>
        <sz val="9"/>
        <rFont val="Arial CE"/>
        <charset val="238"/>
      </rPr>
      <t xml:space="preserve">(PD rekonstrukce elektroinstalace MŠ Máchova, myčka) </t>
    </r>
    <r>
      <rPr>
        <sz val="10"/>
        <rFont val="Arial CE"/>
        <family val="2"/>
        <charset val="238"/>
      </rPr>
      <t>zapojení FI 50</t>
    </r>
  </si>
  <si>
    <t>Základní školy</t>
  </si>
  <si>
    <t xml:space="preserve">rezerva+vyhodnocení žáků </t>
  </si>
  <si>
    <t xml:space="preserve">příspěvky vlastní: na provoz ZŠ </t>
  </si>
  <si>
    <t xml:space="preserve">                             na údržbu ZŠ </t>
  </si>
  <si>
    <t xml:space="preserve">                             na investice</t>
  </si>
  <si>
    <r>
      <rPr>
        <sz val="10"/>
        <rFont val="Arial CE"/>
        <family val="2"/>
        <charset val="238"/>
      </rPr>
      <t xml:space="preserve">              v tom:  </t>
    </r>
    <r>
      <rPr>
        <b/>
        <i/>
        <sz val="10"/>
        <rFont val="Arial CE"/>
        <family val="2"/>
        <charset val="238"/>
      </rPr>
      <t xml:space="preserve">ZŠ Jubilejní </t>
    </r>
    <r>
      <rPr>
        <sz val="10"/>
        <rFont val="Arial CE"/>
        <family val="2"/>
        <charset val="238"/>
      </rPr>
      <t xml:space="preserve">celkem (org. 321) </t>
    </r>
  </si>
  <si>
    <t xml:space="preserve">                              - příspěvek na provoz, včetně energií 3700, včetně odpisů z nemovitého majetku </t>
  </si>
  <si>
    <r>
      <rPr>
        <sz val="10"/>
        <rFont val="Arial CE"/>
        <family val="2"/>
        <charset val="238"/>
      </rPr>
      <t xml:space="preserve">                              - přísp.na údržbu</t>
    </r>
    <r>
      <rPr>
        <sz val="9"/>
        <rFont val="Arial CE"/>
        <family val="2"/>
        <charset val="238"/>
      </rPr>
      <t xml:space="preserve"> (Jubilejní: malování a nátěry, stabilizace střešního pláště proti větru, ZŠ Dlouhá: PD sanace havraijní stav ve ŠJ, malování a nátěry, vnitřní obložení stěn šatny, úprava podlahy v tělocvičně)</t>
    </r>
  </si>
  <si>
    <r>
      <rPr>
        <sz val="10"/>
        <rFont val="Arial CE"/>
        <family val="2"/>
        <charset val="238"/>
      </rPr>
      <t xml:space="preserve">                              - příspěvek na investice </t>
    </r>
    <r>
      <rPr>
        <sz val="9"/>
        <rFont val="Arial CE"/>
        <family val="2"/>
        <charset val="238"/>
      </rPr>
      <t xml:space="preserve">(Jubilejní: rek. školního hřiště, zpracování žádosti, rekonstukce učeben dílen, náklady související s dotací IROP, plynový kotel ve ŠJ, krouhač zeleniny, objednávkový systém ŠJ, Dlouhá: PD rekonstrukce výtahu a bezbariérovosti budovy) při </t>
    </r>
    <r>
      <rPr>
        <sz val="10"/>
        <rFont val="Arial CE"/>
        <family val="2"/>
        <charset val="238"/>
      </rPr>
      <t>zapojení FI 300</t>
    </r>
  </si>
  <si>
    <r>
      <rPr>
        <sz val="10"/>
        <rFont val="Arial CE"/>
        <family val="2"/>
        <charset val="238"/>
      </rPr>
      <t xml:space="preserve">              v tom:  </t>
    </r>
    <r>
      <rPr>
        <b/>
        <i/>
        <sz val="10"/>
        <rFont val="Arial CE"/>
        <family val="2"/>
        <charset val="238"/>
      </rPr>
      <t xml:space="preserve">ZŠ Komenského 66 </t>
    </r>
    <r>
      <rPr>
        <sz val="10"/>
        <rFont val="Arial CE"/>
        <family val="2"/>
        <charset val="238"/>
      </rPr>
      <t>(org. 322)</t>
    </r>
  </si>
  <si>
    <t xml:space="preserve">                              - příspěvek na provoz, včetně energií 1700, včetně odpisů z nemovitého majetku </t>
  </si>
  <si>
    <r>
      <rPr>
        <sz val="10"/>
        <rFont val="Arial CE"/>
        <family val="2"/>
        <charset val="238"/>
      </rPr>
      <t xml:space="preserve">                              - příspěvek na údržbu </t>
    </r>
    <r>
      <rPr>
        <sz val="9"/>
        <rFont val="Arial CE"/>
        <family val="2"/>
        <charset val="238"/>
      </rPr>
      <t>(malování a nátěry, čištění fasády, výměna plechových podhledů v přízemí, oprava výtahu, zapojení FR a FI 320)</t>
    </r>
  </si>
  <si>
    <r>
      <rPr>
        <sz val="10"/>
        <rFont val="Arial CE"/>
        <family val="2"/>
        <charset val="238"/>
      </rPr>
      <t xml:space="preserve">                              - příspěvek na investice </t>
    </r>
    <r>
      <rPr>
        <sz val="9"/>
        <rFont val="Arial CE"/>
        <charset val="238"/>
      </rPr>
      <t xml:space="preserve">(spoluúčast města na projektu IROP, modernizace odborné učebny F, Ch, Z,) </t>
    </r>
  </si>
  <si>
    <r>
      <rPr>
        <sz val="10"/>
        <rFont val="Arial CE"/>
        <family val="2"/>
        <charset val="238"/>
      </rPr>
      <t xml:space="preserve">                          </t>
    </r>
    <r>
      <rPr>
        <b/>
        <i/>
        <sz val="10"/>
        <rFont val="Arial CE"/>
        <charset val="238"/>
      </rPr>
      <t>ZŠ Komenského 68</t>
    </r>
    <r>
      <rPr>
        <sz val="10"/>
        <rFont val="Arial CE"/>
        <family val="2"/>
        <charset val="238"/>
      </rPr>
      <t xml:space="preserve"> (org. 323)</t>
    </r>
  </si>
  <si>
    <t xml:space="preserve">                              - příspěvek na provoz, včetně energií 1400, včetně odpisů z nemovitého majetku </t>
  </si>
  <si>
    <r>
      <rPr>
        <sz val="10"/>
        <rFont val="Arial CE"/>
        <family val="2"/>
        <charset val="238"/>
      </rPr>
      <t xml:space="preserve">                              - příspěvek na údržbu </t>
    </r>
    <r>
      <rPr>
        <sz val="9"/>
        <rFont val="Arial CE"/>
        <family val="2"/>
        <charset val="238"/>
      </rPr>
      <t>(oprava elektroinstalace-poslední etapa,</t>
    </r>
    <r>
      <rPr>
        <sz val="9"/>
        <rFont val="Arial CE"/>
        <charset val="238"/>
      </rPr>
      <t>oprava ZTI</t>
    </r>
    <r>
      <rPr>
        <sz val="9"/>
        <rFont val="Arial CE"/>
        <family val="2"/>
        <charset val="238"/>
      </rPr>
      <t>, malování a nátěry, oprava podlah) při zapojení FR 45</t>
    </r>
  </si>
  <si>
    <r>
      <rPr>
        <sz val="10"/>
        <rFont val="Arial CE"/>
        <family val="2"/>
        <charset val="238"/>
      </rPr>
      <t xml:space="preserve">                             - příspěvek na investice</t>
    </r>
    <r>
      <rPr>
        <sz val="9"/>
        <rFont val="Arial CE"/>
        <family val="2"/>
        <charset val="238"/>
      </rPr>
      <t xml:space="preserve"> (spoluúčast na projektu  IROP Digitalizace k Hitech.výuce, konvektomat) -při zapojení FI 160</t>
    </r>
  </si>
  <si>
    <r>
      <rPr>
        <sz val="10"/>
        <rFont val="Arial CE"/>
        <family val="2"/>
        <charset val="238"/>
      </rPr>
      <t xml:space="preserve">                         </t>
    </r>
    <r>
      <rPr>
        <b/>
        <i/>
        <sz val="10"/>
        <rFont val="Arial CE"/>
        <charset val="238"/>
      </rPr>
      <t xml:space="preserve">ZŠ Tyršova </t>
    </r>
    <r>
      <rPr>
        <sz val="10"/>
        <rFont val="Arial CE"/>
        <family val="2"/>
        <charset val="238"/>
      </rPr>
      <t>(org. 325)</t>
    </r>
  </si>
  <si>
    <t xml:space="preserve">                             - příspěvek na provoz (vč. Montessori 250), vč.energií 2000, vč.odpisů z nem.majetku</t>
  </si>
  <si>
    <r>
      <rPr>
        <sz val="10"/>
        <rFont val="Arial CE"/>
        <family val="2"/>
        <charset val="238"/>
      </rPr>
      <t xml:space="preserve">                             - příspěvek na údržbu</t>
    </r>
    <r>
      <rPr>
        <sz val="9"/>
        <rFont val="Arial CE"/>
        <family val="2"/>
        <charset val="238"/>
      </rPr>
      <t xml:space="preserve"> (malování a nátěry)</t>
    </r>
  </si>
  <si>
    <t xml:space="preserve">                             - příspěvek na investice (myčka, server a diskové pole) </t>
  </si>
  <si>
    <t>Střediska volného času</t>
  </si>
  <si>
    <r>
      <rPr>
        <sz val="10"/>
        <rFont val="Arial CE"/>
        <family val="2"/>
        <charset val="238"/>
      </rPr>
      <t xml:space="preserve">z toho: </t>
    </r>
    <r>
      <rPr>
        <b/>
        <i/>
        <sz val="10"/>
        <rFont val="Arial CE"/>
        <charset val="238"/>
      </rPr>
      <t>SVČ Fokus</t>
    </r>
  </si>
  <si>
    <t xml:space="preserve">                  - příspěvek na provoz, včetně energií 670, včetně odpisů z nemovitého majetku </t>
  </si>
  <si>
    <t xml:space="preserve">                  - příspěvek na údržbu (oprava podlah v posilovně)</t>
  </si>
  <si>
    <r>
      <rPr>
        <sz val="10"/>
        <rFont val="Arial CE"/>
        <family val="2"/>
        <charset val="238"/>
      </rPr>
      <t xml:space="preserve">                  - příspěvek na investice </t>
    </r>
    <r>
      <rPr>
        <sz val="9"/>
        <rFont val="Arial CE"/>
        <charset val="238"/>
      </rPr>
      <t xml:space="preserve">(revitalizace projektu ITI+spoluúčast+zateplení nástavby části budovy (876 tis.Kč) , zrcadlová stěna, PD na ohřev teplé vody) zapojení FI 140 </t>
    </r>
  </si>
  <si>
    <r>
      <rPr>
        <b/>
        <sz val="10"/>
        <rFont val="Arial CE"/>
        <family val="2"/>
        <charset val="238"/>
      </rPr>
      <t>Ostatní tělovýchovná činnost</t>
    </r>
    <r>
      <rPr>
        <sz val="10"/>
        <rFont val="Arial CE"/>
        <charset val="238"/>
      </rPr>
      <t xml:space="preserve"> </t>
    </r>
  </si>
  <si>
    <t>416 - Kultura</t>
  </si>
  <si>
    <r>
      <rPr>
        <b/>
        <sz val="10"/>
        <rFont val="Arial CE"/>
        <family val="2"/>
        <charset val="238"/>
      </rPr>
      <t xml:space="preserve">Divadelní činnost - </t>
    </r>
    <r>
      <rPr>
        <b/>
        <i/>
        <sz val="10"/>
        <rFont val="Arial CE"/>
        <family val="2"/>
        <charset val="238"/>
      </rPr>
      <t>Beskydské divadlo</t>
    </r>
    <r>
      <rPr>
        <b/>
        <sz val="9"/>
        <rFont val="Arial CE"/>
        <family val="2"/>
        <charset val="238"/>
      </rPr>
      <t xml:space="preserve"> </t>
    </r>
    <r>
      <rPr>
        <sz val="9"/>
        <rFont val="Arial CE"/>
        <family val="2"/>
        <charset val="238"/>
      </rPr>
      <t>(org. 504)</t>
    </r>
  </si>
  <si>
    <t xml:space="preserve">z toho: příspěvek na provoz, včetně energií 2000, včetně odpisů z nemovitého majetku </t>
  </si>
  <si>
    <r>
      <rPr>
        <sz val="10"/>
        <rFont val="Arial CE"/>
        <family val="2"/>
        <charset val="238"/>
      </rPr>
      <t xml:space="preserve">             příspěvek na údržbu </t>
    </r>
    <r>
      <rPr>
        <sz val="9"/>
        <rFont val="Arial CE"/>
        <family val="2"/>
        <charset val="238"/>
      </rPr>
      <t xml:space="preserve">(zesílení stropních desek ve výchovní části přístavby vč.stav. úprav, oprava vzduchotechniky) při zapojení FI 200 </t>
    </r>
  </si>
  <si>
    <t xml:space="preserve">          - příspěvek na investice </t>
  </si>
  <si>
    <t>Ostatní záležitosti kultury</t>
  </si>
  <si>
    <r>
      <rPr>
        <sz val="10"/>
        <rFont val="Arial CE"/>
        <family val="2"/>
        <charset val="238"/>
      </rPr>
      <t xml:space="preserve">z toho: osadní výbory </t>
    </r>
    <r>
      <rPr>
        <sz val="9"/>
        <rFont val="Arial CE"/>
        <family val="2"/>
        <charset val="238"/>
      </rPr>
      <t>(Žilina, Straník, Bludovice, Kojetín, Loučka)</t>
    </r>
  </si>
  <si>
    <t xml:space="preserve">             kronika, služby, materiál, pohoštění, dar, ocenění osobností, ples, poplatky OSA a INTEGRAM atd.)</t>
  </si>
  <si>
    <t>Zachování a obnova kulturních památek</t>
  </si>
  <si>
    <r>
      <rPr>
        <sz val="10"/>
        <rFont val="Arial CE"/>
        <family val="2"/>
        <charset val="238"/>
      </rPr>
      <t>z toho: dohody (</t>
    </r>
    <r>
      <rPr>
        <sz val="9"/>
        <rFont val="Arial CE"/>
        <charset val="238"/>
      </rPr>
      <t>odborné texty na tabulky)</t>
    </r>
  </si>
  <si>
    <t xml:space="preserve">             Instalace a vytvoření tabulek s QR kódy ke kulturním památkám (domy a sochy)</t>
  </si>
  <si>
    <t xml:space="preserve">             Propagace v rámci EHD (vlajky a jiné), postřiky hradebních zdí, vč. likvidace náletů </t>
  </si>
  <si>
    <t xml:space="preserve">             Drobné opravy poškození, očištění soch a restaurování křížů, Kaple v Janáčkových sadech-úprava po fixaci maleb, oprva hradební zdi (ve dvoře HoteluPraha)</t>
  </si>
  <si>
    <t>Pořízení, zachování a obnova hodnot místního historického povědomí</t>
  </si>
  <si>
    <r>
      <rPr>
        <sz val="10"/>
        <rFont val="Arial CE"/>
        <family val="2"/>
        <charset val="238"/>
      </rPr>
      <t xml:space="preserve">z toho: </t>
    </r>
    <r>
      <rPr>
        <sz val="9"/>
        <rFont val="Arial CE"/>
        <family val="2"/>
        <charset val="238"/>
      </rPr>
      <t xml:space="preserve"> oprava křížů a kaplí </t>
    </r>
  </si>
  <si>
    <r>
      <rPr>
        <sz val="10"/>
        <rFont val="Arial CE"/>
        <family val="2"/>
        <charset val="238"/>
      </rPr>
      <t xml:space="preserve">            elektrická energie </t>
    </r>
    <r>
      <rPr>
        <sz val="9"/>
        <rFont val="Arial CE"/>
        <charset val="238"/>
      </rPr>
      <t xml:space="preserve">(zvonění kaple Kojetín, Bludovice) </t>
    </r>
  </si>
  <si>
    <t>Zájmová činnost v kultuře</t>
  </si>
  <si>
    <t>z toho: Osvětová beseda Straník</t>
  </si>
  <si>
    <r>
      <rPr>
        <sz val="10"/>
        <rFont val="Arial CE"/>
        <family val="2"/>
        <charset val="238"/>
      </rPr>
      <t xml:space="preserve">z toho: </t>
    </r>
    <r>
      <rPr>
        <b/>
        <i/>
        <sz val="10"/>
        <rFont val="Arial CE"/>
        <family val="2"/>
        <charset val="238"/>
      </rPr>
      <t>Městské kulturní středisko</t>
    </r>
    <r>
      <rPr>
        <b/>
        <sz val="10"/>
        <rFont val="Arial CE"/>
        <charset val="238"/>
      </rPr>
      <t xml:space="preserve"> </t>
    </r>
    <r>
      <rPr>
        <sz val="9"/>
        <rFont val="Arial CE"/>
        <family val="2"/>
        <charset val="238"/>
      </rPr>
      <t>(org. 501)</t>
    </r>
  </si>
  <si>
    <t xml:space="preserve">           -  příspěvek na provoz MěKS a Kina Květen, vč.energií 1350, vč.odpisů z nem.majetku 175 </t>
  </si>
  <si>
    <t xml:space="preserve">                                     včetně Novojičínského kulturního léta a Slavností města </t>
  </si>
  <si>
    <r>
      <rPr>
        <sz val="10"/>
        <rFont val="Arial CE"/>
        <family val="2"/>
        <charset val="238"/>
      </rPr>
      <t xml:space="preserve">          -  příspěvek na investice </t>
    </r>
    <r>
      <rPr>
        <sz val="9"/>
        <rFont val="Arial CE"/>
        <family val="2"/>
        <charset val="238"/>
      </rPr>
      <t>auto)</t>
    </r>
  </si>
  <si>
    <r>
      <rPr>
        <sz val="10"/>
        <rFont val="Arial CE"/>
        <family val="2"/>
        <charset val="238"/>
      </rPr>
      <t xml:space="preserve">           -  příspěvek na údržbu </t>
    </r>
    <r>
      <rPr>
        <sz val="9"/>
        <rFont val="Arial CE"/>
        <family val="2"/>
        <charset val="238"/>
      </rPr>
      <t xml:space="preserve">(oprava vstupu knihovny a části budovy garáže proti vzlínání vlhkosti, oprava asfaltové plochy před pódiem amfiteátru Skalky,oprava správního domku-pouze PD, přečalounění sedaček v kině, oprava digitálního projektoru , oprava plechového krytu v chodníkovém tělese u kina, oprava proskleného vnitřního prostoru kina) při zapojení FI 600 </t>
    </r>
  </si>
  <si>
    <t>Ostatní záležitosti kultury, církví a sdělovacích prostředků</t>
  </si>
  <si>
    <t>z toho: výdaje na občanské záležitosti (včetně vítání občánků a jubileí)</t>
  </si>
  <si>
    <t>441 - Dotace, návratné finanční výpomoci a dary cizím subjektům</t>
  </si>
  <si>
    <t>Dotace, návratné finanční výpomoci a dary cizím subjektům</t>
  </si>
  <si>
    <t>z toho: podpora celoroční činnosti v kulturní oblasti (org. 1121)</t>
  </si>
  <si>
    <t xml:space="preserve">            podpora jednorázových kulturních akcí (org. 1122)</t>
  </si>
  <si>
    <t xml:space="preserve">            podpora sportovní činnosti dospělých nad 20 let (org. 1131)</t>
  </si>
  <si>
    <t xml:space="preserve">            podpora sportovní činnosti dětí a mládeže do 20 let (org. 1132)</t>
  </si>
  <si>
    <t xml:space="preserve">            podpora jednorázových sportovních akcí (org. 1133)</t>
  </si>
  <si>
    <t xml:space="preserve">            podpora provozu, údržby a oprava sportovišť a sportovních zařízení (org. 1134)</t>
  </si>
  <si>
    <t xml:space="preserve">            podpora ostatního sportu mládeže do 20 let (org. 1136)</t>
  </si>
  <si>
    <t xml:space="preserve">            podpora výkonostního sportu dospělých nad 20 let (org. 1137)</t>
  </si>
  <si>
    <t xml:space="preserve">            podpora celoroční činnosti v oblasti využití volného času (org. 1141)</t>
  </si>
  <si>
    <t xml:space="preserve">            podpora jednorázových akcí v oblasti využití volného času (org. 1142)</t>
  </si>
  <si>
    <t xml:space="preserve">            podpora na zachování a obnovu kulturních památek (org. 1150)</t>
  </si>
  <si>
    <r>
      <rPr>
        <sz val="10"/>
        <rFont val="Arial CE"/>
        <family val="2"/>
        <charset val="238"/>
      </rPr>
      <t xml:space="preserve">            mimořádné dotace a dary (org. 1180): </t>
    </r>
    <r>
      <rPr>
        <sz val="9"/>
        <rFont val="Arial CE"/>
        <charset val="238"/>
      </rPr>
      <t>MŠ Beruška 165, ZŠ Galaxie 220 a MŠ Bludovice 33,816 -všechny 3 subjekty na úhradu režijních nákladů na stravování dětí včetně dovozu, ZO ČSOP Bartošovice 90 záchrana handicapovaných zvířat, Česká křesťanská akademie 15, rezerva 100</t>
    </r>
  </si>
  <si>
    <t>ORJ 018 - Městská policie</t>
  </si>
  <si>
    <t xml:space="preserve">Bezpečnost a veřejný pořádek </t>
  </si>
  <si>
    <r>
      <rPr>
        <sz val="10"/>
        <rFont val="Arial CE"/>
        <family val="2"/>
        <charset val="238"/>
      </rPr>
      <t>z toho</t>
    </r>
    <r>
      <rPr>
        <b/>
        <sz val="10"/>
        <rFont val="Arial CE"/>
        <charset val="238"/>
      </rPr>
      <t xml:space="preserve"> provoz:</t>
    </r>
    <r>
      <rPr>
        <sz val="10"/>
        <rFont val="Arial CE"/>
        <family val="2"/>
        <charset val="238"/>
      </rPr>
      <t xml:space="preserve"> platy</t>
    </r>
    <r>
      <rPr>
        <sz val="9"/>
        <rFont val="Arial CE"/>
        <family val="2"/>
        <charset val="238"/>
      </rPr>
      <t xml:space="preserve"> 16 000, zák.odvody 3 968 + 1 440 ochr.pomůcky 0, zdrav.pomůcky 2, výstroj 275, knihy, časopisy a tisk 1, DHM 151, materiál 127,5 včetně prevence kriminality, elektř.10, PHM 240, služby pošt 1, telekomunikace 242, nájemné 30, konzultace  porad.služby 3, školení 27, konference 2, služby 579, opravy a udrž. 283, služby zpracování dat 80, cestovné 7, neinv.přísp.a náhrady-prac.úrazy 50, kolky 10, náhrady za nemoc 100,</t>
    </r>
    <r>
      <rPr>
        <sz val="10"/>
        <rFont val="Arial CE"/>
        <charset val="238"/>
      </rPr>
      <t xml:space="preserve"> správní poplatky 6, </t>
    </r>
    <r>
      <rPr>
        <b/>
        <sz val="10"/>
        <rFont val="Arial CE"/>
        <charset val="238"/>
      </rPr>
      <t xml:space="preserve">investice: </t>
    </r>
    <r>
      <rPr>
        <sz val="9"/>
        <rFont val="Arial CE"/>
        <charset val="238"/>
      </rPr>
      <t>radiostanice</t>
    </r>
  </si>
  <si>
    <t>ORJ 019 - Odbor organizační</t>
  </si>
  <si>
    <r>
      <rPr>
        <b/>
        <sz val="10"/>
        <rFont val="Arial CE"/>
        <family val="2"/>
        <charset val="238"/>
      </rPr>
      <t xml:space="preserve">Ochrana obyvatelstva </t>
    </r>
    <r>
      <rPr>
        <sz val="9"/>
        <rFont val="Arial CE"/>
        <charset val="238"/>
      </rPr>
      <t>(letáky+uživat.příručky 1, DHM 80, zpracování dat-data hosting, GSM přenosy 25, systém varování před povodněmi-hladinoměry dle servisní smlouvy 23, opravy a udržování systému varování před povodněmi 40)</t>
    </r>
  </si>
  <si>
    <r>
      <rPr>
        <b/>
        <sz val="10"/>
        <rFont val="Arial CE"/>
        <family val="2"/>
        <charset val="238"/>
      </rPr>
      <t xml:space="preserve">Činnost ost. orgánů státní správy v oblasti civil.nouzového hospod. </t>
    </r>
    <r>
      <rPr>
        <sz val="9"/>
        <rFont val="Arial CE"/>
        <family val="2"/>
        <charset val="238"/>
      </rPr>
      <t>(čerpá se jen při živelních pohromách: přikrývky 50, písek+pytle+... 70, zabezpečení chodu evak.středisek 3, teplo 3, elektrická energie 4, PHM 10, služby: ubytovací,stravovací,dopravní,... 60)</t>
    </r>
  </si>
  <si>
    <r>
      <rPr>
        <b/>
        <sz val="10"/>
        <rFont val="Arial CE"/>
        <family val="2"/>
        <charset val="238"/>
      </rPr>
      <t xml:space="preserve">Ostatní správa v oblasti krizového řízení </t>
    </r>
    <r>
      <rPr>
        <sz val="9"/>
        <rFont val="Arial CE"/>
        <family val="2"/>
        <charset val="238"/>
      </rPr>
      <t>(PHM do elektrocentrály 1, služby 2, materiál 1, knihy+učební pomůcky+tisk 1) - čerpá se jen v mimořádných událostech</t>
    </r>
  </si>
  <si>
    <r>
      <rPr>
        <b/>
        <sz val="10"/>
        <rFont val="Arial CE"/>
        <family val="2"/>
        <charset val="238"/>
      </rPr>
      <t xml:space="preserve">Požární ochrana - profesionální část </t>
    </r>
    <r>
      <rPr>
        <sz val="9"/>
        <rFont val="Arial CE"/>
        <family val="2"/>
        <charset val="238"/>
      </rPr>
      <t>(příspěvek HZS MSK dle smlouvy zvýšené o inflaci-předpoklad 2,7 %)</t>
    </r>
  </si>
  <si>
    <r>
      <rPr>
        <b/>
        <sz val="10"/>
        <rFont val="Arial CE"/>
        <family val="2"/>
        <charset val="238"/>
      </rPr>
      <t xml:space="preserve">Požární ochrana - dobrovolná část </t>
    </r>
    <r>
      <rPr>
        <sz val="9"/>
        <rFont val="Arial CE"/>
        <family val="2"/>
        <charset val="238"/>
      </rPr>
      <t>(pro hasiče Straník: OOPP 6, DHM - hadice a proudnice, svítilny na přilby 250, materiál 5, PHM 18, služby+internet 3,6, školení 3, nákup služeb-technické prohlídky vozidel, měření emisí, výměna pneu,... 10, opravy a udržování-příprava na STK, drobné opravy vozového parku 35, cestovné 2)</t>
    </r>
  </si>
  <si>
    <t xml:space="preserve">Činnost místní správy </t>
  </si>
  <si>
    <r>
      <rPr>
        <sz val="9"/>
        <rFont val="Arial CE"/>
        <charset val="238"/>
      </rPr>
      <t xml:space="preserve">z toho </t>
    </r>
    <r>
      <rPr>
        <b/>
        <sz val="9"/>
        <rFont val="Arial CE"/>
        <charset val="238"/>
      </rPr>
      <t>provoz</t>
    </r>
    <r>
      <rPr>
        <sz val="9"/>
        <rFont val="Arial CE"/>
        <charset val="238"/>
      </rPr>
      <t>: činnost místní správy-</t>
    </r>
    <r>
      <rPr>
        <b/>
        <sz val="9"/>
        <rFont val="Arial CE"/>
        <charset val="238"/>
      </rPr>
      <t>org.381</t>
    </r>
    <r>
      <rPr>
        <sz val="9"/>
        <rFont val="Arial CE"/>
        <charset val="238"/>
      </rPr>
      <t xml:space="preserve"> v tom: odměny za užití duševního vlastnictví-OSA 40, ochranné pomůcky - OOPP pro nové zaměstnance a obměna stávajících 100, léky a zdrav.materiál 32,5, knihy+učební pomůcky+tisk 100, Novojičínský zpravodaj 500, drobný hmotný majetek-nábytek a vybavení velké zas.míst. 1600, náb. kanc úředníci 500, mobily, skartovačky, kan.židle, skříně, police 380, podlah.krytiny 200, zařiz. předm. WC radnice 30, vybavení kuchyňky Div. 8 50, materiál-kancelářský, hygienický, čistící, doručovací, ikebana, automobily-mazadla, nemrznoucí směsi,... 1075, voda 350, teplo 2100, elektr.energie 1500, pevná paliva 1, PHM 150, služby pošt 1700, telekomun.71, nájemné 126, právní služby 435,6, služby BOZP 72,6, bezplatné právní služby pro veřejnost 50, psychologické poradenství k výběrovým řízením 20, zpracování dat 260, služby vč. úklidu,servisu kopírek, vozidel, nové logo města, elektrorevize, servis vozidel 3215, opravy a udržování - malování, nátěry oken a dveří 870, výměna dlažby ve vchodu Radnice 400, oprava kanalizace garáže Div. 8 100, výměna oken Úzká 1000, oprava soc. zařízení radnice 1500, velká zas. místnost + kancelář tajemníka 700, ostatní opravy 1000, pohoštění 200, ostatní nákupy (čl. přísp. auditorů a tajemníků) 4,5, kolky 1, daně a poplatky vč. dálničních známek 21, ostatní výdaje 2.</t>
    </r>
  </si>
  <si>
    <r>
      <rPr>
        <sz val="9"/>
        <rFont val="Arial CE"/>
        <family val="2"/>
        <charset val="238"/>
      </rPr>
      <t>z toho</t>
    </r>
    <r>
      <rPr>
        <b/>
        <sz val="9"/>
        <rFont val="Arial CE"/>
        <family val="2"/>
        <charset val="238"/>
      </rPr>
      <t xml:space="preserve"> investice: </t>
    </r>
    <r>
      <rPr>
        <sz val="9"/>
        <rFont val="Arial CE"/>
        <family val="2"/>
        <charset val="238"/>
      </rPr>
      <t>činnost místní správy-</t>
    </r>
    <r>
      <rPr>
        <b/>
        <sz val="9"/>
        <rFont val="Arial CE"/>
        <family val="2"/>
        <charset val="238"/>
      </rPr>
      <t>org.381:</t>
    </r>
    <r>
      <rPr>
        <sz val="9"/>
        <rFont val="Arial CE"/>
        <family val="2"/>
        <charset val="238"/>
      </rPr>
      <t xml:space="preserve"> PD na zpracování vstupu do budovy na ul. Div. 1 (vestibul a kantýna) 150, projekt na paternoster 100, PD na sociální zař. Divadelní 8 80, studie využitelnosti dvorní části radnice 150</t>
    </r>
  </si>
  <si>
    <r>
      <rPr>
        <u/>
        <sz val="9"/>
        <rFont val="Arial CE"/>
        <charset val="238"/>
      </rPr>
      <t xml:space="preserve">Úsek informatiky </t>
    </r>
    <r>
      <rPr>
        <sz val="9"/>
        <rFont val="Arial CE"/>
        <charset val="238"/>
      </rPr>
      <t xml:space="preserve">- </t>
    </r>
    <r>
      <rPr>
        <b/>
        <sz val="9"/>
        <rFont val="Arial CE"/>
        <charset val="238"/>
      </rPr>
      <t>provoz - org.3381</t>
    </r>
    <r>
      <rPr>
        <sz val="9"/>
        <rFont val="Arial CE"/>
        <charset val="238"/>
      </rPr>
      <t xml:space="preserve"> (v tom: drobný hmotný majetek-nové PC a LCD monitory, notebooky, kopírky, tiskárny, nákup a instalace nového plátna do auly, web kamera - nový HW, Free wifi Div. 8, drobné síťové prvky, UPS, nový plotr 870, materiál 365, nájemné 40, školení 20, služby zpracování dat 3912,4, ost.služby-znalecké posudky, osvědčení 50, opravy a udržování 580, nákup softwaru 140.</t>
    </r>
  </si>
  <si>
    <r>
      <rPr>
        <u/>
        <sz val="9"/>
        <rFont val="Arial CE"/>
        <charset val="238"/>
      </rPr>
      <t>Úsek informatiky</t>
    </r>
    <r>
      <rPr>
        <b/>
        <sz val="9"/>
        <rFont val="Arial CE"/>
        <charset val="238"/>
      </rPr>
      <t xml:space="preserve"> </t>
    </r>
    <r>
      <rPr>
        <sz val="9"/>
        <rFont val="Arial CE"/>
        <charset val="238"/>
      </rPr>
      <t xml:space="preserve">- </t>
    </r>
    <r>
      <rPr>
        <b/>
        <sz val="9"/>
        <rFont val="Arial CE"/>
        <charset val="238"/>
      </rPr>
      <t>investice - org.3381</t>
    </r>
    <r>
      <rPr>
        <sz val="9"/>
        <rFont val="Arial CE"/>
        <charset val="238"/>
      </rPr>
      <t xml:space="preserve"> programové vybavení- antivir, SW TC zálohování 101, vyvolávací systém - rozšíření 20, eko webové stránky 0, rozvoj GIS 350, nový IS 2000; elektronická úřední deska 600.</t>
    </r>
  </si>
  <si>
    <r>
      <rPr>
        <sz val="10"/>
        <rFont val="Arial CE"/>
        <family val="2"/>
        <charset val="238"/>
      </rPr>
      <t>Chata Jičínka-</t>
    </r>
    <r>
      <rPr>
        <b/>
        <sz val="10"/>
        <rFont val="Arial CE"/>
        <charset val="238"/>
      </rPr>
      <t>org.4381</t>
    </r>
    <r>
      <rPr>
        <sz val="10"/>
        <rFont val="Arial CE"/>
        <family val="2"/>
        <charset val="238"/>
      </rPr>
      <t xml:space="preserve"> </t>
    </r>
    <r>
      <rPr>
        <sz val="9"/>
        <rFont val="Arial CE"/>
        <charset val="238"/>
      </rPr>
      <t xml:space="preserve">(v tom: drobný hmotný majetek 50, materiál 10, voda 15, elektr.energie 140, PHM 1, služby-praní, odpady,... 50, opravy a udržování 50, místní poplatky 17, </t>
    </r>
    <r>
      <rPr>
        <b/>
        <sz val="9"/>
        <rFont val="Arial CE"/>
        <charset val="238"/>
      </rPr>
      <t>investice:</t>
    </r>
    <r>
      <rPr>
        <sz val="9"/>
        <rFont val="Arial CE"/>
        <charset val="238"/>
      </rPr>
      <t xml:space="preserve"> další etapa - úprava stropu, podlah, elektronistalace, zpevnění základů)</t>
    </r>
  </si>
  <si>
    <r>
      <rPr>
        <sz val="10"/>
        <rFont val="Arial CE"/>
        <family val="2"/>
        <charset val="238"/>
      </rPr>
      <t>Mobilní telefony-</t>
    </r>
    <r>
      <rPr>
        <b/>
        <sz val="10"/>
        <rFont val="Arial CE"/>
        <charset val="238"/>
      </rPr>
      <t>org.7381</t>
    </r>
  </si>
  <si>
    <r>
      <rPr>
        <sz val="10"/>
        <rFont val="Arial CE"/>
        <family val="2"/>
        <charset val="238"/>
      </rPr>
      <t>Pevné telefony-</t>
    </r>
    <r>
      <rPr>
        <b/>
        <sz val="10"/>
        <rFont val="Arial CE"/>
        <charset val="238"/>
      </rPr>
      <t>org.8381</t>
    </r>
  </si>
  <si>
    <r>
      <rPr>
        <sz val="10"/>
        <rFont val="Arial CE"/>
        <family val="2"/>
        <charset val="238"/>
      </rPr>
      <t>Dotace na OSPOD-</t>
    </r>
    <r>
      <rPr>
        <b/>
        <sz val="10"/>
        <rFont val="Arial CE"/>
        <charset val="238"/>
      </rPr>
      <t>org. 1385</t>
    </r>
    <r>
      <rPr>
        <sz val="10"/>
        <rFont val="Arial CE"/>
        <family val="2"/>
        <charset val="238"/>
      </rPr>
      <t xml:space="preserve"> </t>
    </r>
    <r>
      <rPr>
        <sz val="9"/>
        <rFont val="Arial CE"/>
        <family val="2"/>
        <charset val="238"/>
      </rPr>
      <t xml:space="preserve">(v tom: knihy 6, DHM 46, materiál 17, PHM 23, služby telekomunikací 12, zpracování dat 72,6, ostatní služby 24) </t>
    </r>
  </si>
  <si>
    <r>
      <rPr>
        <b/>
        <sz val="10"/>
        <rFont val="Arial CE"/>
        <family val="2"/>
        <charset val="238"/>
      </rPr>
      <t>Pojištění funkčně nespecifikované</t>
    </r>
    <r>
      <rPr>
        <sz val="9"/>
        <rFont val="Arial CE"/>
        <family val="2"/>
        <charset val="238"/>
      </rPr>
      <t xml:space="preserve"> (pojištění 1300, náhrady za nezpůsobenou újmu 50)</t>
    </r>
  </si>
  <si>
    <t>ORJ 919 - Odbor kancelář vedení města</t>
  </si>
  <si>
    <r>
      <rPr>
        <b/>
        <sz val="10"/>
        <rFont val="Arial CE"/>
        <family val="2"/>
        <charset val="238"/>
      </rPr>
      <t>Zastupitelstva obcí</t>
    </r>
    <r>
      <rPr>
        <sz val="9"/>
        <rFont val="Arial CE"/>
        <charset val="238"/>
      </rPr>
      <t xml:space="preserve"> (ost.platy-refundace mzdy 25, odměny členů ZM 7150, zák.odvody 942,4+643,5, refund.zák.odvodů 12, školení a vzdělávání pro uvolněné ZM 8, parkovné 0,5, cestovné (ubytování a doprava) 15, pohoštění 75, poplatky na konference 5, ošatné-svatby 40, dary 30)</t>
    </r>
  </si>
  <si>
    <r>
      <rPr>
        <sz val="9"/>
        <rFont val="Arial CE"/>
        <charset val="238"/>
      </rPr>
      <t>z toho provoz: činnost místní správy-</t>
    </r>
    <r>
      <rPr>
        <b/>
        <sz val="9"/>
        <rFont val="Arial CE"/>
        <charset val="238"/>
      </rPr>
      <t>org.381</t>
    </r>
    <r>
      <rPr>
        <sz val="9"/>
        <rFont val="Arial CE"/>
        <charset val="238"/>
      </rPr>
      <t xml:space="preserve"> v tom: platy 85000, ost.platy 10, dohody 1300, refundace 10, zák.odvody 21402,4+7767+490+1, školení a vzdělávání 1000, nákup ostatních služeb 2400, cestovné 250, poplatky na konference 20, ostatní (ošatné ceremoniářky,matrikářky,hudebníci) 260, náhrady 40, náhrady mezd v nemoci 700.</t>
    </r>
  </si>
  <si>
    <r>
      <rPr>
        <sz val="10"/>
        <rFont val="Arial CE"/>
        <family val="2"/>
        <charset val="238"/>
      </rPr>
      <t>Dotace na OSPOD-</t>
    </r>
    <r>
      <rPr>
        <b/>
        <sz val="10"/>
        <rFont val="Arial CE"/>
        <charset val="238"/>
      </rPr>
      <t>org. 1385</t>
    </r>
    <r>
      <rPr>
        <sz val="10"/>
        <rFont val="Arial CE"/>
        <family val="2"/>
        <charset val="238"/>
      </rPr>
      <t xml:space="preserve"> </t>
    </r>
    <r>
      <rPr>
        <sz val="9"/>
        <rFont val="Arial CE"/>
        <family val="2"/>
        <charset val="238"/>
      </rPr>
      <t>v tom: platy 5600,dohody 24, zák.odvody 1406+506,16, školení 120, cestovné 13</t>
    </r>
  </si>
  <si>
    <r>
      <rPr>
        <b/>
        <sz val="10"/>
        <rFont val="Arial CE"/>
        <charset val="238"/>
      </rPr>
      <t>Sociální fond</t>
    </r>
    <r>
      <rPr>
        <sz val="10"/>
        <rFont val="Arial CE"/>
        <family val="2"/>
        <charset val="238"/>
      </rPr>
      <t xml:space="preserve"> </t>
    </r>
    <r>
      <rPr>
        <sz val="9"/>
        <rFont val="Arial CE"/>
        <family val="2"/>
        <charset val="238"/>
      </rPr>
      <t xml:space="preserve">(nájemné-aktivity odborů 60,7 , stravování 2269,8, nákup ost. služeb - akce odborové org. 160 , rekreace zaměstnanců 1165,5, pohoštění-setkání zaměstnanců+bývalých zaměstnanců 100 , ošatné uvolnění ZM+pověření neuvolnění ZM 90 , dary obyvatelstvu při úmrtí zaměstnance nebo člena rodiny 100, jubilea 94, penzijní a životní pojištění zaměstn. 1860 + investice z ORJ 019 ze zůstatku SF 300) </t>
    </r>
  </si>
  <si>
    <t>Převody vlastním fondům v rozpočtech územní úrovně</t>
  </si>
  <si>
    <t>528 - Sociální věci</t>
  </si>
  <si>
    <t>Dopravní obslužnost mimo veřejnou službu - BST (org. 5555)</t>
  </si>
  <si>
    <r>
      <rPr>
        <b/>
        <sz val="10"/>
        <rFont val="Arial CE"/>
        <family val="2"/>
        <charset val="238"/>
      </rPr>
      <t xml:space="preserve">Nebytové hospodářství </t>
    </r>
    <r>
      <rPr>
        <sz val="9"/>
        <rFont val="Arial CE"/>
        <charset val="238"/>
      </rPr>
      <t>(Sokolovská 9: drobný hmotný majetek 2, materiál 1, služby 1)</t>
    </r>
  </si>
  <si>
    <r>
      <rPr>
        <b/>
        <sz val="10"/>
        <rFont val="Arial CE"/>
        <family val="2"/>
        <charset val="238"/>
      </rPr>
      <t xml:space="preserve">Pohřebnictví </t>
    </r>
    <r>
      <rPr>
        <sz val="9"/>
        <rFont val="Arial CE"/>
        <family val="2"/>
        <charset val="238"/>
      </rPr>
      <t>(úhrada sociálních pohřbů)</t>
    </r>
  </si>
  <si>
    <t xml:space="preserve">Ostatní sociální péče a pomoc dětem a mládeži </t>
  </si>
  <si>
    <t>z toho: věcné dary/nákup materiálu (státní příspěvek na výkon OSPOD) ÚZ 13011, org. 1385</t>
  </si>
  <si>
    <t xml:space="preserve">             terapeutické pobyty pro děti ze sociálně znevýhodněného prostředí</t>
  </si>
  <si>
    <t xml:space="preserve">             odvod výživného 2019</t>
  </si>
  <si>
    <r>
      <rPr>
        <b/>
        <sz val="10"/>
        <rFont val="Arial CE"/>
        <family val="2"/>
        <charset val="238"/>
      </rPr>
      <t xml:space="preserve">Ostatní sociální péče a pomoc rodině a manželství </t>
    </r>
    <r>
      <rPr>
        <sz val="10"/>
        <rFont val="Arial CE"/>
        <charset val="238"/>
      </rPr>
      <t>(výkon pěstounské péče)</t>
    </r>
  </si>
  <si>
    <t xml:space="preserve">             nákup služeb (státní příspěvek na výkon pěstounské péče) ÚZ 13010</t>
  </si>
  <si>
    <t>Sociální rehabilitace</t>
  </si>
  <si>
    <r>
      <rPr>
        <b/>
        <sz val="10"/>
        <rFont val="Arial CE"/>
        <family val="2"/>
        <charset val="238"/>
      </rPr>
      <t xml:space="preserve">             </t>
    </r>
    <r>
      <rPr>
        <sz val="10"/>
        <rFont val="Arial CE"/>
        <charset val="238"/>
      </rPr>
      <t>neinvestiční transfery krajům (smlouva o závazku vůči MSK) ÚZ 00030</t>
    </r>
  </si>
  <si>
    <t>Ostatní sociální péče a pomoc ostatním skupinám obyvatelstva</t>
  </si>
  <si>
    <t>z toho: nákup služeb - Komunitní plánování (org. 0439)</t>
  </si>
  <si>
    <t xml:space="preserve">             komunitní plánování  II. - Efektivní systém plánování soc.služeb v NJ (org.1441)</t>
  </si>
  <si>
    <t>Podpora samostatného bydlení</t>
  </si>
  <si>
    <t xml:space="preserve">             neinvestiční transfery krajům (smlouva o závazku vůči MSK) ÚZ 00030</t>
  </si>
  <si>
    <t>Sociálně aktivizační služby pro rodiny s dětmi</t>
  </si>
  <si>
    <t>Azylové domy, nízkoprahová denní centra a noclehárny</t>
  </si>
  <si>
    <t>Ostatní služby a činnosti v oblasti sociální prevence</t>
  </si>
  <si>
    <t>z toho:   Klub seniorů Nový Jičín (org. 383)</t>
  </si>
  <si>
    <t xml:space="preserve">             Klub seniorů Straník (org. 2383)</t>
  </si>
  <si>
    <t xml:space="preserve">             Klub seniorů Loučka (org. 3383)</t>
  </si>
  <si>
    <t xml:space="preserve">             Kavárničky - setkání seniorů v DPS (org. 3393)</t>
  </si>
  <si>
    <r>
      <rPr>
        <b/>
        <sz val="10"/>
        <rFont val="Arial CE"/>
        <family val="2"/>
        <charset val="238"/>
      </rPr>
      <t xml:space="preserve">Záležitosti soc. věcí a politiky nezaměstn. j.n. </t>
    </r>
    <r>
      <rPr>
        <sz val="9"/>
        <rFont val="Arial CE"/>
        <charset val="238"/>
      </rPr>
      <t xml:space="preserve">(nákup tiskopisů receptů a žádanek na omamné látky, průkazy BST) </t>
    </r>
  </si>
  <si>
    <t xml:space="preserve">Rezerva </t>
  </si>
  <si>
    <t>541 - Dotace, návratné finanční výpomoci a dary cizím subjektům</t>
  </si>
  <si>
    <t>Dotace, návratné finanční výpomoci a dary cizím subjektům celkem:</t>
  </si>
  <si>
    <t>z toho: podpora celoroční činnosti v oblasti sociální (org. 1111)</t>
  </si>
  <si>
    <t xml:space="preserve">             podpora jednorázových akcí v oblasti sociální (org. 1112)</t>
  </si>
  <si>
    <t xml:space="preserve">             podpora sociálních služeb dle zákona o soc.službách (org. 1113)</t>
  </si>
  <si>
    <t xml:space="preserve">             podpora občanů města v pobytových soc. zařízeních (org. 1114)</t>
  </si>
  <si>
    <t xml:space="preserve">             podpora domácí hospicové péče (org. 1115)</t>
  </si>
  <si>
    <t xml:space="preserve">             podpora dobrovolnictví dle zákona o dobrovolnické službě (org. 1116)</t>
  </si>
  <si>
    <t xml:space="preserve">             dary obyvatelstvu - dobrovolní dárci krve (org. 1180)</t>
  </si>
  <si>
    <t xml:space="preserve">             individuální dotace a dary (org. 1180)</t>
  </si>
  <si>
    <t>ORJ 029 - ProSenior Nový Jičín</t>
  </si>
  <si>
    <t>Osobní asistence, pečovatelská služba a podpora samostatného bydlení</t>
  </si>
  <si>
    <r>
      <rPr>
        <sz val="9"/>
        <rFont val="Arial CE"/>
        <charset val="238"/>
      </rPr>
      <t xml:space="preserve">z toho </t>
    </r>
    <r>
      <rPr>
        <b/>
        <sz val="9"/>
        <rFont val="Arial CE"/>
        <charset val="238"/>
      </rPr>
      <t>Pečovatelská služba (org.390)</t>
    </r>
    <r>
      <rPr>
        <sz val="9"/>
        <rFont val="Arial CE"/>
        <charset val="238"/>
      </rPr>
      <t xml:space="preserve">: platy 3920+650, dohody 60, zákonné odvody 972+158, 355+75, potraviny 1, ochranné osobní pomůcky 40, léky+zdrav.mater.3, prádlo+oděv 2, knihy+tisk 1,5, DHM  50, materiál  72,1, elektř. 50, PHM 120, služby telekomunikací 18, mobily 12, pevné linky 2, školení a vzdělávání 50, zpracování dat 18, služby 50, opravy a udržování 90, cestovné 20, účastnické poplatky na konference 8, ostatní nákupy 0, neinvestiční transfery spolkům 2,9, náhrady mezd v době nemoci 35     </t>
    </r>
  </si>
  <si>
    <r>
      <rPr>
        <sz val="9"/>
        <rFont val="Arial CE"/>
        <charset val="238"/>
      </rPr>
      <t xml:space="preserve">z toho </t>
    </r>
    <r>
      <rPr>
        <b/>
        <sz val="9"/>
        <rFont val="Arial CE"/>
        <charset val="238"/>
      </rPr>
      <t>Denní stacionář=Domovinka (org.1391)</t>
    </r>
    <r>
      <rPr>
        <sz val="9"/>
        <rFont val="Arial CE"/>
        <charset val="238"/>
      </rPr>
      <t>: platy 900 310, dohody 10, zákonné odvody221+81 80+28, ochr.os.pomůcky 8, prádlo+oděv 1,5, knihy+tisk 1, DHM 10, materiál 12, elektrická energie 10, služby telekomunikací 1,3, školení a vzdělávání 10, zpracování dat 5, služby 33, opravy a údržba 5, cestovné 1, účastn.popl.na konferencích 0,5, náhrady mezd v době nemoci   11</t>
    </r>
  </si>
  <si>
    <r>
      <rPr>
        <sz val="9"/>
        <rFont val="Arial CE"/>
        <charset val="238"/>
      </rPr>
      <t xml:space="preserve">z toho </t>
    </r>
    <r>
      <rPr>
        <b/>
        <sz val="9"/>
        <rFont val="Arial CE"/>
        <charset val="238"/>
      </rPr>
      <t>Pohoda (org.1393)</t>
    </r>
    <r>
      <rPr>
        <sz val="9"/>
        <rFont val="Arial CE"/>
        <charset val="238"/>
      </rPr>
      <t xml:space="preserve">: platy 2 800+604, dohody 200, zákonné odvody 685+150 250+54,5, OOP+oděvy 20+5, DHM 40, materiál 36, elektř.12, telef. 1,3, školení a vzdělávání 18, zpracování dat 15, služby 6, opravy a údržba 7, cestovné 1, poplatky na konference 0,5, náhrady v době nemoci  25                                               </t>
    </r>
  </si>
  <si>
    <t xml:space="preserve">Ozdravování hospodářských zvířat </t>
  </si>
  <si>
    <r>
      <rPr>
        <b/>
        <sz val="10"/>
        <rFont val="Arial CE"/>
        <family val="2"/>
        <charset val="238"/>
      </rPr>
      <t xml:space="preserve">Pěstební činnost </t>
    </r>
    <r>
      <rPr>
        <sz val="9"/>
        <rFont val="Arial CE"/>
        <family val="2"/>
        <charset val="238"/>
      </rPr>
      <t>(znovuzalesnění po kůrovci) - TSM: 0</t>
    </r>
  </si>
  <si>
    <t>Správa v lesním hospodářství</t>
  </si>
  <si>
    <r>
      <rPr>
        <b/>
        <sz val="10"/>
        <rFont val="Arial CE"/>
        <family val="2"/>
        <charset val="238"/>
      </rPr>
      <t xml:space="preserve">Celospolečenské funkce lesů </t>
    </r>
    <r>
      <rPr>
        <sz val="9"/>
        <rFont val="Arial CE"/>
        <family val="2"/>
        <charset val="238"/>
      </rPr>
      <t>(cesty a svážnice+oprava kamenného divadla)</t>
    </r>
  </si>
  <si>
    <t xml:space="preserve">Ostatní záležitosti lesního hospodářství </t>
  </si>
  <si>
    <r>
      <rPr>
        <b/>
        <sz val="10"/>
        <rFont val="Arial CE"/>
        <family val="2"/>
        <charset val="238"/>
      </rPr>
      <t xml:space="preserve">Ostatní správa ve vodním hospodářství </t>
    </r>
    <r>
      <rPr>
        <sz val="9"/>
        <rFont val="Arial CE"/>
        <family val="2"/>
        <charset val="238"/>
      </rPr>
      <t>(havárie)</t>
    </r>
  </si>
  <si>
    <r>
      <rPr>
        <b/>
        <sz val="10"/>
        <rFont val="Arial CE"/>
        <family val="2"/>
        <charset val="238"/>
      </rPr>
      <t>Sběr a svoz nebezpečných odpadů</t>
    </r>
    <r>
      <rPr>
        <b/>
        <sz val="9"/>
        <rFont val="Arial CE"/>
        <charset val="238"/>
      </rPr>
      <t xml:space="preserve"> </t>
    </r>
    <r>
      <rPr>
        <sz val="9"/>
        <rFont val="Arial CE"/>
        <charset val="238"/>
      </rPr>
      <t>(TSM: 50)</t>
    </r>
  </si>
  <si>
    <t xml:space="preserve">Sběr a svoz komunálních odpadů </t>
  </si>
  <si>
    <t>z toho: TSM - příspěvek na provoz</t>
  </si>
  <si>
    <t xml:space="preserve">            ostatní provoz město</t>
  </si>
  <si>
    <r>
      <rPr>
        <sz val="10"/>
        <rFont val="Arial CE"/>
        <family val="2"/>
        <charset val="238"/>
      </rPr>
      <t xml:space="preserve">z toho: TSM příspěvek na investice </t>
    </r>
    <r>
      <rPr>
        <sz val="8"/>
        <rFont val="Arial CE"/>
        <charset val="238"/>
      </rPr>
      <t>(</t>
    </r>
    <r>
      <rPr>
        <sz val="9"/>
        <rFont val="Arial CE"/>
        <charset val="238"/>
      </rPr>
      <t>auto, vany, PD zprůjezdnění, unimobuňka)</t>
    </r>
  </si>
  <si>
    <r>
      <rPr>
        <b/>
        <sz val="10"/>
        <rFont val="Arial CE"/>
        <family val="2"/>
        <charset val="238"/>
      </rPr>
      <t xml:space="preserve">Monitoring půdy a podzemní vody </t>
    </r>
    <r>
      <rPr>
        <sz val="9"/>
        <rFont val="Arial CE"/>
        <family val="2"/>
        <charset val="238"/>
      </rPr>
      <t xml:space="preserve">(sledování vrtů na Kojetíně) </t>
    </r>
  </si>
  <si>
    <r>
      <rPr>
        <b/>
        <sz val="10"/>
        <rFont val="Arial CE"/>
        <family val="2"/>
        <charset val="238"/>
      </rPr>
      <t>Chráněné části přírody</t>
    </r>
    <r>
      <rPr>
        <sz val="9"/>
        <rFont val="Arial CE"/>
        <family val="2"/>
        <charset val="238"/>
      </rPr>
      <t xml:space="preserve"> (památné stromy, významné krajinné prvky)</t>
    </r>
  </si>
  <si>
    <t>Rekultivace půdy</t>
  </si>
  <si>
    <t>Péče o vzhled obcí a veřejnou zeleň</t>
  </si>
  <si>
    <t>z toho: akce + Zelené město 150</t>
  </si>
  <si>
    <r>
      <rPr>
        <sz val="10"/>
        <rFont val="Arial CE"/>
        <charset val="238"/>
      </rPr>
      <t xml:space="preserve">             údržba zeleně - </t>
    </r>
    <r>
      <rPr>
        <sz val="9"/>
        <rFont val="Arial CE"/>
        <charset val="238"/>
      </rPr>
      <t>TSM</t>
    </r>
  </si>
  <si>
    <t xml:space="preserve">                                     - ostatní (OŽP)</t>
  </si>
  <si>
    <r>
      <rPr>
        <sz val="10"/>
        <rFont val="Arial CE"/>
        <family val="2"/>
        <charset val="238"/>
      </rPr>
      <t xml:space="preserve">             příspěvek na investice TSM pro rok 2021 </t>
    </r>
    <r>
      <rPr>
        <sz val="8"/>
        <rFont val="Arial CE"/>
        <charset val="238"/>
      </rPr>
      <t xml:space="preserve">(nakladač, demolice skladu, revitalizace středista veřejné zeleně, demolice regulačních stanic) </t>
    </r>
  </si>
  <si>
    <t>Ekologická výchova a osvěta</t>
  </si>
  <si>
    <r>
      <rPr>
        <b/>
        <sz val="10"/>
        <rFont val="Arial CE"/>
        <family val="2"/>
        <charset val="238"/>
      </rPr>
      <t xml:space="preserve">Ostatní ekologické záležitosti </t>
    </r>
    <r>
      <rPr>
        <sz val="9"/>
        <rFont val="Arial CE"/>
        <charset val="238"/>
      </rPr>
      <t>(zpracování Adaptační strategie na změnu klimatu)</t>
    </r>
  </si>
  <si>
    <t xml:space="preserve">ORJ 037 - Odbor bytový </t>
  </si>
  <si>
    <r>
      <rPr>
        <b/>
        <sz val="10"/>
        <rFont val="Arial"/>
        <family val="2"/>
        <charset val="238"/>
      </rPr>
      <t>Střední odborné školy</t>
    </r>
    <r>
      <rPr>
        <sz val="10"/>
        <rFont val="Arial"/>
        <family val="2"/>
        <charset val="238"/>
      </rPr>
      <t xml:space="preserve"> </t>
    </r>
    <r>
      <rPr>
        <sz val="9"/>
        <rFont val="Arial"/>
        <family val="2"/>
        <charset val="238"/>
      </rPr>
      <t>(EDUCA) - běžné opravy 100, zápočet investic a nájmu 275</t>
    </r>
  </si>
  <si>
    <t>Sportovní zařízení v majetku obce</t>
  </si>
  <si>
    <r>
      <rPr>
        <b/>
        <i/>
        <sz val="10"/>
        <rFont val="Arial"/>
        <family val="2"/>
        <charset val="238"/>
      </rPr>
      <t xml:space="preserve">   </t>
    </r>
    <r>
      <rPr>
        <b/>
        <i/>
        <u/>
        <sz val="10"/>
        <rFont val="Arial"/>
        <family val="2"/>
        <charset val="238"/>
      </rPr>
      <t>Sportovní hala s bazénem:</t>
    </r>
    <r>
      <rPr>
        <i/>
        <sz val="10"/>
        <rFont val="Arial"/>
        <family val="2"/>
        <charset val="238"/>
      </rPr>
      <t xml:space="preserve"> org. 0515, 1515, 2515, 3515</t>
    </r>
  </si>
  <si>
    <t>z toho: investice celkem</t>
  </si>
  <si>
    <r>
      <rPr>
        <sz val="10"/>
        <rFont val="Arial"/>
        <family val="2"/>
        <charset val="238"/>
      </rPr>
      <t xml:space="preserve">             - venkovní </t>
    </r>
    <r>
      <rPr>
        <b/>
        <sz val="10"/>
        <rFont val="Arial"/>
        <family val="2"/>
        <charset val="238"/>
      </rPr>
      <t>bazén</t>
    </r>
    <r>
      <rPr>
        <sz val="10"/>
        <rFont val="Arial"/>
        <family val="2"/>
        <charset val="238"/>
      </rPr>
      <t xml:space="preserve"> org. 2515 (vybudování kamenného koberce) </t>
    </r>
  </si>
  <si>
    <t xml:space="preserve">             - generální úprava dámských a pánských sprch  (finance převedeny z 5171)</t>
  </si>
  <si>
    <t xml:space="preserve">             - podlaha basketbalové haly - PD + realizace (za předpokladu dotace MŠMT a spoluúčast města)</t>
  </si>
  <si>
    <t xml:space="preserve">             - zpracování PD rekonstrukce vnitřního bazénu</t>
  </si>
  <si>
    <t>z toho: opravy a udržování celkem (znal.posudky,služby+opravy+údržba)</t>
  </si>
  <si>
    <t xml:space="preserve">             - v tom: výměna žaluzie v přívodním tunelu vzduchotechniky s předehřevem vzduchu</t>
  </si>
  <si>
    <t xml:space="preserve">                          nepředvídané opravy</t>
  </si>
  <si>
    <t xml:space="preserve">                          PD - střecha dešťové svody</t>
  </si>
  <si>
    <t xml:space="preserve">                          oprava tobogánu - venkovní bazén</t>
  </si>
  <si>
    <t xml:space="preserve">                          oprava dětského brouzdaliště - venkovní bazén</t>
  </si>
  <si>
    <t xml:space="preserve">                          dohoda o narovnání Ridera Stavební, a.s.</t>
  </si>
  <si>
    <t>z toho: provoz celkem</t>
  </si>
  <si>
    <r>
      <rPr>
        <sz val="10"/>
        <rFont val="Arial"/>
        <family val="2"/>
        <charset val="238"/>
      </rPr>
      <t xml:space="preserve">          - dotace Basketbalovému klubu, z.s. (provoz+energie)          AÚ 437  </t>
    </r>
    <r>
      <rPr>
        <sz val="8"/>
        <rFont val="Arial"/>
        <family val="2"/>
        <charset val="238"/>
      </rPr>
      <t>navyšeno o 600 tis. - koberec</t>
    </r>
  </si>
  <si>
    <t xml:space="preserve">          - elektřina - přečerpávací šachta</t>
  </si>
  <si>
    <t xml:space="preserve">          - SBI - zabezpečovací systém MP</t>
  </si>
  <si>
    <r>
      <rPr>
        <b/>
        <i/>
        <sz val="10"/>
        <rFont val="Arial"/>
        <family val="2"/>
        <charset val="238"/>
      </rPr>
      <t xml:space="preserve">   </t>
    </r>
    <r>
      <rPr>
        <b/>
        <i/>
        <u/>
        <sz val="10"/>
        <rFont val="Arial"/>
        <family val="2"/>
        <charset val="238"/>
      </rPr>
      <t>Zimní stadión</t>
    </r>
    <r>
      <rPr>
        <b/>
        <i/>
        <sz val="10"/>
        <rFont val="Arial"/>
        <family val="2"/>
        <charset val="238"/>
      </rPr>
      <t>: org. 0522</t>
    </r>
  </si>
  <si>
    <t xml:space="preserve">             - rekonstrukce střechy - realizace rekonstrukce (příslib ZM 3.6.2019  = 56 mil. Kč)</t>
  </si>
  <si>
    <t xml:space="preserve">             - Cvičná brankářská střelnice pro hokejisty - PD a realizace</t>
  </si>
  <si>
    <t xml:space="preserve">             - dotace Hokejovému klubu, z.s. (provoz+energie)         AÚ 437</t>
  </si>
  <si>
    <t xml:space="preserve">             - SBI - zabezpečovací systém MP</t>
  </si>
  <si>
    <t xml:space="preserve">             - dodání mantinelů minihokej, stacionárních laviček, boxy na sezení do kabin (inventář položka 6122)</t>
  </si>
  <si>
    <t xml:space="preserve">z toho: opravy a udržování celkem </t>
  </si>
  <si>
    <t xml:space="preserve">            - nepředvídatelné výdaje </t>
  </si>
  <si>
    <t xml:space="preserve">            - oprava venkovních schodů a opěrné zídky </t>
  </si>
  <si>
    <t xml:space="preserve">            - oprava kanalizační přípojky - 60 m</t>
  </si>
  <si>
    <t>Bytové hospodářství</t>
  </si>
  <si>
    <t xml:space="preserve">             Bytový dům K archívu 2, NJ - PD pro realizaci </t>
  </si>
  <si>
    <t xml:space="preserve">             Pořízení EPS v DPS Revoluční 6 (požární hlásiče s napojením na pult centrální ochrany na MP)</t>
  </si>
  <si>
    <t xml:space="preserve">             Na Lani 212 -  2019 = PD na revitalizaci bytového domu,  2020 = realizace akce</t>
  </si>
  <si>
    <t xml:space="preserve">             Jičínská  272 - PD na revitalizaci bytového domu </t>
  </si>
  <si>
    <t xml:space="preserve">             Jičínská  275 - PD na revitalizaci bytového domu </t>
  </si>
  <si>
    <t xml:space="preserve">             Zborovská 11 revitalizace bytového domu, relizace akce včetně zasklení lodžií vč. dozorů - dotace 5.992.790,43</t>
  </si>
  <si>
    <t xml:space="preserve">             Na Lani 212  revitalizace bytového domu,  realizace akce vč. Dozorů- dotace 3.605.622,22</t>
  </si>
  <si>
    <t xml:space="preserve">             Bytový dům K Archivu 2, NJ - realizace dle PD (2021-2022) vč. dozorů (úvěr)</t>
  </si>
  <si>
    <t xml:space="preserve">                             Trlicova 59 - PD revitalizace bytového domu</t>
  </si>
  <si>
    <t xml:space="preserve">             Masarykovo 15 - (bývalý bytový podnik) - zpracování PD na vybudování cca 5 bytů  a střechy dle studie</t>
  </si>
  <si>
    <t xml:space="preserve">z toho: opravy a údržba celkem  </t>
  </si>
  <si>
    <t xml:space="preserve">             Bytový fond města - společné opravy:  </t>
  </si>
  <si>
    <t xml:space="preserve">                          - generální opravy volných bytů (vrácené byty zdevastované nebo po exekucích) - Rámcová smlouva 23 mil.Kč/4 roky</t>
  </si>
  <si>
    <t xml:space="preserve">                          - generální opravy bytů v MPR</t>
  </si>
  <si>
    <t xml:space="preserve">                          - výměna bytových vodoměrů teplé a studené vody </t>
  </si>
  <si>
    <r>
      <rPr>
        <sz val="10"/>
        <rFont val="Arial"/>
        <family val="2"/>
        <charset val="238"/>
      </rPr>
      <t xml:space="preserve">             </t>
    </r>
    <r>
      <rPr>
        <b/>
        <i/>
        <sz val="10"/>
        <rFont val="Arial"/>
        <family val="2"/>
        <charset val="238"/>
      </rPr>
      <t>úsek 1 (p. Najvarová):</t>
    </r>
    <r>
      <rPr>
        <sz val="10"/>
        <rFont val="Arial"/>
        <family val="2"/>
        <charset val="238"/>
      </rPr>
      <t xml:space="preserve">  - navýšeno o úsek Pavelky</t>
    </r>
  </si>
  <si>
    <t xml:space="preserve">                          - běžná údržba a opravy, výměny zař. předmětů </t>
  </si>
  <si>
    <t xml:space="preserve">                          - akce úsek 1 celkem:</t>
  </si>
  <si>
    <t xml:space="preserve">                             Suvorovova 120+122 - výmalba sp. prostor, oprava omítek chodby a schodiště, výměna PVC na schodišti </t>
  </si>
  <si>
    <t xml:space="preserve">                             Dlouhá 19 - oprava celé střechny (havarijní stav)</t>
  </si>
  <si>
    <r>
      <rPr>
        <sz val="10"/>
        <rFont val="Arial"/>
        <family val="2"/>
        <charset val="238"/>
      </rPr>
      <t xml:space="preserve">             </t>
    </r>
    <r>
      <rPr>
        <b/>
        <i/>
        <sz val="10"/>
        <rFont val="Arial"/>
        <family val="2"/>
        <charset val="238"/>
      </rPr>
      <t>úsek 2 (p. Bartoňová):</t>
    </r>
    <r>
      <rPr>
        <sz val="10"/>
        <rFont val="Arial"/>
        <family val="2"/>
        <charset val="238"/>
      </rPr>
      <t xml:space="preserve"> </t>
    </r>
  </si>
  <si>
    <t xml:space="preserve">                          - akce úsek 2 celkem:</t>
  </si>
  <si>
    <t xml:space="preserve">                             DPS Revoluční 6 - oprava balkónů a soklu dle PD (2019 = dům č. 4, 2020 = domy č. 2 + 6)</t>
  </si>
  <si>
    <t xml:space="preserve">                             DPS Pod Lipami 19 - výměna digestoří ve všech bytech + odvětrání koupelen</t>
  </si>
  <si>
    <t xml:space="preserve">                             DPS Pod Lipami, Revoluční, U Jičínky - porevizní opravy hromosvodů </t>
  </si>
  <si>
    <t xml:space="preserve">                             DPS U Jičínky - oprava střechy (havarijní stav) </t>
  </si>
  <si>
    <t xml:space="preserve">                             DPS Pod Lipami - oprava balkónů havárie (40ks) I. Etapa vč. P</t>
  </si>
  <si>
    <r>
      <rPr>
        <sz val="10"/>
        <rFont val="Arial"/>
        <family val="2"/>
        <charset val="238"/>
      </rPr>
      <t xml:space="preserve">             </t>
    </r>
    <r>
      <rPr>
        <b/>
        <i/>
        <sz val="10"/>
        <rFont val="Arial"/>
        <family val="2"/>
        <charset val="238"/>
      </rPr>
      <t>úsek 3 (p. Pavelka):</t>
    </r>
  </si>
  <si>
    <t xml:space="preserve">                          - běžná údržba, nepředvídatelné opravy</t>
  </si>
  <si>
    <r>
      <rPr>
        <sz val="10"/>
        <rFont val="Arial"/>
        <family val="2"/>
        <charset val="238"/>
      </rPr>
      <t xml:space="preserve">            </t>
    </r>
    <r>
      <rPr>
        <b/>
        <i/>
        <sz val="10"/>
        <rFont val="Arial"/>
        <family val="2"/>
        <charset val="238"/>
      </rPr>
      <t xml:space="preserve"> úsek 4 - MPR (p. Saksová):  </t>
    </r>
  </si>
  <si>
    <t xml:space="preserve">                         - běžná údržba a opravy, výměny zařizovacích předmětů </t>
  </si>
  <si>
    <t xml:space="preserve">                         - akce úsek 4 celkem: </t>
  </si>
  <si>
    <t xml:space="preserve">                                      Dobrovského 5 - oprava pilířů a podloubí</t>
  </si>
  <si>
    <t xml:space="preserve">                                      MN 8/8 - oprava fasády  </t>
  </si>
  <si>
    <t xml:space="preserve">                                      Havlíčkova 8 - izolace spodní stavby proti vodě a vlhkosti</t>
  </si>
  <si>
    <t xml:space="preserve">                                      Havlíčkova 11 - částečná oprava fasády do výšky 1. patra</t>
  </si>
  <si>
    <t xml:space="preserve">                                      Úzká 17 - oprava + nátěr fasády, výměna vchodových dveří</t>
  </si>
  <si>
    <t xml:space="preserve">                                      Resslova 1 - výměna oken a oprava fasády PD </t>
  </si>
  <si>
    <t xml:space="preserve">                                      Opravy obsazených bytů (dle žádostí nájemců) </t>
  </si>
  <si>
    <t xml:space="preserve">             Bytový dům K Archívu 2 - opravy a údržba - org. 7518</t>
  </si>
  <si>
    <t xml:space="preserve">             domovníci (mzdy a odvody, AÚ 0800)</t>
  </si>
  <si>
    <r>
      <rPr>
        <sz val="10"/>
        <rFont val="Arial"/>
        <family val="2"/>
        <charset val="238"/>
      </rPr>
      <t xml:space="preserve">             </t>
    </r>
    <r>
      <rPr>
        <b/>
        <sz val="10"/>
        <rFont val="Arial"/>
        <family val="2"/>
        <charset val="238"/>
      </rPr>
      <t>služby</t>
    </r>
    <r>
      <rPr>
        <sz val="10"/>
        <rFont val="Arial"/>
        <family val="2"/>
        <charset val="238"/>
      </rPr>
      <t xml:space="preserve"> org. 0518 + 7518 (projektové dokumentace na opravy, úklidy,revize,výtahy, hasící technika,odečty,poruch.služba,fekálie,deratizace,čištění kanalizace,komíny, SBI - revize EPS EZS,...)</t>
    </r>
  </si>
  <si>
    <t xml:space="preserve">             příspěvek do fondu oprav v SVJ (kotelny Vančurova 16) (AÚ 0437, pol. 5192)</t>
  </si>
  <si>
    <r>
      <rPr>
        <sz val="10"/>
        <rFont val="Arial"/>
        <family val="2"/>
        <charset val="238"/>
      </rPr>
      <t xml:space="preserve">             náklady na </t>
    </r>
    <r>
      <rPr>
        <b/>
        <sz val="10"/>
        <rFont val="Arial"/>
        <family val="2"/>
        <charset val="238"/>
      </rPr>
      <t>energie</t>
    </r>
    <r>
      <rPr>
        <sz val="10"/>
        <rFont val="Arial"/>
        <family val="2"/>
        <charset val="238"/>
      </rPr>
      <t xml:space="preserve"> v bytových domech (vodné + stočné, teplo + TUV, plyn, elektřina)</t>
    </r>
  </si>
  <si>
    <t xml:space="preserve">             TSM  - požadavky Redmine, OB příspěvek - AÚ 0437, po. 5169</t>
  </si>
  <si>
    <t>Nebytové hospodářství</t>
  </si>
  <si>
    <t>Investice celkem:</t>
  </si>
  <si>
    <t xml:space="preserve">              Hückelovy vily (práce spojené s odstraněním dřevomorky) - dotace 4 mil. Kč - průběžně čerpáno</t>
  </si>
  <si>
    <t xml:space="preserve">              Hückelovy vily - zpracování studií vily J. Hückela, aktualizace vily  A. Hückela, studie areálu, spoluúčast na dotačních titulech</t>
  </si>
  <si>
    <t xml:space="preserve">              Kulturní a společenský dům PD - II.etapa příslib ZM 3.6.2019 = 44 mil. Kč)</t>
  </si>
  <si>
    <t xml:space="preserve">              Kulturní dům - vybudování trafostanice pro KD</t>
  </si>
  <si>
    <t xml:space="preserve">              Výletní lokalita Čerťák (novostavba kiosku a zázemí)</t>
  </si>
  <si>
    <t xml:space="preserve">              MŠ Bludovice - vybudování ČOV</t>
  </si>
  <si>
    <t xml:space="preserve">              Příspěvek na investice TSM (elektroinstalace-dílna oprav, montáž 4 ks sekčních vrat, rok 2021 ) - AÚ 0800, pol. 6331</t>
  </si>
  <si>
    <t xml:space="preserve">              Vybudování Spolkového domu Žilina</t>
  </si>
  <si>
    <t xml:space="preserve">              Hoblíkova - vybudování sestavy kontejnerů  a oprava garáže pro TS NJ vč. IS a zabezpečovacího systému </t>
  </si>
  <si>
    <t xml:space="preserve">              Suvorovova 152 - energetické úspory I. etapa = výměna oken, střecha (úvěr OF)</t>
  </si>
  <si>
    <t xml:space="preserve">              Kryté stání - rekonstrukce vnitřních prostor </t>
  </si>
  <si>
    <t xml:space="preserve">              Hotel Praha - WC u zadního vchodu PD vč.realizace </t>
  </si>
  <si>
    <t>Nákup DHDM pro org. 0518 - pol. 5137</t>
  </si>
  <si>
    <t>Nákup zboží (paragony)- pol. 5139</t>
  </si>
  <si>
    <r>
      <rPr>
        <i/>
        <sz val="10"/>
        <rFont val="Arial"/>
        <family val="2"/>
        <charset val="238"/>
      </rPr>
      <t xml:space="preserve">Náklady na energie - </t>
    </r>
    <r>
      <rPr>
        <sz val="10"/>
        <rFont val="Arial"/>
        <family val="2"/>
        <charset val="238"/>
      </rPr>
      <t>org. 0518, 2518, 8518, 5518</t>
    </r>
  </si>
  <si>
    <t xml:space="preserve">            - vodné a stočné (480+200+120)</t>
  </si>
  <si>
    <t xml:space="preserve">            - dodávka tepla - org. 0518</t>
  </si>
  <si>
    <t xml:space="preserve">            - plyn - org. 0518</t>
  </si>
  <si>
    <t xml:space="preserve">            - elektřina  (1500+20+80+100)</t>
  </si>
  <si>
    <t xml:space="preserve">Nákup ostatních služeb + provoz:  </t>
  </si>
  <si>
    <t>z toho: OV Žilina (PD na úpravu objektu bývalé ČOV na místnost pro zasedání OV)</t>
  </si>
  <si>
    <t xml:space="preserve">            Demolice objektů:  garáž  Žižkova, </t>
  </si>
  <si>
    <t xml:space="preserve">            Slovanská 3 - studie využitelnosti pro ZŠ Tyršova</t>
  </si>
  <si>
    <t xml:space="preserve">            služby + revize org. 0518 - nebytové domy (ČOV apod.)</t>
  </si>
  <si>
    <t xml:space="preserve">            služby + revize org. 2518 Hotel Praha (obsluha kotelny 100 + zpracování PD střecha nad kuchyní 200)převedeno na 3634</t>
  </si>
  <si>
    <t xml:space="preserve">            služby + revize  org. 5518 Kulturní a společenský dům</t>
  </si>
  <si>
    <t xml:space="preserve">            služby + revize org. 8518  Hűckelovy vily    dohody+odvody, revize EZS </t>
  </si>
  <si>
    <t xml:space="preserve">            dohody+odvody - Bludovice, Straník, Kojetín</t>
  </si>
  <si>
    <t xml:space="preserve">            provoz veřejných WC+WC u letního kina (obojí TSM 1550) AÚ 0800</t>
  </si>
  <si>
    <t xml:space="preserve">            TSM - požadavky Redmine, OB příspěvek - AÚ 0800, pol. 5169)</t>
  </si>
  <si>
    <t xml:space="preserve">            Hűckelovy vily - internetové připojení AÚ 0800, pol.5161</t>
  </si>
  <si>
    <t xml:space="preserve">            Hűckelovy vily - elektronické zabezpečení SBI + revize AÚ 0437, pol. 5169</t>
  </si>
  <si>
    <t xml:space="preserve">Opravy a údržba NP celkem </t>
  </si>
  <si>
    <t xml:space="preserve">              Příspěvek na TSM  výměna osvětlení budova TS 100.000 Kč, výměna VO v areálu 386.000 Kč) - AÚ 0800, pol. 6331</t>
  </si>
  <si>
    <t xml:space="preserve">             úsek 5 (p. Saksová):</t>
  </si>
  <si>
    <t xml:space="preserve">                         - běžné opravy a údržba:</t>
  </si>
  <si>
    <t xml:space="preserve">                         - akce úsek 5 celkem:</t>
  </si>
  <si>
    <t xml:space="preserve">                           Masarykovo nám. 15 - jídelna - oprava kuchyně a zázemí, vybudování WC </t>
  </si>
  <si>
    <t xml:space="preserve">                           Msgr. Šrámka 11 - zubní poliklinika - oprava padajících atik staré části budovy</t>
  </si>
  <si>
    <t xml:space="preserve">                           Sokolovská 9:   2020 = generální oprava střechy </t>
  </si>
  <si>
    <t xml:space="preserve">                           MN 15 - jídelna, doplnění o vzduchotechniku</t>
  </si>
  <si>
    <t xml:space="preserve">                           Dobrovského 5 - výměn oken nebytové prostory (čínská restaurace)</t>
  </si>
  <si>
    <t xml:space="preserve">                           Dolní brána 22 - rekonstrukce celé prodejny </t>
  </si>
  <si>
    <t xml:space="preserve">                           Tyršova 8 - oprava podlah, oprava radiátorů Reha komplex</t>
  </si>
  <si>
    <t xml:space="preserve">                           Sokolovská 9 - PD - fasády + sanace domu </t>
  </si>
  <si>
    <r>
      <rPr>
        <sz val="10"/>
        <rFont val="Arial"/>
        <family val="2"/>
        <charset val="238"/>
      </rPr>
      <t xml:space="preserve">             </t>
    </r>
    <r>
      <rPr>
        <b/>
        <i/>
        <sz val="10"/>
        <rFont val="Arial"/>
        <family val="2"/>
        <charset val="238"/>
      </rPr>
      <t>úsek 6 (p. Friedecká):</t>
    </r>
    <r>
      <rPr>
        <sz val="10"/>
        <rFont val="Arial"/>
        <family val="2"/>
        <charset val="238"/>
      </rPr>
      <t xml:space="preserve"> </t>
    </r>
  </si>
  <si>
    <t xml:space="preserve">                          - běžné opravy a údržba:</t>
  </si>
  <si>
    <t xml:space="preserve">                          - akce úsek 6 celkem:</t>
  </si>
  <si>
    <t xml:space="preserve">                                      MŠ Beruška (výměna sklepních oken + 7 ks interiérových dveří)</t>
  </si>
  <si>
    <t xml:space="preserve">                                      Masarykovo nám. 29-NC (oprava sociálního zařízení v přízemí)</t>
  </si>
  <si>
    <t xml:space="preserve">                                      Msgr. Šrámka 13 - oprava el.instalace, odvlhčení objektu)</t>
  </si>
  <si>
    <t xml:space="preserve">                                      Krytá stání Loučka (nepředvídané opravy)</t>
  </si>
  <si>
    <t xml:space="preserve">                                      Hala stolního tenisu (2020 - dílčí klimatizace)</t>
  </si>
  <si>
    <t xml:space="preserve">                                      Hala stolního tenisu zadání PD na odvodnění - havarijní stav</t>
  </si>
  <si>
    <t xml:space="preserve">                                      B. Martinů 4 - stavební úpravy bývalé kotelny na sklad pro TSM)</t>
  </si>
  <si>
    <t xml:space="preserve">                                      Beskydská 274 - zadání PD odvlhčení objektu, výměna vstupních dveří</t>
  </si>
  <si>
    <t xml:space="preserve">                                      Hotel Praha běžná údržba (světlík střecha PD)</t>
  </si>
  <si>
    <t xml:space="preserve">                                      Hűcklovy vily (oprava a údržba do doby rekonstrukce)</t>
  </si>
  <si>
    <t xml:space="preserve">                                      Suvorovova 152 - energetické úspory I. etapa = výměna oken, střecha</t>
  </si>
  <si>
    <t xml:space="preserve">Osadní výbory celkem:                                                                                       </t>
  </si>
  <si>
    <t>Straník 80 (vnitřní elektroinstalace, výmalba)</t>
  </si>
  <si>
    <t>SK Straník 147 (oprava střechy)</t>
  </si>
  <si>
    <t>Bludovice 13 - 2020 = běžné opravy</t>
  </si>
  <si>
    <t>Žilina</t>
  </si>
  <si>
    <t>Kojetín 7 - dílčí oprava objektu dle projektové dokumentace</t>
  </si>
  <si>
    <r>
      <rPr>
        <b/>
        <sz val="10"/>
        <rFont val="Arial"/>
        <family val="2"/>
        <charset val="238"/>
      </rPr>
      <t xml:space="preserve">Lokální zásobování teplem </t>
    </r>
    <r>
      <rPr>
        <sz val="10"/>
        <rFont val="Arial"/>
        <family val="2"/>
        <charset val="238"/>
      </rPr>
      <t>(tepelné hospodářství)</t>
    </r>
  </si>
  <si>
    <t>z toho:  nákup služeb - obsluha a revize kotelny Hotelu Praha + Suvorovova 152, revize  pol. 5169</t>
  </si>
  <si>
    <t>z toho opravy:  nepředvídané opravy havárií teplovodů Smetanovy Sady a Pod Lipami</t>
  </si>
  <si>
    <t xml:space="preserve">             nepředvídané opravy tepelného hospodářství</t>
  </si>
  <si>
    <t xml:space="preserve">             opravy kotelen - sanace, opravy střechy, omítek (dosud hrazeno z 3613)</t>
  </si>
  <si>
    <t xml:space="preserve">z toho: investice celkem </t>
  </si>
  <si>
    <t xml:space="preserve">             Projektové dokumentace 4 kotelen (HP, Suvorovova 152, teplovod Nádražní, teplovod Jičínská) </t>
  </si>
  <si>
    <t xml:space="preserve">             Projektové dokumentace 4 kotelen a teplovodu  (Mendelova, Luční 2,3,4 a teplovod Loučka 6) </t>
  </si>
  <si>
    <t xml:space="preserve">             Energetické posouzení  kotelny</t>
  </si>
  <si>
    <t xml:space="preserve">             Modernizace kotelny Loučka - výměna hořáku a výměna 2 ks kotlů</t>
  </si>
  <si>
    <t xml:space="preserve">             Modernizace kotelny Bulharská - dokončení z roku 2019</t>
  </si>
  <si>
    <t xml:space="preserve">             Modernizace kotelny Vančurova</t>
  </si>
  <si>
    <t xml:space="preserve">             Modernizace kotelny v DPS U Jičínky 25 (dotace)</t>
  </si>
  <si>
    <t xml:space="preserve">             Modernizace kotelny Zimní stadion (dotace)</t>
  </si>
  <si>
    <t xml:space="preserve">             Projektová dokumentace 2 teplovodů Loučka 6, I. Etapa a II. Etapa</t>
  </si>
  <si>
    <t xml:space="preserve">             Modernizace kotelny Poděbradova (org.0516 pol.6122)</t>
  </si>
  <si>
    <t xml:space="preserve">             Modernizace kotelny Dlouhá (org.0516 pol.6122)</t>
  </si>
  <si>
    <t xml:space="preserve">             Modernizace kotelny Trlicova (org.0516 pol.6122)</t>
  </si>
  <si>
    <t xml:space="preserve">             Modernizace kotelny K Nemocnici (org.0516 pol.6122)</t>
  </si>
  <si>
    <t xml:space="preserve">             Modernizace kotelny Hotel Praha (org.0516 pol.6122)</t>
  </si>
  <si>
    <t xml:space="preserve">             Rekonstrukce teplovod ul. Nádražní 21,23,26 v úseku 140 m</t>
  </si>
  <si>
    <t xml:space="preserve">             Rekonstrukce teplovodu na ul.  Jičínská 212 a 221 v úseku 25 m</t>
  </si>
  <si>
    <t xml:space="preserve">             Dodávka 62 ks nerezových zásobníků teplé vody  do kotelen a odběrných předávacích stanic v domech</t>
  </si>
  <si>
    <t>Ostatní záležitosti bydlení, komunálních služeb a územního rozvoje</t>
  </si>
  <si>
    <t xml:space="preserve">             sklad vyklizeného nábytku - Žilina (elektřina 4, služby-vystěhování a likvidace nevyzvednutých věcí 6)</t>
  </si>
  <si>
    <r>
      <rPr>
        <b/>
        <sz val="10"/>
        <rFont val="Arial"/>
        <family val="2"/>
        <charset val="238"/>
      </rPr>
      <t xml:space="preserve">Osobní asistence, pečovatelská služba a podpora samostatného bydlení </t>
    </r>
    <r>
      <rPr>
        <sz val="10"/>
        <rFont val="Arial"/>
        <family val="2"/>
        <charset val="238"/>
      </rPr>
      <t>(DPS-telefony, AÚ 0800)</t>
    </r>
  </si>
  <si>
    <r>
      <rPr>
        <sz val="10"/>
        <rFont val="Arial"/>
        <family val="2"/>
        <charset val="238"/>
      </rPr>
      <t>z toho: opravy a údržba celkem</t>
    </r>
    <r>
      <rPr>
        <sz val="9"/>
        <rFont val="Arial"/>
        <family val="2"/>
        <charset val="238"/>
      </rPr>
      <t xml:space="preserve"> (nejnutnější akce)                                                                                     </t>
    </r>
  </si>
  <si>
    <t xml:space="preserve">            Azylový dům Nový Jičín (odvlhčení, vstupní dveře, brána)</t>
  </si>
  <si>
    <t xml:space="preserve">            Azylový dům Straník (PD - oprava vnitřních prostor)</t>
  </si>
  <si>
    <t>Činnost místní správy</t>
  </si>
  <si>
    <t>z toho: komplexní řízení energetiky - energ. management PORSENA</t>
  </si>
  <si>
    <t xml:space="preserve">           výběr dodavatele elektřiny na komoditní burze</t>
  </si>
  <si>
    <t xml:space="preserve">            Energetické audity (PENB, měření jističů)</t>
  </si>
  <si>
    <t xml:space="preserve">            Optimalizace domovních jističů a VO dle PD</t>
  </si>
  <si>
    <t xml:space="preserve">            Průkazy energetické náročnosti </t>
  </si>
  <si>
    <r>
      <rPr>
        <b/>
        <sz val="10"/>
        <rFont val="Arial CE"/>
        <family val="2"/>
        <charset val="238"/>
      </rPr>
      <t xml:space="preserve">Ostatní správa v průmyslu, stavebnictví, obchodu a službách </t>
    </r>
    <r>
      <rPr>
        <sz val="9"/>
        <rFont val="Arial CE"/>
        <family val="2"/>
        <charset val="238"/>
      </rPr>
      <t>(stavební úřad)</t>
    </r>
  </si>
  <si>
    <r>
      <rPr>
        <sz val="10"/>
        <rFont val="Arial CE"/>
        <charset val="238"/>
      </rPr>
      <t xml:space="preserve">z toho: konzultační, poradenské a právní služby </t>
    </r>
    <r>
      <rPr>
        <sz val="9"/>
        <rFont val="Arial CE"/>
        <charset val="238"/>
      </rPr>
      <t>(znalecké posudky)</t>
    </r>
  </si>
  <si>
    <r>
      <rPr>
        <sz val="10"/>
        <rFont val="Arial CE"/>
        <charset val="238"/>
      </rPr>
      <t xml:space="preserve">             nákup ostatních služeb </t>
    </r>
    <r>
      <rPr>
        <sz val="9"/>
        <rFont val="Arial CE"/>
        <charset val="238"/>
      </rPr>
      <t>(revize, odborné služby, doprava aj.)</t>
    </r>
  </si>
  <si>
    <t xml:space="preserve">             platby daní a poplatků státnímu rozpočtu</t>
  </si>
  <si>
    <t>vrácení peněžních prostředků (srpávní poplatek z r. 2019)</t>
  </si>
  <si>
    <t>Územní plánování</t>
  </si>
  <si>
    <t>z toho: územní studie</t>
  </si>
  <si>
    <t xml:space="preserve">            územně analytické podklady</t>
  </si>
  <si>
    <t xml:space="preserve">            změny územního plánu města</t>
  </si>
  <si>
    <t xml:space="preserve">            regulační plán (MPR NJ)</t>
  </si>
  <si>
    <t>041 - Dotace, návratné finanční výpomoci a dary cizím subjektům</t>
  </si>
  <si>
    <r>
      <rPr>
        <b/>
        <sz val="10"/>
        <rFont val="Arial CE"/>
        <family val="2"/>
        <charset val="238"/>
      </rPr>
      <t xml:space="preserve">Dotace, návratné finanční výpomoci a dary cizím subjektům </t>
    </r>
    <r>
      <rPr>
        <sz val="9"/>
        <rFont val="Arial CE"/>
        <charset val="238"/>
      </rPr>
      <t>(estetizace)</t>
    </r>
  </si>
  <si>
    <r>
      <rPr>
        <sz val="9"/>
        <rFont val="Arial CE"/>
        <charset val="238"/>
      </rPr>
      <t>231410/741/</t>
    </r>
    <r>
      <rPr>
        <b/>
        <sz val="9"/>
        <rFont val="Arial CE"/>
        <charset val="238"/>
      </rPr>
      <t>2219</t>
    </r>
    <r>
      <rPr>
        <sz val="9"/>
        <rFont val="Arial CE"/>
        <charset val="238"/>
      </rPr>
      <t>/5329</t>
    </r>
  </si>
  <si>
    <r>
      <rPr>
        <b/>
        <sz val="10"/>
        <rFont val="Arial CE"/>
        <family val="2"/>
        <charset val="238"/>
      </rPr>
      <t xml:space="preserve">Ostatní záležitosti pozemních komunikací </t>
    </r>
    <r>
      <rPr>
        <sz val="9"/>
        <rFont val="Arial CE"/>
        <family val="2"/>
        <charset val="238"/>
      </rPr>
      <t>(členství v DSO Cyklostezka 2020: 50, 2021: 10)</t>
    </r>
  </si>
  <si>
    <r>
      <rPr>
        <sz val="9"/>
        <rFont val="Arial CE"/>
        <charset val="238"/>
      </rPr>
      <t>231410/741/</t>
    </r>
    <r>
      <rPr>
        <b/>
        <sz val="9"/>
        <rFont val="Arial CE"/>
        <charset val="238"/>
      </rPr>
      <t>2321</t>
    </r>
    <r>
      <rPr>
        <sz val="9"/>
        <rFont val="Arial CE"/>
        <charset val="238"/>
      </rPr>
      <t>/5329                                                                                                                                                                                                                                                                                                                                                                                                                                                                                                                         231440/741/</t>
    </r>
    <r>
      <rPr>
        <b/>
        <sz val="9"/>
        <rFont val="Arial CE"/>
        <charset val="238"/>
      </rPr>
      <t>2321</t>
    </r>
    <r>
      <rPr>
        <sz val="9"/>
        <rFont val="Arial CE"/>
        <charset val="238"/>
      </rPr>
      <t>/5169</t>
    </r>
  </si>
  <si>
    <r>
      <rPr>
        <b/>
        <sz val="10"/>
        <rFont val="Arial CE"/>
        <family val="2"/>
        <charset val="238"/>
      </rPr>
      <t xml:space="preserve">Odvádění odpadních vod </t>
    </r>
    <r>
      <rPr>
        <sz val="9"/>
        <rFont val="Arial CE"/>
        <charset val="238"/>
      </rPr>
      <t>(2020: splátky úvěru 605.212,92 Kč (na pol. 8901), úrok z úvěru 12.860,75 Kč, poměrná část 25% na provoz DSO dle mandátní smlouvy 242,5,                                                                                                                                                                                                                                                                              2021: splátky úvěru 605.212,92 Kč, úrok z úvěru 6.808,62 Kč, poměrná část 25% na provoz DSO dle mandátní smlouvy 242,5)</t>
    </r>
  </si>
  <si>
    <r>
      <rPr>
        <b/>
        <sz val="10"/>
        <rFont val="Arial CE"/>
        <family val="2"/>
        <charset val="238"/>
      </rPr>
      <t>Ostatní výdaje z finančního vypořádání</t>
    </r>
    <r>
      <rPr>
        <sz val="9"/>
        <rFont val="Arial CE"/>
        <charset val="238"/>
      </rPr>
      <t xml:space="preserve"> (dopl.energií 2019 - org. 0322+0323)</t>
    </r>
  </si>
  <si>
    <r>
      <rPr>
        <b/>
        <sz val="10"/>
        <rFont val="Arial CE"/>
        <family val="2"/>
        <charset val="238"/>
      </rPr>
      <t>Ostatní výdaje z finančního vypořádání</t>
    </r>
    <r>
      <rPr>
        <sz val="9"/>
        <rFont val="Arial CE"/>
        <charset val="238"/>
      </rPr>
      <t xml:space="preserve"> (vyrovnání ztráty 2018-Beskydské divadlo)</t>
    </r>
  </si>
  <si>
    <r>
      <rPr>
        <b/>
        <sz val="10"/>
        <rFont val="Arial CE"/>
        <family val="2"/>
        <charset val="238"/>
      </rPr>
      <t>Ostatní výdaje z finančního vypořádání</t>
    </r>
    <r>
      <rPr>
        <sz val="9"/>
        <rFont val="Arial CE"/>
        <charset val="238"/>
      </rPr>
      <t xml:space="preserve"> (vyrovnání ztráty 2019-MěKS)</t>
    </r>
  </si>
  <si>
    <r>
      <rPr>
        <b/>
        <sz val="10"/>
        <rFont val="Arial CE"/>
        <family val="2"/>
        <charset val="238"/>
      </rPr>
      <t>Finanční vypořádání Veolia Energie ČR</t>
    </r>
    <r>
      <rPr>
        <b/>
        <sz val="9"/>
        <rFont val="Arial CE"/>
        <charset val="238"/>
      </rPr>
      <t xml:space="preserve"> </t>
    </r>
    <r>
      <rPr>
        <sz val="9"/>
        <rFont val="Arial CE"/>
        <charset val="238"/>
      </rPr>
      <t>(dle fakturace skutečně odebraného množství GJ 2016-2018)</t>
    </r>
  </si>
  <si>
    <t>Komunální služby a územní rozvoj</t>
  </si>
  <si>
    <r>
      <rPr>
        <sz val="10"/>
        <rFont val="Arial CE"/>
        <charset val="238"/>
      </rPr>
      <t xml:space="preserve">z toho: platby daní a poplatků </t>
    </r>
    <r>
      <rPr>
        <sz val="9"/>
        <rFont val="Arial CE"/>
        <charset val="238"/>
      </rPr>
      <t>(soudní poplatky, realizace exekucí, ...)</t>
    </r>
  </si>
  <si>
    <r>
      <rPr>
        <b/>
        <sz val="10"/>
        <rFont val="Arial CE"/>
        <family val="2"/>
        <charset val="238"/>
      </rPr>
      <t xml:space="preserve">Činnost místní správy </t>
    </r>
    <r>
      <rPr>
        <sz val="9"/>
        <rFont val="Arial CE"/>
        <charset val="238"/>
      </rPr>
      <t>(2020 i 2021: daňové poradenství+odb.konzultace 200)</t>
    </r>
  </si>
  <si>
    <r>
      <rPr>
        <b/>
        <sz val="10"/>
        <rFont val="Arial CE"/>
        <family val="2"/>
        <charset val="238"/>
      </rPr>
      <t>Výdaje z finančních operací</t>
    </r>
    <r>
      <rPr>
        <b/>
        <sz val="9"/>
        <rFont val="Arial CE"/>
        <charset val="238"/>
      </rPr>
      <t xml:space="preserve"> </t>
    </r>
    <r>
      <rPr>
        <sz val="9"/>
        <rFont val="Arial CE"/>
        <charset val="238"/>
      </rPr>
      <t>(bankovní poplatky za vedení účtů a položky)</t>
    </r>
  </si>
  <si>
    <t>Ostatní finanční operace</t>
  </si>
  <si>
    <r>
      <rPr>
        <sz val="10"/>
        <rFont val="Arial CE"/>
        <family val="2"/>
        <charset val="238"/>
      </rPr>
      <t xml:space="preserve">z toho: daň z příjmů právnických osob za obec </t>
    </r>
    <r>
      <rPr>
        <sz val="9"/>
        <rFont val="Arial CE"/>
        <charset val="238"/>
      </rPr>
      <t>(stejná výše je uvedena i v příjmech na pol. 1122)</t>
    </r>
  </si>
  <si>
    <t xml:space="preserve">             daň z přidané hodnoty za obec </t>
  </si>
  <si>
    <t xml:space="preserve">Finanční vypořádání minulých let </t>
  </si>
  <si>
    <t xml:space="preserve">z toho: vratka části nevyčerpané neinv.dotace 2019 Program na podporu zvýšení kvality soc.služeb poskytovaných v MSK </t>
  </si>
  <si>
    <t xml:space="preserve">            vratka části nevyčerpané neinv.dotace 2019 OP VVV - Šablony I - MŠ Trojlístek</t>
  </si>
  <si>
    <t xml:space="preserve">            vratka části nevyčerpané neinv.dotace 2019 OP VVV - Šablony I - ZŠ+MŠ Jub </t>
  </si>
  <si>
    <t xml:space="preserve">            vratka části nevyčerpané neinv.dotace 2019 OP VVV - Šablony I - ZŠ K68 </t>
  </si>
  <si>
    <t xml:space="preserve">            vratka části nevyčerpané neinv.dotace 2019 Efektivní systém plánování soc.služeb prostř.komunitního plán II</t>
  </si>
  <si>
    <t>Ostatní činnosti j.n.</t>
  </si>
  <si>
    <t xml:space="preserve">z toho: rozpočtová rezerva </t>
  </si>
  <si>
    <r>
      <rPr>
        <sz val="10"/>
        <rFont val="Arial CE"/>
        <family val="2"/>
        <charset val="238"/>
      </rPr>
      <t xml:space="preserve">            členství města ve svazech a sdruž. </t>
    </r>
    <r>
      <rPr>
        <sz val="9"/>
        <rFont val="Arial CE"/>
        <charset val="238"/>
      </rPr>
      <t>(org.1010): r. 2020: Partnerství pro městskou mobilitu (bývalá Asociace cykloměst) 5, MAS Lašsko 80, Národní síť zdravých měst 44,7735, Svaz měst a obcí 76,89776, Sdružení historických sídel 28,195, EUROREGION SILESIA-CZ 58,74, ...)</t>
    </r>
  </si>
  <si>
    <r>
      <rPr>
        <b/>
        <sz val="12"/>
        <rFont val="Arial CE"/>
        <charset val="238"/>
      </rPr>
      <t xml:space="preserve">II.varianta                           </t>
    </r>
    <r>
      <rPr>
        <sz val="9"/>
        <rFont val="Arial CE"/>
        <charset val="238"/>
      </rPr>
      <t xml:space="preserve"> (příjmy z daní dle MF ČR)</t>
    </r>
  </si>
  <si>
    <r>
      <rPr>
        <b/>
        <sz val="12"/>
        <rFont val="Arial CE"/>
        <charset val="238"/>
      </rPr>
      <t xml:space="preserve">III.varianta                           </t>
    </r>
    <r>
      <rPr>
        <sz val="9"/>
        <rFont val="Arial CE"/>
        <charset val="238"/>
      </rPr>
      <t xml:space="preserve"> ("přání ORJ")</t>
    </r>
  </si>
  <si>
    <t xml:space="preserve">           § 3612 bytové hospodářství (odbor bytový)</t>
  </si>
  <si>
    <t>;</t>
  </si>
  <si>
    <t xml:space="preserve">           § 3613 nebytové hospodářství (odbor bytový)</t>
  </si>
  <si>
    <t xml:space="preserve">           § 4399 ostatní záležitosti soc.věcí a politiky zaměstnanosti</t>
  </si>
  <si>
    <t xml:space="preserve">             bytový dům Dolní Brána 26</t>
  </si>
  <si>
    <t xml:space="preserve">             bytový dům Hluboká 188</t>
  </si>
  <si>
    <t xml:space="preserve">           služby - čištění vodní toků</t>
  </si>
  <si>
    <t xml:space="preserve">           opravy a udržování</t>
  </si>
  <si>
    <t>0517/2219/6351</t>
  </si>
  <si>
    <t>0386/2219/5164</t>
  </si>
  <si>
    <t xml:space="preserve">             opravy a údržba chodníků</t>
  </si>
  <si>
    <t>0386/2221/6121</t>
  </si>
  <si>
    <t xml:space="preserve">             Přístřešek na autobusové zastávce  na ul. Gregorova u zdravotního střediska </t>
  </si>
  <si>
    <t xml:space="preserve">            platby poplatky </t>
  </si>
  <si>
    <t xml:space="preserve">             Dětská hřiště - příspěvek na údržbu a opravy (TSM)</t>
  </si>
  <si>
    <t xml:space="preserve">             Dětská hřiště  - drobný hmotný dlouhodobý majetek</t>
  </si>
  <si>
    <t xml:space="preserve">                                      - nákup materiálu j.n.</t>
  </si>
  <si>
    <t xml:space="preserve">                                      - služby, revize, kontroly</t>
  </si>
  <si>
    <t>0382/3421/6121</t>
  </si>
  <si>
    <t xml:space="preserve">              drobný hmotný dlouhodobý majetek</t>
  </si>
  <si>
    <t xml:space="preserve">              nákup materiálu j.n.</t>
  </si>
  <si>
    <t xml:space="preserve">              elektrická energie (MN sloupky, fontány, letní kino)</t>
  </si>
  <si>
    <t xml:space="preserve">              služby, revize, prohlídky</t>
  </si>
  <si>
    <t xml:space="preserve">             VO - příspěvek na údržbu a opravy TSM</t>
  </si>
  <si>
    <t xml:space="preserve">             služby, revize, prohlídky</t>
  </si>
  <si>
    <t xml:space="preserve">             opravy a údržba</t>
  </si>
  <si>
    <t xml:space="preserve"> investice - inv. příspěvky TSM</t>
  </si>
  <si>
    <t xml:space="preserve">             hřbitovy -  příspěvek na údržbu a opravy TSM</t>
  </si>
  <si>
    <t>ORJ 6xx - Odbor rozvoje a investic</t>
  </si>
  <si>
    <t>5429/2321/6121</t>
  </si>
  <si>
    <t>5428/2212/6121</t>
  </si>
  <si>
    <t>5442/2212/6121</t>
  </si>
  <si>
    <t>5444/2219/6121</t>
  </si>
  <si>
    <t>5445/2219/6121</t>
  </si>
  <si>
    <t>5446/2219/6121</t>
  </si>
  <si>
    <t>5448/2219/6121</t>
  </si>
  <si>
    <t>5450/2219/6121</t>
  </si>
  <si>
    <t>5451/2219/6121</t>
  </si>
  <si>
    <t xml:space="preserve">                    Regenerace PS Nerudova, etážové stání  PD</t>
  </si>
  <si>
    <t>5452/2219/6121</t>
  </si>
  <si>
    <t>5458/2219/6121</t>
  </si>
  <si>
    <t>5455/2221/6121</t>
  </si>
  <si>
    <t xml:space="preserve">                    Autobusová zastávka Straník p.č. 191/45 PD</t>
  </si>
  <si>
    <t xml:space="preserve">                    Dohody (odměny) - architektonická soutěž Hala Jičínka</t>
  </si>
  <si>
    <t xml:space="preserve">                   Provozní objekt (šatny) pro sportovní areál PD</t>
  </si>
  <si>
    <t xml:space="preserve">                   Multifunkční hřiště ve sportovním areálu PD</t>
  </si>
  <si>
    <t>5457/3412/6121</t>
  </si>
  <si>
    <t xml:space="preserve">             dokrytí ztráty za provozovaní autobusového spojení Hranice na Moravě </t>
  </si>
  <si>
    <t xml:space="preserve">             KODIS – revize MHD</t>
  </si>
  <si>
    <t xml:space="preserve">                                                na údržbu MŠ </t>
  </si>
  <si>
    <t xml:space="preserve">                                                na investice</t>
  </si>
  <si>
    <t>Up-grade informačního systému památek (okolonas.eu)</t>
  </si>
  <si>
    <t xml:space="preserve">               Klub seniorů Straník (org. 2383)</t>
  </si>
  <si>
    <t xml:space="preserve">               Klub seniorů Loučka (org. 3383)</t>
  </si>
  <si>
    <t xml:space="preserve">               Kavárničky - setkání seniorů v DPS (org. 3393)</t>
  </si>
  <si>
    <t xml:space="preserve">z toho: Zelené město </t>
  </si>
  <si>
    <t>031 - Dotace, návratné finanční výpomoci a dary cizím subjektům</t>
  </si>
  <si>
    <t xml:space="preserve">   Zimní stadión: org. 0522</t>
  </si>
  <si>
    <t xml:space="preserve">             - Řídící systém chlazení ledové plochy </t>
  </si>
  <si>
    <t xml:space="preserve">             - příspěvek Hokejovému klubu, z.s. (provoz+energie)         AÚ 437</t>
  </si>
  <si>
    <t xml:space="preserve">                          - běžná údržba a opravy, výměny zařizovacích předmětů </t>
  </si>
  <si>
    <t xml:space="preserve">             příspěvek do fondu oprav v SVJ (kotelny Vančurova 16, Dlouhá 45, Mendelova 8) ( pol. 5192)</t>
  </si>
  <si>
    <t xml:space="preserve">Nákup zboží (paragony)- pol. 5139 </t>
  </si>
  <si>
    <t xml:space="preserve">              Hotel Praha - WC u zadního vchodu -realizace </t>
  </si>
  <si>
    <t>Nákup DHDM pro org. 0518,8518 - pol. 5137</t>
  </si>
  <si>
    <t>Nákup zboží (paragony)- pol. 5139 (50 tis. 0518, 30 tis. 8518)</t>
  </si>
  <si>
    <t>Náklady na energie - org. 0518, 2518, 8518, 5518</t>
  </si>
  <si>
    <t xml:space="preserve">                         - akce úsek MPR  celkem:</t>
  </si>
  <si>
    <t xml:space="preserve">                                      Hückelovy vily - oprava vrátnice </t>
  </si>
  <si>
    <t xml:space="preserve">                                      Jiráskova - hala Boban, zázemí tenisových kurtů (záchovná údržba)</t>
  </si>
  <si>
    <t>Lokální zásobování teplem (tepelné hospodářství)</t>
  </si>
  <si>
    <t>Osobní asistence, pečovatelská služba a podpora samostatného bydlení (DPS-telefony, AÚ 0800)</t>
  </si>
  <si>
    <t xml:space="preserve">z toho: opravy a údržba celkem (nejnutnější akce)                                                                                     </t>
  </si>
  <si>
    <t xml:space="preserve">            Energetické dokumentace (EA, PENB, energetický posudek dle požadavku dotací)</t>
  </si>
  <si>
    <t>3322</t>
  </si>
  <si>
    <t>3326</t>
  </si>
  <si>
    <r>
      <t xml:space="preserve">z toho: veřejně prospěšné práce </t>
    </r>
    <r>
      <rPr>
        <sz val="9"/>
        <rFont val="Arial CE"/>
        <family val="2"/>
        <charset val="238"/>
      </rPr>
      <t>(TSM)</t>
    </r>
  </si>
  <si>
    <t>z toho: investice celkem (TSM)</t>
  </si>
  <si>
    <t xml:space="preserve">             služby - revize, poplatky</t>
  </si>
  <si>
    <t xml:space="preserve">             opravy autobusových přístřešků</t>
  </si>
  <si>
    <t xml:space="preserve">            elektrická energie (zvonění kaple Kojetín, Bludovice, Straník) </t>
  </si>
  <si>
    <r>
      <t>031/</t>
    </r>
    <r>
      <rPr>
        <b/>
        <sz val="9"/>
        <rFont val="Arial CE"/>
        <charset val="238"/>
      </rPr>
      <t>2321</t>
    </r>
    <r>
      <rPr>
        <sz val="9"/>
        <rFont val="Arial CE"/>
        <charset val="238"/>
      </rPr>
      <t>/6371</t>
    </r>
  </si>
  <si>
    <r>
      <t>031/</t>
    </r>
    <r>
      <rPr>
        <b/>
        <sz val="9"/>
        <rFont val="Arial CE"/>
        <charset val="238"/>
      </rPr>
      <t>3634</t>
    </r>
    <r>
      <rPr>
        <sz val="9"/>
        <rFont val="Arial CE"/>
        <charset val="238"/>
      </rPr>
      <t>/6371</t>
    </r>
  </si>
  <si>
    <t xml:space="preserve">             sklepy Štefánikova</t>
  </si>
  <si>
    <r>
      <t>009/----/</t>
    </r>
    <r>
      <rPr>
        <b/>
        <sz val="10"/>
        <rFont val="Arial CE"/>
        <charset val="238"/>
      </rPr>
      <t>1343</t>
    </r>
    <r>
      <rPr>
        <sz val="9"/>
        <rFont val="Arial CE"/>
        <family val="2"/>
        <charset val="238"/>
      </rPr>
      <t>/7034</t>
    </r>
  </si>
  <si>
    <t>ORJ 011 - Návštěvnické centrum - město klobouků</t>
  </si>
  <si>
    <t>Příloha č. 2</t>
  </si>
  <si>
    <t>ORJ 03X - Odbor životního prostředí</t>
  </si>
  <si>
    <t>ORJ 04X - Odbor územního plánování a stavebního řádu</t>
  </si>
  <si>
    <t>z toho:   Klub seniorů Nový Jičín (org. 0383)</t>
  </si>
  <si>
    <t xml:space="preserve">               25. výročí pečovatelské služby v Novém Jičíně - ProSenior</t>
  </si>
  <si>
    <t>Rezerva</t>
  </si>
  <si>
    <t>z toho: věcné dary/nákup materiálu (státní příspěvek na výkon SPOD) ÚZ 13024, org. 1385</t>
  </si>
  <si>
    <t xml:space="preserve">             podpora dostupnosti stomatologické péče ve městě Nový Jičín</t>
  </si>
  <si>
    <t xml:space="preserve">             individuální dotace z IP kraje 2022+ -Charita AD 1.644.000, Sl.Diakonie Soc.reh. 596.000, Jinak Podpora sam.bydlení 70.000</t>
  </si>
  <si>
    <t>Střední odborné školy (EDUCA) - běžné opravy 100, zápočet investic a nájmu 303</t>
  </si>
  <si>
    <t xml:space="preserve">   Sportovní hala s bazénem: org. 0515</t>
  </si>
  <si>
    <t xml:space="preserve">Areál krytého bazénu:  - instalace předokenních žaluzií na JZ stěnu budovy </t>
  </si>
  <si>
    <t xml:space="preserve">         - v tom:     nepředvídané opravy</t>
  </si>
  <si>
    <t xml:space="preserve">Areál krytého bazénu: - výměna žaluzie v přívodním tunelu vzduchotechniky s aut.posuvem filtrační tkaniny </t>
  </si>
  <si>
    <t xml:space="preserve">                                      - oprava zázemí údržby</t>
  </si>
  <si>
    <t xml:space="preserve">                                      - výměna vstupních dveří do bazénu - pokladna </t>
  </si>
  <si>
    <t xml:space="preserve">                                      - oprava kuchyně restaurace </t>
  </si>
  <si>
    <t xml:space="preserve">                                      - oprava čisté chodby </t>
  </si>
  <si>
    <t xml:space="preserve">          - služby pol. 5169 (PD, posudky, studie)</t>
  </si>
  <si>
    <t xml:space="preserve">             - služby pol. 5169 (PD, posudky, studie)</t>
  </si>
  <si>
    <t xml:space="preserve">            - sekční garážová vrata do strojovny </t>
  </si>
  <si>
    <t xml:space="preserve">           PD - investice, realizace do 1 mil. Kč </t>
  </si>
  <si>
    <t xml:space="preserve">                          - realizace oprav střech, fasád, odvlhčení domů ve správě OB (do 1 mil. Kč)</t>
  </si>
  <si>
    <t xml:space="preserve">                             DPS Pod Lipami - oprava balkónů II. etapa 1/2</t>
  </si>
  <si>
    <t xml:space="preserve">                             DPS  Revoluční 6 - opravy hromosvodů </t>
  </si>
  <si>
    <t xml:space="preserve">                             DPS Pod Lipami 19 - výměna oken ve společných prostorách + 3ks vstupních dveří </t>
  </si>
  <si>
    <t xml:space="preserve">                             Výmalba společných prostor a schodišť (Bulharská 9,7,11,13,15,17 + Luční 2,3,4)</t>
  </si>
  <si>
    <t>Náklady na energie - org. 0518</t>
  </si>
  <si>
    <t xml:space="preserve">            - vodné a stočné</t>
  </si>
  <si>
    <t xml:space="preserve">            - dodávka tepla </t>
  </si>
  <si>
    <t xml:space="preserve">            - plyn</t>
  </si>
  <si>
    <t xml:space="preserve">            - elektřina </t>
  </si>
  <si>
    <t xml:space="preserve">              Hotel Praha - realizace střešního světlíku nad kuchyní </t>
  </si>
  <si>
    <t xml:space="preserve">              Straník 80 - realizace ČOV</t>
  </si>
  <si>
    <t xml:space="preserve">            služby + revize org. 2518 Hotel Praha </t>
  </si>
  <si>
    <t xml:space="preserve">            dohody Hückelovy vily AÚ 0800</t>
  </si>
  <si>
    <t xml:space="preserve">             úsek 5 (p. Friedecká): </t>
  </si>
  <si>
    <t xml:space="preserve">                                      Střecha tržnice - nátěr ocelových konstrukcí a oprava podlah (WC a kancelář)</t>
  </si>
  <si>
    <t xml:space="preserve">                             - osadní výbory celkem:                                                                                       </t>
  </si>
  <si>
    <t>z toho:  nákup služeb - obsluha a revize kotelny Hotelu Praha + Suvorovova 152 + Dům k Archivu 2, revize  pol. 5169</t>
  </si>
  <si>
    <t xml:space="preserve">            Azylový dům Straník (provizorní oprava podlah 40, nepředvídatelné opravy 100)</t>
  </si>
  <si>
    <r>
      <t xml:space="preserve">              § 4351 v domech s pečovatelskou službou </t>
    </r>
    <r>
      <rPr>
        <sz val="9"/>
        <rFont val="Arial CE"/>
        <family val="2"/>
        <charset val="238"/>
      </rPr>
      <t>(nájmy: krátkodobé 20)</t>
    </r>
  </si>
  <si>
    <t xml:space="preserve">             § 3612 smluvní pokuta bytové domy </t>
  </si>
  <si>
    <t>28 556 700,00</t>
  </si>
  <si>
    <t xml:space="preserve">                  PD stavebnicový dvůr (rozvod el. energ., kamerový systém)</t>
  </si>
  <si>
    <t xml:space="preserve">                  Komunální technika - kombinace na léto a zimu (zametač a sypač s pluhem)</t>
  </si>
  <si>
    <t xml:space="preserve">                  Tandemový vibrační válec</t>
  </si>
  <si>
    <t xml:space="preserve">             oprava a údržba mostů (dle mostních prohlídek)</t>
  </si>
  <si>
    <t xml:space="preserve">             Parkoviště Žilina, u kostela (p.č. 673/2)</t>
  </si>
  <si>
    <t xml:space="preserve">             Kontejnerová stání</t>
  </si>
  <si>
    <t xml:space="preserve">             služby - PD k opravám</t>
  </si>
  <si>
    <t>0513/3341/6121</t>
  </si>
  <si>
    <t xml:space="preserve"> investice:  Odpočívka pro cyklisty u drážního domku - posedové schodiště</t>
  </si>
  <si>
    <t xml:space="preserve">                    VO Skalky</t>
  </si>
  <si>
    <t>5478/3631/6121</t>
  </si>
  <si>
    <t xml:space="preserve">                    VO Straník PD</t>
  </si>
  <si>
    <t>5480/3631/6121</t>
  </si>
  <si>
    <t xml:space="preserve">                    VO K. Schwarze PD</t>
  </si>
  <si>
    <t>5481/3631/6121</t>
  </si>
  <si>
    <t xml:space="preserve">                    VO Zborovská PD</t>
  </si>
  <si>
    <t xml:space="preserve">                    PD ke GO smuteční síně a márnice</t>
  </si>
  <si>
    <t>0517/3613/5331</t>
  </si>
  <si>
    <t xml:space="preserve">             hřbitovy -  příspěvek na dokončení opravy hřbitovní zdi</t>
  </si>
  <si>
    <t>Humanitární zahraniční pomoc přímá</t>
  </si>
  <si>
    <t>Zastupitelstva obcí, org. 3381</t>
  </si>
  <si>
    <r>
      <t xml:space="preserve">Ochrana obyvatelstva </t>
    </r>
    <r>
      <rPr>
        <sz val="9"/>
        <rFont val="Arial CE"/>
        <charset val="238"/>
      </rPr>
      <t>(letáky+uživat.příručky 1, DHM 20, zpracování dat-data hosting, GSM přenosy 35, systém varování před povodněmi-hladinoměry dle servisní smlouvy 24, opravy a udržování systému varování před povodněmi 30)</t>
    </r>
  </si>
  <si>
    <r>
      <t>Pojištění funkčně nespecifikované</t>
    </r>
    <r>
      <rPr>
        <sz val="9"/>
        <rFont val="Arial CE"/>
        <family val="2"/>
        <charset val="238"/>
      </rPr>
      <t xml:space="preserve"> (pojištění 1500, náhrady za nezpůsobenou újmu 50)</t>
    </r>
  </si>
  <si>
    <r>
      <t>Ostatní výdaje z finančního vypořádání</t>
    </r>
    <r>
      <rPr>
        <sz val="9"/>
        <rFont val="Arial CE"/>
        <charset val="238"/>
      </rPr>
      <t xml:space="preserve"> </t>
    </r>
  </si>
  <si>
    <t xml:space="preserve">                     Most Dolní Brána (U Laposu  - Grasmanka) PD</t>
  </si>
  <si>
    <t xml:space="preserve">                     Propustek Straník 61 (cesta ke hřbitovu) PD</t>
  </si>
  <si>
    <t>5460/2219/6121</t>
  </si>
  <si>
    <t>5461/2219/6121</t>
  </si>
  <si>
    <t>5462/2219/6121</t>
  </si>
  <si>
    <t>5463/2219/6121</t>
  </si>
  <si>
    <t>5464/2219/6121</t>
  </si>
  <si>
    <t>5465/2219/6121</t>
  </si>
  <si>
    <t>5466/2219/6121</t>
  </si>
  <si>
    <t>5467/2219/6121</t>
  </si>
  <si>
    <t>5468/2219/6121</t>
  </si>
  <si>
    <t xml:space="preserve">                    Revitalizace veřejného prostranství Horního nádraží PD</t>
  </si>
  <si>
    <t>5469/2219/6121</t>
  </si>
  <si>
    <t>5470/2219/6121</t>
  </si>
  <si>
    <t xml:space="preserve">                    Autobusová zastávka Riegrova</t>
  </si>
  <si>
    <t xml:space="preserve">614 - Školství - Akce OŠKS </t>
  </si>
  <si>
    <t>1403/3111/6121</t>
  </si>
  <si>
    <t>1400/3111/6121</t>
  </si>
  <si>
    <t>1401/3111/6121</t>
  </si>
  <si>
    <t xml:space="preserve">                   ZŠ Dlouhá - rekonstrukce školní kuchyně</t>
  </si>
  <si>
    <t>616 - Kultura - Akce OŠKS</t>
  </si>
  <si>
    <r>
      <t xml:space="preserve">Divadelní činnost </t>
    </r>
    <r>
      <rPr>
        <sz val="9"/>
        <rFont val="Arial CE"/>
      </rPr>
      <t>(účet 2310800)</t>
    </r>
  </si>
  <si>
    <r>
      <t xml:space="preserve">Zájmová činnost v kultuře </t>
    </r>
    <r>
      <rPr>
        <sz val="9"/>
        <rFont val="Arial CE"/>
      </rPr>
      <t>(účet 2310800)</t>
    </r>
  </si>
  <si>
    <t>0501/3392/6121</t>
  </si>
  <si>
    <t>1600/3392/5171</t>
  </si>
  <si>
    <r>
      <t xml:space="preserve">Činnost místní správy </t>
    </r>
    <r>
      <rPr>
        <sz val="9"/>
        <rFont val="Arial CE"/>
      </rPr>
      <t>(účet 2310800)</t>
    </r>
  </si>
  <si>
    <t>635 - Akce OŽP</t>
  </si>
  <si>
    <t>0517/3745/6121</t>
  </si>
  <si>
    <t xml:space="preserve">637 - Akce OB </t>
  </si>
  <si>
    <r>
      <t xml:space="preserve">Bytové hospodářství </t>
    </r>
    <r>
      <rPr>
        <sz val="9"/>
        <rFont val="Arial CE"/>
      </rPr>
      <t>(účet 2310800)</t>
    </r>
  </si>
  <si>
    <t>0557/3613/6121</t>
  </si>
  <si>
    <r>
      <t xml:space="preserve">Lokální zásobování teplem (tepelné hospodářství) </t>
    </r>
    <r>
      <rPr>
        <sz val="9"/>
        <rFont val="Arial CE"/>
      </rPr>
      <t>(účet 2310800)</t>
    </r>
  </si>
  <si>
    <t>0588/3634/6122</t>
  </si>
  <si>
    <t>0559/3634/6122</t>
  </si>
  <si>
    <t>5456/3412/6121</t>
  </si>
  <si>
    <t>5474/3412/6121</t>
  </si>
  <si>
    <t>5475/3412/6121</t>
  </si>
  <si>
    <t>5476/3412/6121</t>
  </si>
  <si>
    <t>5477/3613/6121</t>
  </si>
  <si>
    <t>5479/3631/6121</t>
  </si>
  <si>
    <t>0517/3632/6121</t>
  </si>
  <si>
    <t>641 - Oddělení rozvoje - kotlíkové dotace</t>
  </si>
  <si>
    <t xml:space="preserve">             SFPI - RPS Nerudova 1. etapa </t>
  </si>
  <si>
    <t xml:space="preserve">Pěstební činnost </t>
  </si>
  <si>
    <t xml:space="preserve">Celospolečenské funkce lesů </t>
  </si>
  <si>
    <t xml:space="preserve">             individuální dotace na Seniorpoint Nový Jičín (org. 5383)</t>
  </si>
  <si>
    <t xml:space="preserve">                    Regenerace PS Nerudova III. etapa PD</t>
  </si>
  <si>
    <t xml:space="preserve">                    Regenerace PS Nerudova IV. etapa PD</t>
  </si>
  <si>
    <t xml:space="preserve">             terapeutické pobyty pro děti s omezenými příležitostmi (v tom dar Veolie 50)</t>
  </si>
  <si>
    <t>z toho: nákup služeb - Komunitní plánování (org. 0439), včetně zájezdu pro seniory 50</t>
  </si>
  <si>
    <t xml:space="preserve">                    Parkoviště, cyklostezka ve sportovním areálu, Divadelní </t>
  </si>
  <si>
    <t xml:space="preserve">                   ZŠ Jubilejní - rekonstrukce školní kuchyně PD</t>
  </si>
  <si>
    <t xml:space="preserve">              Hückelovy vily - pořízení měřící techniky pro sledování klimatu - pol.6122</t>
  </si>
  <si>
    <t xml:space="preserve">            Hückelovy vily - spoluúčast na dotačních titulech (fixace nástropních maleb E. Veitha, restaurátorský průzkum maleb), výkup předmětů pro sbírku HV Ministerstva kultury pol. 5169</t>
  </si>
  <si>
    <t xml:space="preserve">                          - akce úsek 5 celkem:</t>
  </si>
  <si>
    <r>
      <t>Příjem z daně z příjmů fyzických osob placené poplatníky</t>
    </r>
    <r>
      <rPr>
        <sz val="9"/>
        <rFont val="Arial CE"/>
        <charset val="238"/>
      </rPr>
      <t xml:space="preserve"> (sdílená) </t>
    </r>
    <r>
      <rPr>
        <i/>
        <sz val="9"/>
        <rFont val="Arial CE"/>
        <charset val="238"/>
      </rPr>
      <t xml:space="preserve"> </t>
    </r>
    <r>
      <rPr>
        <sz val="9"/>
        <rFont val="Arial CE"/>
        <charset val="238"/>
      </rPr>
      <t xml:space="preserve">      </t>
    </r>
    <r>
      <rPr>
        <b/>
        <sz val="10"/>
        <rFont val="Arial CE"/>
        <family val="2"/>
        <charset val="238"/>
      </rPr>
      <t xml:space="preserve">                                                   </t>
    </r>
  </si>
  <si>
    <r>
      <t xml:space="preserve">Příjem z daně z příjmů fyzických osob placené plátci </t>
    </r>
    <r>
      <rPr>
        <sz val="9"/>
        <rFont val="Arial CE"/>
        <charset val="238"/>
      </rPr>
      <t xml:space="preserve">(motivační 1,5%)            </t>
    </r>
    <r>
      <rPr>
        <sz val="10"/>
        <rFont val="Arial CE"/>
        <family val="2"/>
        <charset val="238"/>
      </rPr>
      <t xml:space="preserve">                                       </t>
    </r>
  </si>
  <si>
    <r>
      <t xml:space="preserve">Příjem z daně z příjmů fyzických osob vybírané srážkou </t>
    </r>
    <r>
      <rPr>
        <sz val="9"/>
        <rFont val="Arial CE"/>
        <charset val="238"/>
      </rPr>
      <t>podle zvláštní sazby daně</t>
    </r>
  </si>
  <si>
    <r>
      <t xml:space="preserve">Příjem z daně z příjmů právnických osob </t>
    </r>
    <r>
      <rPr>
        <sz val="9"/>
        <rFont val="Arial CE"/>
        <charset val="238"/>
      </rPr>
      <t xml:space="preserve">(sdílená)        </t>
    </r>
    <r>
      <rPr>
        <b/>
        <sz val="10"/>
        <rFont val="Arial CE"/>
        <family val="2"/>
        <charset val="238"/>
      </rPr>
      <t xml:space="preserve">                                                                     </t>
    </r>
    <r>
      <rPr>
        <sz val="9"/>
        <rFont val="Arial CE"/>
        <family val="2"/>
        <charset val="238"/>
      </rPr>
      <t xml:space="preserve"> </t>
    </r>
  </si>
  <si>
    <r>
      <t xml:space="preserve">Příjem z daně z přidané hodnoty </t>
    </r>
    <r>
      <rPr>
        <sz val="9"/>
        <rFont val="Arial CE"/>
        <charset val="238"/>
      </rPr>
      <t xml:space="preserve">(sdílená) </t>
    </r>
    <r>
      <rPr>
        <b/>
        <sz val="9"/>
        <rFont val="Arial CE"/>
        <charset val="238"/>
      </rPr>
      <t xml:space="preserve">           </t>
    </r>
    <r>
      <rPr>
        <b/>
        <sz val="10"/>
        <rFont val="Arial CE"/>
        <family val="2"/>
        <charset val="238"/>
      </rPr>
      <t xml:space="preserve">                                                                                  </t>
    </r>
    <r>
      <rPr>
        <b/>
        <sz val="9"/>
        <rFont val="Arial CE"/>
        <family val="2"/>
        <charset val="238"/>
      </rPr>
      <t xml:space="preserve"> </t>
    </r>
  </si>
  <si>
    <r>
      <t xml:space="preserve">Příjem z daně z příjmů právnických osob v případech, kdy poplatníkem je obec, s výjimkou daně vybírané srážkou podle zvláštní sazby daně </t>
    </r>
    <r>
      <rPr>
        <sz val="9"/>
        <rFont val="Arial CE"/>
        <family val="2"/>
        <charset val="238"/>
      </rPr>
      <t>(100% za město NJ)</t>
    </r>
  </si>
  <si>
    <t>Příjem z odvodů za odnětí půdy ze zemědělského půdního fondu podle zákona upravující ochranu zemědělského půdního fondu</t>
  </si>
  <si>
    <t>Příjem z poplatku za odnětí pozemku podle lesního zákona</t>
  </si>
  <si>
    <t>Příjem z poplatku za povolené vypouštění odpadních vod do vod podzemních</t>
  </si>
  <si>
    <t>Příjem z poplatku za užívání veřejného prostranství</t>
  </si>
  <si>
    <t xml:space="preserve">z toho: Odbor obecní živnostenský úřad </t>
  </si>
  <si>
    <r>
      <t xml:space="preserve">Příjem z poplatku za povolení k vjezdu s motorovým vozidlem do vybraných míst a částí měst                                                            </t>
    </r>
    <r>
      <rPr>
        <sz val="9"/>
        <rFont val="Arial CE"/>
        <family val="2"/>
        <charset val="238"/>
      </rPr>
      <t>(Návštěvnické centrum NJ - město klobouků: abonentní a rezidentní karty)</t>
    </r>
  </si>
  <si>
    <t>Příjem za zkoušky z odborné způsobilosti od žadatelů o řidičské oprávnění</t>
  </si>
  <si>
    <t>Příjem z úhrad za dobývání nerostů a poplatků za geologické práce</t>
  </si>
  <si>
    <t>z toho: Odbor dopravy</t>
  </si>
  <si>
    <t>Příjem ze správních poplatků</t>
  </si>
  <si>
    <r>
      <rPr>
        <sz val="9"/>
        <rFont val="Arial CE"/>
        <charset val="238"/>
      </rPr>
      <t>009/----/</t>
    </r>
    <r>
      <rPr>
        <b/>
        <sz val="10"/>
        <rFont val="Arial CE"/>
        <family val="2"/>
        <charset val="238"/>
      </rPr>
      <t>1361</t>
    </r>
    <r>
      <rPr>
        <sz val="9"/>
        <rFont val="Arial CE"/>
        <charset val="238"/>
      </rPr>
      <t>/7006-7037</t>
    </r>
  </si>
  <si>
    <t>Příjem z daně z hazardních her s výjimkou dílčí daně z technických her</t>
  </si>
  <si>
    <t>Příjem z dílčí daně z technických her</t>
  </si>
  <si>
    <r>
      <t xml:space="preserve">Příjem z daně z nemovitých věcí </t>
    </r>
    <r>
      <rPr>
        <sz val="9"/>
        <rFont val="Arial CE"/>
        <charset val="238"/>
      </rPr>
      <t xml:space="preserve">(výlučná)    </t>
    </r>
    <r>
      <rPr>
        <b/>
        <sz val="10"/>
        <rFont val="Arial CE"/>
        <family val="2"/>
        <charset val="238"/>
      </rPr>
      <t xml:space="preserve">                                                                                                              </t>
    </r>
  </si>
  <si>
    <t>Příjem z poskytování služeb, výrobků, prací, výkonů a práv</t>
  </si>
  <si>
    <r>
      <t xml:space="preserve">           § 1031 pěstební činnost </t>
    </r>
    <r>
      <rPr>
        <sz val="9"/>
        <rFont val="Arial CE"/>
        <charset val="238"/>
      </rPr>
      <t>(těžba v městských lesích)</t>
    </r>
  </si>
  <si>
    <r>
      <t xml:space="preserve">           § 2143 cestovní ruch</t>
    </r>
    <r>
      <rPr>
        <sz val="9"/>
        <rFont val="Arial CE"/>
        <charset val="238"/>
      </rPr>
      <t xml:space="preserve"> (Návštěvnické centrum NJ)</t>
    </r>
  </si>
  <si>
    <r>
      <t xml:space="preserve">           § 5311 bezpečnost a veřejný pořádek </t>
    </r>
    <r>
      <rPr>
        <sz val="9"/>
        <rFont val="Arial CE"/>
        <family val="2"/>
        <charset val="238"/>
      </rPr>
      <t>(Městská policie)</t>
    </r>
  </si>
  <si>
    <r>
      <t xml:space="preserve">           § 6171 činnost místní správy </t>
    </r>
    <r>
      <rPr>
        <sz val="9"/>
        <rFont val="Arial CE"/>
        <charset val="238"/>
      </rPr>
      <t>(kopírování pro veřejnost)</t>
    </r>
  </si>
  <si>
    <r>
      <t xml:space="preserve">           § 3412 sportovní zařízení v majetku obce</t>
    </r>
    <r>
      <rPr>
        <sz val="9"/>
        <rFont val="Arial CE"/>
        <charset val="238"/>
      </rPr>
      <t xml:space="preserve"> (bazé</t>
    </r>
    <r>
      <rPr>
        <sz val="9"/>
        <rFont val="Arial CE"/>
        <family val="2"/>
        <charset val="238"/>
      </rPr>
      <t>n: Basketbalový klub,z.s.-vstupné, nájmy)</t>
    </r>
  </si>
  <si>
    <r>
      <t xml:space="preserve">           § 3412 sportovní zařízení v majetku obce </t>
    </r>
    <r>
      <rPr>
        <sz val="9"/>
        <rFont val="Arial CE"/>
        <family val="2"/>
        <charset val="238"/>
      </rPr>
      <t>(zimní stadión: Hokejový klub, z.s.-vstupné, nájmy)</t>
    </r>
  </si>
  <si>
    <r>
      <t xml:space="preserve">           § 2141 vnitřní obchod </t>
    </r>
    <r>
      <rPr>
        <sz val="9"/>
        <rFont val="Arial CE"/>
        <family val="2"/>
        <charset val="238"/>
      </rPr>
      <t>(obecní živnostenský úřad: náklady řízení)</t>
    </r>
  </si>
  <si>
    <r>
      <t xml:space="preserve">           § 2223 bezpečnost silničního provozu </t>
    </r>
    <r>
      <rPr>
        <sz val="9"/>
        <rFont val="Arial CE"/>
        <charset val="238"/>
      </rPr>
      <t>(dopravní přestupky: náklady řízení)</t>
    </r>
  </si>
  <si>
    <r>
      <t xml:space="preserve">           § 3612 bytové hospodářství </t>
    </r>
    <r>
      <rPr>
        <sz val="9"/>
        <rFont val="Arial CE"/>
        <charset val="238"/>
      </rPr>
      <t>(odbor bytový: úhrada nákladů soudních řízení+poplatky z prodlení)</t>
    </r>
  </si>
  <si>
    <r>
      <t xml:space="preserve">           § 3639 náklady řízení </t>
    </r>
    <r>
      <rPr>
        <sz val="9"/>
        <rFont val="Arial CE"/>
        <charset val="238"/>
      </rPr>
      <t>(odbor finanční)</t>
    </r>
  </si>
  <si>
    <r>
      <t xml:space="preserve">           § 3722 sběr a svoz komunálních odpadů </t>
    </r>
    <r>
      <rPr>
        <sz val="9"/>
        <rFont val="Arial CE"/>
        <family val="2"/>
        <charset val="238"/>
      </rPr>
      <t xml:space="preserve">(příspěvek od EKOKOMu)               </t>
    </r>
  </si>
  <si>
    <r>
      <t xml:space="preserve">           § 5311 bezpečnost a veřejný pořádek</t>
    </r>
    <r>
      <rPr>
        <sz val="9"/>
        <rFont val="Arial CE"/>
        <charset val="238"/>
      </rPr>
      <t xml:space="preserve"> (Městská policie: náhrady)</t>
    </r>
  </si>
  <si>
    <r>
      <t xml:space="preserve">           § 6171 činnost místní správy </t>
    </r>
    <r>
      <rPr>
        <sz val="9"/>
        <rFont val="Arial CE"/>
        <charset val="238"/>
      </rPr>
      <t>(obecné přestupky: náklady řízení)</t>
    </r>
  </si>
  <si>
    <t>Příjem sankčních plateb přijaté od jiných subjektů</t>
  </si>
  <si>
    <t>Příjem z pronájmů nebo pachtu ostatních nemovitých věcí a jejich částí</t>
  </si>
  <si>
    <r>
      <t xml:space="preserve">              § 2212 vyhrazené parkování formou nájemní smlouvy </t>
    </r>
    <r>
      <rPr>
        <sz val="9"/>
        <rFont val="Arial CE"/>
        <charset val="238"/>
      </rPr>
      <t>(Odbor správy majetku: v režimu DPH)</t>
    </r>
  </si>
  <si>
    <r>
      <t xml:space="preserve">              § 2310 nájem ostatních nemovitostí </t>
    </r>
    <r>
      <rPr>
        <sz val="9"/>
        <rFont val="Arial CE"/>
        <charset val="238"/>
      </rPr>
      <t>(Odbor správy majetku)</t>
    </r>
  </si>
  <si>
    <r>
      <t xml:space="preserve">              § 3122 nájem EDUCA </t>
    </r>
    <r>
      <rPr>
        <sz val="9"/>
        <rFont val="Arial CE"/>
        <charset val="238"/>
      </rPr>
      <t>(Odbor bytový)</t>
    </r>
  </si>
  <si>
    <r>
      <t xml:space="preserve">             § 6171 obecné přestupky - pokuty </t>
    </r>
    <r>
      <rPr>
        <sz val="9"/>
        <rFont val="Arial CE"/>
        <family val="2"/>
        <charset val="238"/>
      </rPr>
      <t>(Odbor přestupkových agend)</t>
    </r>
  </si>
  <si>
    <r>
      <t>317/----/</t>
    </r>
    <r>
      <rPr>
        <b/>
        <sz val="10"/>
        <rFont val="Arial CE"/>
        <charset val="238"/>
      </rPr>
      <t>1361</t>
    </r>
    <r>
      <rPr>
        <sz val="9"/>
        <rFont val="Arial CE"/>
        <charset val="238"/>
      </rPr>
      <t>/0214-7063</t>
    </r>
  </si>
  <si>
    <r>
      <rPr>
        <sz val="9"/>
        <rFont val="Arial CE"/>
        <charset val="238"/>
      </rPr>
      <t>741/----/</t>
    </r>
    <r>
      <rPr>
        <b/>
        <sz val="10"/>
        <rFont val="Arial CE"/>
        <family val="2"/>
        <charset val="238"/>
      </rPr>
      <t>4111</t>
    </r>
    <r>
      <rPr>
        <sz val="9"/>
        <rFont val="Arial CE"/>
        <charset val="238"/>
      </rPr>
      <t>/----/98187</t>
    </r>
  </si>
  <si>
    <t xml:space="preserve">                      Kanalizace Žilina, Okružní  PD</t>
  </si>
  <si>
    <t xml:space="preserve">                    Parkoviště Na Lani p.č. 426/1 (změna z podélného na kolmé) PD (KSD 21)</t>
  </si>
  <si>
    <t xml:space="preserve">                    Dopravní řešení okolí škol na ul. Dlouhá v NJ PD (KSD 14)</t>
  </si>
  <si>
    <t xml:space="preserve">                    Parkoviště Smetanovy sady (před byt.domy  č.p. 8 - 16, 26 - 28) PD (KSD 31)</t>
  </si>
  <si>
    <t xml:space="preserve">                    Parkoviště Vančurova (J. Hory, kolmá a podélná stání) PD (KSD 38)</t>
  </si>
  <si>
    <t xml:space="preserve">                    Zpevněná plocha podél komunikace I/57, Revoluční PD</t>
  </si>
  <si>
    <t>Sportovní zařízení v majetku obce (účet 2310800)</t>
  </si>
  <si>
    <t xml:space="preserve">                   Vnitřní bazén PD</t>
  </si>
  <si>
    <t xml:space="preserve">                   Areál krytého bazénu - ústřední topení PD</t>
  </si>
  <si>
    <r>
      <t>2381</t>
    </r>
    <r>
      <rPr>
        <sz val="8"/>
        <rFont val="Arial CE"/>
        <family val="2"/>
        <charset val="238"/>
      </rPr>
      <t>/2310/6121</t>
    </r>
  </si>
  <si>
    <t>2394/2321/6121</t>
  </si>
  <si>
    <r>
      <t>2395</t>
    </r>
    <r>
      <rPr>
        <sz val="8"/>
        <rFont val="Arial CE"/>
        <family val="2"/>
        <charset val="238"/>
      </rPr>
      <t>/2321/6121</t>
    </r>
  </si>
  <si>
    <t>2396/2321/6121</t>
  </si>
  <si>
    <t>2397/2212/6121</t>
  </si>
  <si>
    <t>2398/2212/6121</t>
  </si>
  <si>
    <t>2403/2212/6121</t>
  </si>
  <si>
    <t>2404/2219/6121</t>
  </si>
  <si>
    <t>2405/2219/6121</t>
  </si>
  <si>
    <t>2407/2219/6121</t>
  </si>
  <si>
    <t>2408/2219/6121</t>
  </si>
  <si>
    <t>5483/2219/6121</t>
  </si>
  <si>
    <t>2409/2219/6121</t>
  </si>
  <si>
    <t>1601/3392/6121</t>
  </si>
  <si>
    <t>1900/6171/5171</t>
  </si>
  <si>
    <t>1901/6171/5171</t>
  </si>
  <si>
    <t>1902/6171/5171</t>
  </si>
  <si>
    <t>1903/6171/6121</t>
  </si>
  <si>
    <t>1904/6171/6121</t>
  </si>
  <si>
    <t>3704/3412/6121</t>
  </si>
  <si>
    <t>3705/3412/6121</t>
  </si>
  <si>
    <t>3706/3412/6121</t>
  </si>
  <si>
    <t>3707/3612/6121</t>
  </si>
  <si>
    <t>3708/3613/6121</t>
  </si>
  <si>
    <t>3709/3613/6121</t>
  </si>
  <si>
    <t>3710/3613/6121</t>
  </si>
  <si>
    <t>3711/3613/6121</t>
  </si>
  <si>
    <t>3712/3613/6121</t>
  </si>
  <si>
    <t>3714/3634/6122</t>
  </si>
  <si>
    <t>3715/3634/6122</t>
  </si>
  <si>
    <t>3716/3634/6122</t>
  </si>
  <si>
    <t>3717/3634/6122</t>
  </si>
  <si>
    <t>3718/3634/6122</t>
  </si>
  <si>
    <t>3719/3634/6122</t>
  </si>
  <si>
    <t>3720/3634/6122</t>
  </si>
  <si>
    <t>3632/3632/6121</t>
  </si>
  <si>
    <t>619 - Akce OO</t>
  </si>
  <si>
    <t xml:space="preserve">             Parkoviště MŠ Máj (KSD 36)</t>
  </si>
  <si>
    <t xml:space="preserve">                    VO Slezská - u garáží </t>
  </si>
  <si>
    <r>
      <t xml:space="preserve">Bezpečnost silničního provozu-BESIP </t>
    </r>
    <r>
      <rPr>
        <sz val="9"/>
        <rFont val="Arial CE"/>
        <charset val="238"/>
      </rPr>
      <t>(DHM 6, materiál 3, nájemné 42, služby 10, opravy a udržování 7, pohoštění 2, věcné dary 6)</t>
    </r>
  </si>
  <si>
    <r>
      <t>Ost.záležitosti kultury, církví a sdělovacích prostředků</t>
    </r>
    <r>
      <rPr>
        <sz val="10"/>
        <rFont val="Arial CE"/>
        <family val="2"/>
        <charset val="238"/>
      </rPr>
      <t xml:space="preserve">  </t>
    </r>
    <r>
      <rPr>
        <sz val="9"/>
        <rFont val="Arial CE"/>
        <charset val="238"/>
      </rPr>
      <t>(platby za autorská práva-OSA, Integram, ozvučení náměstí)</t>
    </r>
  </si>
  <si>
    <t xml:space="preserve">            na poskytování podpory soc.služeb dle zákona o soc.službách ORJ 541, org.1113</t>
  </si>
  <si>
    <t xml:space="preserve">            na poskytování podpory soc.služeb dle zákona o soc.službách ORJ 541, org.1114</t>
  </si>
  <si>
    <t>Přijaté dary na pořízení dlouhodobého majetku</t>
  </si>
  <si>
    <t xml:space="preserve">                   ProSenior Nový Jičín - Domeček PD</t>
  </si>
  <si>
    <t>0558/3612/6121</t>
  </si>
  <si>
    <t xml:space="preserve">                     Most Loučka, V Kútě PD </t>
  </si>
  <si>
    <t>3535/3745/5169</t>
  </si>
  <si>
    <t xml:space="preserve">                    VO K Archivu</t>
  </si>
  <si>
    <r>
      <t xml:space="preserve">             § 3613 smluvní pokuta nebytové prostory - dodavatelé</t>
    </r>
    <r>
      <rPr>
        <sz val="9"/>
        <rFont val="Arial CE"/>
        <charset val="238"/>
      </rPr>
      <t xml:space="preserve"> (Odbor bytový)</t>
    </r>
  </si>
  <si>
    <t>0386/2212/6121</t>
  </si>
  <si>
    <t xml:space="preserve">            § 3412 Basketbalový klub z.s.-vratky příspěvků na energie a provoz bazénů</t>
  </si>
  <si>
    <t xml:space="preserve">           § 6171, § 6409 odbor organizační </t>
  </si>
  <si>
    <t xml:space="preserve">             - Nákup rolby (6122)</t>
  </si>
  <si>
    <t>Volba prezidenta republiky</t>
  </si>
  <si>
    <t xml:space="preserve">                   Azylový dům Straník - rekonstrukce vnitřních prostor PD</t>
  </si>
  <si>
    <t xml:space="preserve">            Revitalizace veřejného prostranství Horního nádraží (ÚZ 612)</t>
  </si>
  <si>
    <r>
      <t xml:space="preserve">z toho: Zajištění dočasného nouzového ubytování pro uprchlíky z Ukrajiny </t>
    </r>
    <r>
      <rPr>
        <sz val="9"/>
        <rFont val="Arial CE"/>
        <charset val="238"/>
      </rPr>
      <t xml:space="preserve">(ÚZ 900)    </t>
    </r>
  </si>
  <si>
    <r>
      <t xml:space="preserve">            Zajištění výkonu regionálních funkcí knihoven - pro MěKS</t>
    </r>
    <r>
      <rPr>
        <sz val="9"/>
        <rFont val="Arial CE"/>
        <charset val="238"/>
      </rPr>
      <t xml:space="preserve"> (ÚZ 345)</t>
    </r>
  </si>
  <si>
    <t xml:space="preserve">                   Přístavba hotelu Praha PD</t>
  </si>
  <si>
    <r>
      <t xml:space="preserve">Příjem z daně z příjmů fyzických osob placené plátci </t>
    </r>
    <r>
      <rPr>
        <sz val="9"/>
        <rFont val="Arial CE"/>
        <charset val="238"/>
      </rPr>
      <t>(sdílená část)</t>
    </r>
    <r>
      <rPr>
        <b/>
        <sz val="10"/>
        <rFont val="Arial CE"/>
        <family val="2"/>
        <charset val="238"/>
      </rPr>
      <t xml:space="preserve"> </t>
    </r>
    <r>
      <rPr>
        <sz val="10"/>
        <rFont val="Arial CE"/>
        <charset val="238"/>
      </rPr>
      <t xml:space="preserve">                                                         </t>
    </r>
  </si>
  <si>
    <r>
      <t xml:space="preserve">           § 4351 </t>
    </r>
    <r>
      <rPr>
        <sz val="10"/>
        <rFont val="Arial CE"/>
        <charset val="238"/>
      </rPr>
      <t xml:space="preserve">pečovatelská služba, denní stacionář, odlehč. služba Pohoda </t>
    </r>
    <r>
      <rPr>
        <sz val="9"/>
        <rFont val="Arial CE"/>
        <family val="2"/>
        <charset val="238"/>
      </rPr>
      <t>(Prosenior NJ)</t>
    </r>
  </si>
  <si>
    <r>
      <t xml:space="preserve">              § 2321 nájem Kanalizace od SmVaK (DSO) </t>
    </r>
    <r>
      <rPr>
        <sz val="9"/>
        <rFont val="Arial CE"/>
        <charset val="238"/>
      </rPr>
      <t>- účet 2310441 Plán financování obnovy (PFO)</t>
    </r>
  </si>
  <si>
    <r>
      <t xml:space="preserve">              § 3634 v zásobování teplem </t>
    </r>
    <r>
      <rPr>
        <sz val="9"/>
        <rFont val="Arial CE"/>
        <family val="2"/>
        <charset val="238"/>
      </rPr>
      <t>(VEOLIA)</t>
    </r>
  </si>
  <si>
    <r>
      <t>009/2141/</t>
    </r>
    <r>
      <rPr>
        <b/>
        <sz val="10"/>
        <rFont val="Arial CE"/>
        <charset val="238"/>
      </rPr>
      <t>2212</t>
    </r>
    <r>
      <rPr>
        <sz val="9"/>
        <rFont val="Arial CE"/>
        <charset val="238"/>
      </rPr>
      <t>/----,7500</t>
    </r>
  </si>
  <si>
    <r>
      <t xml:space="preserve">             § 2223 dopravní přestupky </t>
    </r>
    <r>
      <rPr>
        <sz val="9"/>
        <rFont val="Arial CE"/>
        <charset val="238"/>
      </rPr>
      <t>(radary)</t>
    </r>
  </si>
  <si>
    <r>
      <t xml:space="preserve">Ostatní přijaté vratky transferů </t>
    </r>
    <r>
      <rPr>
        <sz val="10"/>
        <rFont val="Arial CE"/>
        <charset val="238"/>
      </rPr>
      <t>(příspěvků a dotací)</t>
    </r>
  </si>
  <si>
    <r>
      <t xml:space="preserve">Přijaté neinvestiční dary </t>
    </r>
    <r>
      <rPr>
        <sz val="9"/>
        <rFont val="Arial CE"/>
        <family val="2"/>
        <charset val="238"/>
      </rPr>
      <t xml:space="preserve">(Veolia Dalkia ČR-financování kulturních a společenských akcí města) </t>
    </r>
  </si>
  <si>
    <r>
      <rPr>
        <sz val="10"/>
        <rFont val="Arial CE"/>
        <charset val="238"/>
      </rPr>
      <t xml:space="preserve">         </t>
    </r>
    <r>
      <rPr>
        <b/>
        <sz val="10"/>
        <rFont val="Arial CE"/>
        <family val="2"/>
        <charset val="238"/>
      </rPr>
      <t xml:space="preserve"> </t>
    </r>
    <r>
      <rPr>
        <sz val="10"/>
        <rFont val="Arial CE"/>
        <charset val="238"/>
      </rPr>
      <t xml:space="preserve"> § 1037 celospolečenské funkce lesů</t>
    </r>
  </si>
  <si>
    <r>
      <t>009/2141/</t>
    </r>
    <r>
      <rPr>
        <b/>
        <sz val="10"/>
        <rFont val="Arial CE"/>
        <family val="2"/>
        <charset val="238"/>
      </rPr>
      <t>2324</t>
    </r>
  </si>
  <si>
    <r>
      <t xml:space="preserve">          </t>
    </r>
    <r>
      <rPr>
        <sz val="10"/>
        <rFont val="Arial CE"/>
        <charset val="238"/>
      </rPr>
      <t xml:space="preserve"> § 3612 Ukrajina (dle rozhodnutí Kraje z 15.9.2022)  - náhrady nákladů za ubytování </t>
    </r>
  </si>
  <si>
    <r>
      <t xml:space="preserve">           § 3341 kabelová televize Straník-přihlášky</t>
    </r>
    <r>
      <rPr>
        <sz val="9"/>
        <rFont val="Arial CE"/>
        <family val="2"/>
        <charset val="238"/>
      </rPr>
      <t xml:space="preserve"> </t>
    </r>
    <r>
      <rPr>
        <sz val="10"/>
        <rFont val="Arial CE"/>
        <charset val="238"/>
      </rPr>
      <t>(odbor správy majetku)</t>
    </r>
  </si>
  <si>
    <r>
      <t xml:space="preserve">           § 3613 chata Jičínka </t>
    </r>
    <r>
      <rPr>
        <sz val="10"/>
        <rFont val="Arial CE"/>
        <charset val="238"/>
      </rPr>
      <t>(org. 4381)=účet 2310440, OSM kovošrot 0,310 + ostatní=účet 2310600</t>
    </r>
  </si>
  <si>
    <r>
      <t xml:space="preserve">           § 3632</t>
    </r>
    <r>
      <rPr>
        <sz val="10"/>
        <rFont val="Arial CE"/>
        <charset val="238"/>
      </rPr>
      <t xml:space="preserve"> pohřebnictví (odbor sociálních věcí - příjmy ze sociálních pohřbů)</t>
    </r>
  </si>
  <si>
    <r>
      <t>2360100/741/6330/</t>
    </r>
    <r>
      <rPr>
        <b/>
        <sz val="9"/>
        <rFont val="Arial CE"/>
        <charset val="238"/>
      </rPr>
      <t>4134</t>
    </r>
    <r>
      <rPr>
        <sz val="9"/>
        <rFont val="Arial CE"/>
        <charset val="238"/>
      </rPr>
      <t>/0/0</t>
    </r>
  </si>
  <si>
    <r>
      <t>Pitná voda</t>
    </r>
    <r>
      <rPr>
        <sz val="9"/>
        <rFont val="Arial CE"/>
        <family val="2"/>
        <charset val="238"/>
      </rPr>
      <t xml:space="preserve"> (účet 2310800)</t>
    </r>
  </si>
  <si>
    <r>
      <t xml:space="preserve">Odvádění a čištění odpadních vod a nakládání s kaly </t>
    </r>
    <r>
      <rPr>
        <sz val="9"/>
        <rFont val="Arial CE"/>
        <charset val="238"/>
      </rPr>
      <t>(účet 2310800)</t>
    </r>
  </si>
  <si>
    <r>
      <rPr>
        <sz val="10"/>
        <rFont val="Arial CE"/>
        <charset val="238"/>
      </rPr>
      <t xml:space="preserve">            Plán financování obnovy </t>
    </r>
    <r>
      <rPr>
        <sz val="9"/>
        <rFont val="Arial CE"/>
        <charset val="238"/>
      </rPr>
      <t>(účet 2310441) - opr. a udržování (rekonstrukce - obnova kanalizačních šachet )</t>
    </r>
  </si>
  <si>
    <r>
      <t>Drobné vodní toky</t>
    </r>
    <r>
      <rPr>
        <sz val="9"/>
        <rFont val="Arial CE"/>
        <family val="2"/>
        <charset val="238"/>
      </rPr>
      <t xml:space="preserve"> (účet 2310800)</t>
    </r>
  </si>
  <si>
    <r>
      <t xml:space="preserve">Silnice </t>
    </r>
    <r>
      <rPr>
        <sz val="8"/>
        <rFont val="Arial CE"/>
        <charset val="238"/>
      </rPr>
      <t>(účet 2310800)</t>
    </r>
  </si>
  <si>
    <r>
      <t xml:space="preserve">             oprava a údržba místních komunikací </t>
    </r>
    <r>
      <rPr>
        <sz val="9"/>
        <rFont val="Arial CE"/>
        <family val="2"/>
        <charset val="238"/>
      </rPr>
      <t>(TSM)</t>
    </r>
  </si>
  <si>
    <r>
      <t xml:space="preserve">             </t>
    </r>
    <r>
      <rPr>
        <sz val="10"/>
        <rFont val="Arial CE"/>
        <charset val="238"/>
      </rPr>
      <t>investice - Sjezd na parkoviště u Lidlu</t>
    </r>
  </si>
  <si>
    <r>
      <t xml:space="preserve">Ostatní záležitosti pozemních komunikací </t>
    </r>
    <r>
      <rPr>
        <sz val="9"/>
        <rFont val="Arial CE"/>
        <charset val="238"/>
      </rPr>
      <t>(účet 2310800)</t>
    </r>
  </si>
  <si>
    <r>
      <t>Provoz veřejné silniční dopravy</t>
    </r>
    <r>
      <rPr>
        <sz val="9"/>
        <rFont val="Arial CE"/>
        <charset val="238"/>
      </rPr>
      <t xml:space="preserve"> (účet 2310800)</t>
    </r>
  </si>
  <si>
    <r>
      <t xml:space="preserve">            věcná břemena (</t>
    </r>
    <r>
      <rPr>
        <sz val="9"/>
        <rFont val="Arial CE"/>
        <charset val="238"/>
      </rPr>
      <t>účet 2310440)</t>
    </r>
  </si>
  <si>
    <r>
      <t xml:space="preserve">            věcná břemena (</t>
    </r>
    <r>
      <rPr>
        <sz val="9"/>
        <rFont val="Arial CE"/>
        <charset val="238"/>
      </rPr>
      <t>účet 2310800)</t>
    </r>
  </si>
  <si>
    <r>
      <t>Rozhlas a televize</t>
    </r>
    <r>
      <rPr>
        <sz val="9"/>
        <rFont val="Arial CE"/>
        <charset val="238"/>
      </rPr>
      <t xml:space="preserve"> (účet 2310800) </t>
    </r>
  </si>
  <si>
    <r>
      <t xml:space="preserve">Nebytové hospodářství </t>
    </r>
    <r>
      <rPr>
        <sz val="9"/>
        <rFont val="Arial CE"/>
        <charset val="238"/>
      </rPr>
      <t>(účet 2310800)</t>
    </r>
  </si>
  <si>
    <r>
      <t xml:space="preserve">              příspěvek - </t>
    </r>
    <r>
      <rPr>
        <sz val="10"/>
        <rFont val="Arial CE"/>
        <charset val="238"/>
      </rPr>
      <t>oprava oplocení areálu TSM</t>
    </r>
  </si>
  <si>
    <r>
      <t xml:space="preserve">Veřejné osvětlení (VO) </t>
    </r>
    <r>
      <rPr>
        <sz val="9"/>
        <rFont val="Arial CE"/>
        <charset val="238"/>
      </rPr>
      <t>(účet 2310800)</t>
    </r>
  </si>
  <si>
    <r>
      <t xml:space="preserve">Pohřebnictví </t>
    </r>
    <r>
      <rPr>
        <sz val="10"/>
        <rFont val="Arial CE"/>
        <charset val="238"/>
      </rPr>
      <t xml:space="preserve">(účet 2310800) </t>
    </r>
  </si>
  <si>
    <r>
      <t>Výstavba a údržba místních inženýrských sítí (IS)</t>
    </r>
    <r>
      <rPr>
        <sz val="9"/>
        <rFont val="Arial CE"/>
      </rPr>
      <t xml:space="preserve"> (účet 2310800)</t>
    </r>
  </si>
  <si>
    <r>
      <t xml:space="preserve">investice - přísp.ve výši 1/3 skutečných nákladů na dostavbu IS Za Školou 2.etapa </t>
    </r>
    <r>
      <rPr>
        <sz val="9"/>
        <rFont val="Arial CE"/>
        <charset val="238"/>
      </rPr>
      <t>(s následným převedením všech IS včetně komunikace na město)</t>
    </r>
  </si>
  <si>
    <r>
      <t>Komunální služby a územní rozvoj j.n.</t>
    </r>
    <r>
      <rPr>
        <sz val="9"/>
        <rFont val="Arial CE"/>
        <family val="2"/>
        <charset val="238"/>
      </rPr>
      <t xml:space="preserve"> </t>
    </r>
  </si>
  <si>
    <r>
      <t xml:space="preserve">                    zápočet oplocení p. Perútka </t>
    </r>
    <r>
      <rPr>
        <sz val="9"/>
        <rFont val="Arial CE"/>
        <charset val="238"/>
      </rPr>
      <t>(účet 2310440)</t>
    </r>
  </si>
  <si>
    <r>
      <t xml:space="preserve">                    přípojky na televizní kabelové rozvody Straník - materiál</t>
    </r>
    <r>
      <rPr>
        <sz val="9"/>
        <rFont val="Arial CE"/>
        <charset val="238"/>
      </rPr>
      <t xml:space="preserve"> (účet 231 0800)</t>
    </r>
  </si>
  <si>
    <r>
      <t xml:space="preserve">Ostatní záležitosti bydlení, komunálních služeb a územního rozvoje </t>
    </r>
    <r>
      <rPr>
        <sz val="9"/>
        <rFont val="Arial CE"/>
        <charset val="238"/>
      </rPr>
      <t>(účet 2310800)</t>
    </r>
  </si>
  <si>
    <r>
      <t>Pitná voda</t>
    </r>
    <r>
      <rPr>
        <sz val="9"/>
        <rFont val="Arial CE"/>
      </rPr>
      <t xml:space="preserve"> (účet 2310800)</t>
    </r>
  </si>
  <si>
    <r>
      <t xml:space="preserve">Odvádění a čištění odpadních vod a nakládání s kaly </t>
    </r>
    <r>
      <rPr>
        <sz val="9"/>
        <rFont val="Arial CE"/>
      </rPr>
      <t>(účet 2310800)</t>
    </r>
  </si>
  <si>
    <r>
      <t xml:space="preserve">Silnice </t>
    </r>
    <r>
      <rPr>
        <sz val="9"/>
        <rFont val="Arial CE"/>
      </rPr>
      <t>(účet 2310800)</t>
    </r>
  </si>
  <si>
    <r>
      <t xml:space="preserve">Ostatní záležitosti pozemních komunikací </t>
    </r>
    <r>
      <rPr>
        <sz val="9"/>
        <rFont val="Arial CE"/>
      </rPr>
      <t>(účet 2310800)</t>
    </r>
  </si>
  <si>
    <r>
      <t>Provoz veřejné silniční dopravy</t>
    </r>
    <r>
      <rPr>
        <sz val="9"/>
        <rFont val="Arial CE"/>
      </rPr>
      <t xml:space="preserve"> (účet 2310800)</t>
    </r>
  </si>
  <si>
    <r>
      <t xml:space="preserve">Komunální služby - nebytové prostory  - oddělení investic </t>
    </r>
    <r>
      <rPr>
        <sz val="9"/>
        <rFont val="Arial CE"/>
        <charset val="238"/>
      </rPr>
      <t>(účet 2310800)</t>
    </r>
  </si>
  <si>
    <r>
      <t>Komunální služby a rozvoj - plány, propagace, marketing, Zdravé město</t>
    </r>
    <r>
      <rPr>
        <sz val="9"/>
        <rFont val="Arial CE"/>
        <charset val="238"/>
      </rPr>
      <t xml:space="preserve"> (účet 2310800)</t>
    </r>
  </si>
  <si>
    <r>
      <t xml:space="preserve">Péče o vzhled obcí a veřejnou zeleň </t>
    </r>
    <r>
      <rPr>
        <sz val="10"/>
        <rFont val="Arial CE"/>
        <charset val="238"/>
      </rPr>
      <t xml:space="preserve">(účet 2310800) </t>
    </r>
  </si>
  <si>
    <r>
      <t xml:space="preserve">Nebytové hospodářství </t>
    </r>
    <r>
      <rPr>
        <sz val="9"/>
        <rFont val="Arial CE"/>
      </rPr>
      <t>(účet 2310800)</t>
    </r>
  </si>
  <si>
    <r>
      <t xml:space="preserve">Sportovní zařízení v majetku obce </t>
    </r>
    <r>
      <rPr>
        <sz val="9"/>
        <rFont val="Arial CE"/>
      </rPr>
      <t>(účet 2310800)</t>
    </r>
  </si>
  <si>
    <r>
      <t xml:space="preserve">Veřejné osvětlení (VO) </t>
    </r>
    <r>
      <rPr>
        <sz val="9"/>
        <rFont val="Arial CE"/>
      </rPr>
      <t>(účet 2310800)</t>
    </r>
  </si>
  <si>
    <r>
      <t xml:space="preserve">                    Kotlíkové dotace MSK </t>
    </r>
    <r>
      <rPr>
        <sz val="10"/>
        <rFont val="Arial CE"/>
        <charset val="238"/>
      </rPr>
      <t>účet 231 0417</t>
    </r>
  </si>
  <si>
    <r>
      <t>009/</t>
    </r>
    <r>
      <rPr>
        <b/>
        <sz val="10"/>
        <rFont val="Arial CE"/>
        <family val="2"/>
        <charset val="238"/>
      </rPr>
      <t>2141</t>
    </r>
    <r>
      <rPr>
        <sz val="9"/>
        <rFont val="Arial CE"/>
        <charset val="238"/>
      </rPr>
      <t>/5169</t>
    </r>
  </si>
  <si>
    <r>
      <t>Dopravní obslužnost</t>
    </r>
    <r>
      <rPr>
        <sz val="10"/>
        <rFont val="Arial CE"/>
        <charset val="238"/>
      </rPr>
      <t xml:space="preserve"> - veřejná doprava</t>
    </r>
  </si>
  <si>
    <r>
      <t xml:space="preserve">             příspěvek na MHD</t>
    </r>
    <r>
      <rPr>
        <sz val="9"/>
        <rFont val="Arial CE"/>
        <family val="2"/>
        <charset val="238"/>
      </rPr>
      <t xml:space="preserve"> (ARRIVA) - dle smlouvy </t>
    </r>
  </si>
  <si>
    <r>
      <t xml:space="preserve">Bezpečnost silničního provozu - </t>
    </r>
    <r>
      <rPr>
        <sz val="10"/>
        <rFont val="Arial CE"/>
        <charset val="238"/>
      </rPr>
      <t>znalecké posudky při řešení dopravních deliktů+tlumočení</t>
    </r>
  </si>
  <si>
    <r>
      <t xml:space="preserve">Činnost místní správy - </t>
    </r>
    <r>
      <rPr>
        <sz val="10"/>
        <rFont val="Arial CE"/>
        <charset val="238"/>
      </rPr>
      <t>ostatní platy (refundace vč.pojist.), konzult.a porad.služby, náhrady svědkům</t>
    </r>
  </si>
  <si>
    <r>
      <t xml:space="preserve">             v tom:  </t>
    </r>
    <r>
      <rPr>
        <b/>
        <i/>
        <sz val="10"/>
        <rFont val="Arial CE"/>
        <charset val="238"/>
      </rPr>
      <t>MŠ Sady</t>
    </r>
    <r>
      <rPr>
        <sz val="10"/>
        <rFont val="Arial CE"/>
        <family val="2"/>
        <charset val="238"/>
      </rPr>
      <t xml:space="preserve"> (org. 305)</t>
    </r>
  </si>
  <si>
    <r>
      <t xml:space="preserve">                          </t>
    </r>
    <r>
      <rPr>
        <b/>
        <i/>
        <sz val="10"/>
        <rFont val="Arial CE"/>
        <charset val="238"/>
      </rPr>
      <t>MŠ Trojlístek</t>
    </r>
    <r>
      <rPr>
        <sz val="10"/>
        <rFont val="Arial CE"/>
        <family val="2"/>
        <charset val="238"/>
      </rPr>
      <t xml:space="preserve"> (org. 309)</t>
    </r>
  </si>
  <si>
    <r>
      <t xml:space="preserve">              v tom:  </t>
    </r>
    <r>
      <rPr>
        <b/>
        <i/>
        <sz val="10"/>
        <rFont val="Arial CE"/>
        <family val="2"/>
        <charset val="238"/>
      </rPr>
      <t xml:space="preserve">ZŠ Jubilejní </t>
    </r>
    <r>
      <rPr>
        <sz val="10"/>
        <rFont val="Arial CE"/>
        <family val="2"/>
        <charset val="238"/>
      </rPr>
      <t xml:space="preserve">celkem (org. 321) </t>
    </r>
  </si>
  <si>
    <r>
      <t xml:space="preserve">              v tom:  </t>
    </r>
    <r>
      <rPr>
        <b/>
        <i/>
        <sz val="10"/>
        <rFont val="Arial CE"/>
        <family val="2"/>
        <charset val="238"/>
      </rPr>
      <t xml:space="preserve">ZŠ Komenského 66 </t>
    </r>
    <r>
      <rPr>
        <sz val="10"/>
        <rFont val="Arial CE"/>
        <family val="2"/>
        <charset val="238"/>
      </rPr>
      <t>(org. 322)</t>
    </r>
  </si>
  <si>
    <r>
      <t xml:space="preserve">                          </t>
    </r>
    <r>
      <rPr>
        <b/>
        <i/>
        <sz val="10"/>
        <rFont val="Arial CE"/>
        <charset val="238"/>
      </rPr>
      <t>ZŠ Komenského 68</t>
    </r>
    <r>
      <rPr>
        <sz val="10"/>
        <rFont val="Arial CE"/>
        <family val="2"/>
        <charset val="238"/>
      </rPr>
      <t xml:space="preserve"> (org. 323)</t>
    </r>
  </si>
  <si>
    <r>
      <t xml:space="preserve">                         </t>
    </r>
    <r>
      <rPr>
        <b/>
        <i/>
        <sz val="10"/>
        <rFont val="Arial CE"/>
        <charset val="238"/>
      </rPr>
      <t xml:space="preserve">ZŠ Tyršova </t>
    </r>
    <r>
      <rPr>
        <sz val="10"/>
        <rFont val="Arial CE"/>
        <family val="2"/>
        <charset val="238"/>
      </rPr>
      <t>(org. 325)</t>
    </r>
  </si>
  <si>
    <r>
      <t xml:space="preserve">z toho: </t>
    </r>
    <r>
      <rPr>
        <b/>
        <i/>
        <sz val="10"/>
        <rFont val="Arial CE"/>
        <charset val="238"/>
      </rPr>
      <t>SVČ Fokus</t>
    </r>
  </si>
  <si>
    <r>
      <t xml:space="preserve">Divadelní činnost - </t>
    </r>
    <r>
      <rPr>
        <b/>
        <i/>
        <sz val="10"/>
        <rFont val="Arial CE"/>
        <family val="2"/>
        <charset val="238"/>
      </rPr>
      <t>Beskydské divadlo</t>
    </r>
    <r>
      <rPr>
        <b/>
        <sz val="9"/>
        <rFont val="Arial CE"/>
        <family val="2"/>
        <charset val="238"/>
      </rPr>
      <t xml:space="preserve"> </t>
    </r>
    <r>
      <rPr>
        <sz val="9"/>
        <rFont val="Arial CE"/>
        <family val="2"/>
        <charset val="238"/>
      </rPr>
      <t>(org. 504)</t>
    </r>
  </si>
  <si>
    <r>
      <t xml:space="preserve">z toho: osadní výbory </t>
    </r>
    <r>
      <rPr>
        <sz val="9"/>
        <rFont val="Arial CE"/>
        <family val="2"/>
        <charset val="238"/>
      </rPr>
      <t>(Žilina, Straník, Bludovice, Kojetín, Loučka)</t>
    </r>
  </si>
  <si>
    <r>
      <t xml:space="preserve">z toho: </t>
    </r>
    <r>
      <rPr>
        <b/>
        <i/>
        <sz val="10"/>
        <rFont val="Arial CE"/>
        <family val="2"/>
        <charset val="238"/>
      </rPr>
      <t>Městské kulturní středisko</t>
    </r>
    <r>
      <rPr>
        <b/>
        <sz val="10"/>
        <rFont val="Arial CE"/>
        <charset val="238"/>
      </rPr>
      <t xml:space="preserve"> </t>
    </r>
    <r>
      <rPr>
        <sz val="9"/>
        <rFont val="Arial CE"/>
        <family val="2"/>
        <charset val="238"/>
      </rPr>
      <t>(org. 501)</t>
    </r>
  </si>
  <si>
    <r>
      <t xml:space="preserve">Činnost ost. orgánů státní správy v oblasti civil.nouzového hospod. </t>
    </r>
    <r>
      <rPr>
        <sz val="9"/>
        <rFont val="Arial CE"/>
        <family val="2"/>
        <charset val="238"/>
      </rPr>
      <t>(čerpá se jen při živelních pohromách: přikrývky, písek+pytle, respirátory, dezinfekce, zabezpečení chodu evak.středisek, teplo, elektrická energie, PHM, služby: ubytovací,stravovací,dopravní)</t>
    </r>
  </si>
  <si>
    <r>
      <t xml:space="preserve">Ostatní správa v oblasti krizového řízení </t>
    </r>
    <r>
      <rPr>
        <sz val="9"/>
        <rFont val="Arial CE"/>
        <family val="2"/>
        <charset val="238"/>
      </rPr>
      <t>(PHM do elektrocentrály 1, služby 2, materiál 1, knihy+učební pomůcky+tisk 1) - čerpá se jen v mimořádných událostech</t>
    </r>
  </si>
  <si>
    <r>
      <t>Mobilní telefony-</t>
    </r>
    <r>
      <rPr>
        <b/>
        <sz val="10"/>
        <rFont val="Arial CE"/>
        <charset val="238"/>
      </rPr>
      <t>org.7381</t>
    </r>
  </si>
  <si>
    <r>
      <t>Pevné telefony-</t>
    </r>
    <r>
      <rPr>
        <b/>
        <sz val="10"/>
        <rFont val="Arial CE"/>
        <charset val="238"/>
      </rPr>
      <t>org.8381</t>
    </r>
  </si>
  <si>
    <r>
      <t xml:space="preserve">Pohřebnictví </t>
    </r>
    <r>
      <rPr>
        <sz val="9"/>
        <rFont val="Arial CE"/>
        <family val="2"/>
        <charset val="238"/>
      </rPr>
      <t>(úhrada sociálních pohřbů)</t>
    </r>
  </si>
  <si>
    <r>
      <t>Záležitosti soc. věcí a politiky nezaměstn. j.n.</t>
    </r>
    <r>
      <rPr>
        <b/>
        <sz val="9"/>
        <rFont val="Arial CE"/>
        <charset val="238"/>
      </rPr>
      <t xml:space="preserve"> </t>
    </r>
    <r>
      <rPr>
        <sz val="9"/>
        <rFont val="Arial CE"/>
        <charset val="238"/>
      </rPr>
      <t>(nákup tiskopisů receptů a žádanek na omamné látky)</t>
    </r>
  </si>
  <si>
    <r>
      <t xml:space="preserve">Ostatní správa ve vodním hospodářství </t>
    </r>
    <r>
      <rPr>
        <sz val="9"/>
        <rFont val="Arial CE"/>
        <family val="2"/>
        <charset val="238"/>
      </rPr>
      <t>(havárie)</t>
    </r>
  </si>
  <si>
    <r>
      <t>Sběr a svoz nebezpečných odpadů</t>
    </r>
    <r>
      <rPr>
        <b/>
        <sz val="9"/>
        <rFont val="Arial CE"/>
        <charset val="238"/>
      </rPr>
      <t xml:space="preserve"> </t>
    </r>
    <r>
      <rPr>
        <sz val="9"/>
        <rFont val="Arial CE"/>
        <charset val="238"/>
      </rPr>
      <t>(TSM: 50)</t>
    </r>
  </si>
  <si>
    <r>
      <t xml:space="preserve">Monitoring půdy a podzemní vody </t>
    </r>
    <r>
      <rPr>
        <sz val="9"/>
        <rFont val="Arial CE"/>
        <family val="2"/>
        <charset val="238"/>
      </rPr>
      <t xml:space="preserve">(sledování vrtů na Kojetíně) </t>
    </r>
  </si>
  <si>
    <r>
      <t>Chráněné části přírody</t>
    </r>
    <r>
      <rPr>
        <sz val="9"/>
        <rFont val="Arial CE"/>
        <family val="2"/>
        <charset val="238"/>
      </rPr>
      <t xml:space="preserve"> (památné stromy, významné krajinné prvky)</t>
    </r>
  </si>
  <si>
    <r>
      <t xml:space="preserve">Ostatní správa v průmyslu, stavebnictví, obchodu a službách </t>
    </r>
    <r>
      <rPr>
        <sz val="9"/>
        <rFont val="Arial CE"/>
        <family val="2"/>
        <charset val="238"/>
      </rPr>
      <t>(stavební úřad)</t>
    </r>
  </si>
  <si>
    <r>
      <t xml:space="preserve">Dotace, návratné finanční výpomoci a dary cizím subjektům </t>
    </r>
    <r>
      <rPr>
        <sz val="9"/>
        <rFont val="Arial CE"/>
        <charset val="238"/>
      </rPr>
      <t>(estetizace)</t>
    </r>
  </si>
  <si>
    <r>
      <t>Komunální služby a územní rozvoj</t>
    </r>
    <r>
      <rPr>
        <b/>
        <sz val="10"/>
        <rFont val="Arial CE"/>
        <charset val="238"/>
      </rPr>
      <t xml:space="preserve"> </t>
    </r>
    <r>
      <rPr>
        <sz val="10"/>
        <rFont val="Arial CE"/>
        <charset val="238"/>
      </rPr>
      <t>(soudní poplatky, realizace exekucí, ...)</t>
    </r>
  </si>
  <si>
    <r>
      <t xml:space="preserve">Činnost místní správy </t>
    </r>
    <r>
      <rPr>
        <sz val="10"/>
        <rFont val="Arial CE"/>
        <charset val="238"/>
      </rPr>
      <t>(daňové, účetní poradenství, odborné konzultace, psí známky, poplatky FÚ za bezdlužnost města)</t>
    </r>
  </si>
  <si>
    <r>
      <t>Výdaje z finančních operací</t>
    </r>
    <r>
      <rPr>
        <b/>
        <sz val="9"/>
        <rFont val="Arial CE"/>
        <charset val="238"/>
      </rPr>
      <t xml:space="preserve"> </t>
    </r>
    <r>
      <rPr>
        <sz val="10"/>
        <rFont val="Arial CE"/>
        <charset val="238"/>
      </rPr>
      <t>(bankovní poplatky za vedení účtů a položky)</t>
    </r>
  </si>
  <si>
    <r>
      <t xml:space="preserve">z toho: daň z příjmů právnických osob za obec </t>
    </r>
    <r>
      <rPr>
        <sz val="10"/>
        <rFont val="Arial CE"/>
        <charset val="238"/>
      </rPr>
      <t>(stejná výše je uvedena i v příjmech na pol. 1122)</t>
    </r>
  </si>
  <si>
    <r>
      <t xml:space="preserve">            členství města ve svazech a sdruž. </t>
    </r>
    <r>
      <rPr>
        <sz val="10"/>
        <rFont val="Arial CE"/>
        <charset val="238"/>
      </rPr>
      <t>(org.1010):</t>
    </r>
    <r>
      <rPr>
        <sz val="9"/>
        <rFont val="Arial CE"/>
        <charset val="238"/>
      </rPr>
      <t xml:space="preserve"> </t>
    </r>
    <r>
      <rPr>
        <sz val="10"/>
        <rFont val="Arial CE"/>
        <charset val="238"/>
      </rPr>
      <t>Partnerství pro městskou mobilitu (bývalá Asociace cykloměst) 5, MAS Lašsko 80, Národní síť zdravých měst 44,7735, Svaz měst a obcí 76,89776, Sdružení historických sídel 28,195, EUROREGION SILESIA-CZ 58,74, ...,</t>
    </r>
  </si>
  <si>
    <t xml:space="preserve">                    Dotace na podporu využití zachycené dešťové vody </t>
  </si>
  <si>
    <t xml:space="preserve">                    Dotace na vybudování malých domovních čistíren odpadních vod</t>
  </si>
  <si>
    <r>
      <t xml:space="preserve">            Odbor správy majetku (</t>
    </r>
    <r>
      <rPr>
        <sz val="9"/>
        <rFont val="Arial CE"/>
        <family val="2"/>
        <charset val="238"/>
      </rPr>
      <t>překopy+zábory+MP vyhrazené parkování)</t>
    </r>
  </si>
  <si>
    <r>
      <t xml:space="preserve">            Odbor životního prostředí</t>
    </r>
    <r>
      <rPr>
        <sz val="9"/>
        <rFont val="Arial CE"/>
        <charset val="238"/>
      </rPr>
      <t xml:space="preserve"> (zvláštní užívání zeleně)</t>
    </r>
  </si>
  <si>
    <r>
      <t xml:space="preserve">Schválený rozpočet                                                                                                                              2023                                                                                                                                                                                                                                                                                                                                                                                                                      </t>
    </r>
    <r>
      <rPr>
        <sz val="9"/>
        <rFont val="Arial CE"/>
        <charset val="238"/>
      </rPr>
      <t xml:space="preserve"> (v Kč)   </t>
    </r>
    <r>
      <rPr>
        <b/>
        <sz val="9"/>
        <rFont val="Arial CE"/>
        <charset val="238"/>
      </rPr>
      <t xml:space="preserve">        </t>
    </r>
    <r>
      <rPr>
        <b/>
        <sz val="12"/>
        <rFont val="Arial CE"/>
        <family val="2"/>
        <charset val="238"/>
      </rPr>
      <t xml:space="preserve">                                                                                                                                                                  </t>
    </r>
  </si>
  <si>
    <r>
      <t xml:space="preserve">Upravený rozpočet                                                                                                                                                                                                                                                                                                                                                                                                                                                                                                                                         k 31.08.2023
</t>
    </r>
    <r>
      <rPr>
        <sz val="9"/>
        <rFont val="Arial CE"/>
        <charset val="238"/>
      </rPr>
      <t>(v Kč)</t>
    </r>
  </si>
  <si>
    <r>
      <t xml:space="preserve">Skutečnost za
k 31.08.2023
</t>
    </r>
    <r>
      <rPr>
        <sz val="9"/>
        <rFont val="Arial CE"/>
        <charset val="238"/>
      </rPr>
      <t>(v Kč)</t>
    </r>
  </si>
  <si>
    <t>Investiční přijaté transfery ze státních fondů</t>
  </si>
  <si>
    <r>
      <rPr>
        <sz val="9"/>
        <rFont val="Arial CE"/>
        <charset val="238"/>
      </rPr>
      <t>741/----/</t>
    </r>
    <r>
      <rPr>
        <b/>
        <sz val="10"/>
        <rFont val="Arial CE"/>
        <charset val="238"/>
      </rPr>
      <t>1361</t>
    </r>
    <r>
      <rPr>
        <sz val="9"/>
        <rFont val="Arial CE"/>
        <charset val="238"/>
      </rPr>
      <t>/7014</t>
    </r>
  </si>
  <si>
    <r>
      <t>009/----/</t>
    </r>
    <r>
      <rPr>
        <b/>
        <sz val="10"/>
        <rFont val="Arial CE"/>
        <charset val="238"/>
      </rPr>
      <t>1381</t>
    </r>
    <r>
      <rPr>
        <sz val="9"/>
        <rFont val="Arial CE"/>
        <charset val="238"/>
      </rPr>
      <t>/----/7004</t>
    </r>
  </si>
  <si>
    <r>
      <t>009/----/</t>
    </r>
    <r>
      <rPr>
        <b/>
        <sz val="10"/>
        <rFont val="Arial CE"/>
        <charset val="238"/>
      </rPr>
      <t>1385</t>
    </r>
    <r>
      <rPr>
        <sz val="9"/>
        <rFont val="Arial CE"/>
        <charset val="238"/>
      </rPr>
      <t>/----/7005</t>
    </r>
  </si>
  <si>
    <r>
      <rPr>
        <sz val="9"/>
        <rFont val="Arial CE"/>
        <charset val="238"/>
      </rPr>
      <t>741/----/</t>
    </r>
    <r>
      <rPr>
        <b/>
        <sz val="10"/>
        <rFont val="Arial CE"/>
        <family val="2"/>
        <charset val="238"/>
      </rPr>
      <t>1511</t>
    </r>
  </si>
  <si>
    <r>
      <t xml:space="preserve">Odvádění odpadních vod </t>
    </r>
    <r>
      <rPr>
        <sz val="10"/>
        <rFont val="Arial CE"/>
        <charset val="238"/>
      </rPr>
      <t>(DSO regionu Novojičínska: od r. 2023 přesunuto na ORJ 102)</t>
    </r>
  </si>
  <si>
    <r>
      <t>Finanční vypořádání Veolia Energie ČR</t>
    </r>
    <r>
      <rPr>
        <b/>
        <sz val="9"/>
        <rFont val="Arial CE"/>
        <charset val="238"/>
      </rPr>
      <t xml:space="preserve"> </t>
    </r>
    <r>
      <rPr>
        <sz val="10"/>
        <rFont val="Arial CE"/>
        <charset val="238"/>
      </rPr>
      <t>(dle fakturace skutečně odebraného množství GJ 2020-2022)</t>
    </r>
  </si>
  <si>
    <r>
      <t xml:space="preserve">Vnitřní obchod </t>
    </r>
    <r>
      <rPr>
        <sz val="9"/>
        <rFont val="Arial CE"/>
        <family val="2"/>
        <charset val="238"/>
      </rPr>
      <t>(ostatní služby 15)</t>
    </r>
  </si>
  <si>
    <r>
      <t xml:space="preserve">Návrh na rok 2024                                                                                                                                      </t>
    </r>
    <r>
      <rPr>
        <sz val="10"/>
        <rFont val="Arial CE"/>
        <charset val="238"/>
      </rPr>
      <t xml:space="preserve">   (v Kč)</t>
    </r>
  </si>
  <si>
    <r>
      <rPr>
        <b/>
        <sz val="10"/>
        <rFont val="Arial CE"/>
        <charset val="238"/>
      </rPr>
      <t xml:space="preserve">Bytové hospodářství </t>
    </r>
    <r>
      <rPr>
        <sz val="10"/>
        <rFont val="Arial CE"/>
        <charset val="238"/>
      </rPr>
      <t>(úroky z úvěru u ČS)</t>
    </r>
  </si>
  <si>
    <r>
      <t>2310440/741/</t>
    </r>
    <r>
      <rPr>
        <b/>
        <sz val="9"/>
        <rFont val="Arial CE"/>
        <charset val="238"/>
      </rPr>
      <t>2321</t>
    </r>
    <r>
      <rPr>
        <sz val="9"/>
        <rFont val="Arial CE"/>
        <charset val="238"/>
      </rPr>
      <t>/5169</t>
    </r>
  </si>
  <si>
    <t xml:space="preserve">             § 6171 sankce za porušení rozpočtové kázně (dotace)</t>
  </si>
  <si>
    <r>
      <t>741/6171/</t>
    </r>
    <r>
      <rPr>
        <b/>
        <sz val="10"/>
        <rFont val="Arial CE"/>
        <charset val="238"/>
      </rPr>
      <t>2324</t>
    </r>
    <r>
      <rPr>
        <sz val="9"/>
        <rFont val="Arial CE"/>
        <family val="2"/>
        <charset val="238"/>
      </rPr>
      <t>/----,0222</t>
    </r>
  </si>
  <si>
    <r>
      <t xml:space="preserve">z toho: § 3111 MŠ vratka příspěvku na energie </t>
    </r>
    <r>
      <rPr>
        <sz val="9"/>
        <rFont val="Arial CE"/>
        <charset val="238"/>
      </rPr>
      <t>(Sady 159,66195, Máj 91,05159)</t>
    </r>
  </si>
  <si>
    <t>3111,3113,3233</t>
  </si>
  <si>
    <t xml:space="preserve">             vratky příjmů z minulých let (stavební úřad)</t>
  </si>
  <si>
    <t xml:space="preserve">           § 2169 stavební úřad </t>
  </si>
  <si>
    <t xml:space="preserve">           § 3635 územní plánování - úhrada nákladů na pořízení změny č. 8 ÚP NJ </t>
  </si>
  <si>
    <r>
      <t xml:space="preserve">z toho:  § 2141 vnitřní obchod </t>
    </r>
    <r>
      <rPr>
        <sz val="9"/>
        <rFont val="Arial CE"/>
        <charset val="238"/>
      </rPr>
      <t>(Obecní živnostenský úřad: ve správním řízení 5, v blokovém řízení 10)</t>
    </r>
  </si>
  <si>
    <t xml:space="preserve">            § 6402 vratka TSM NJ (stř.pohřebnictví)</t>
  </si>
  <si>
    <t xml:space="preserve">            § 3412 Zimní stadión z.s.-vratka příspěvku na provoz</t>
  </si>
  <si>
    <r>
      <t xml:space="preserve">Vnitřní obchod  </t>
    </r>
    <r>
      <rPr>
        <b/>
        <sz val="9"/>
        <rFont val="Arial CE"/>
        <charset val="238"/>
      </rPr>
      <t xml:space="preserve">- </t>
    </r>
    <r>
      <rPr>
        <sz val="9"/>
        <rFont val="Arial CE"/>
        <charset val="238"/>
      </rPr>
      <t>opravy a údržba 14,25, materiál 47,65 služby 51,87, příspěvek TSM celkem (jarmarky, vánoční strom, výzdoba,…) 582, pohoštění 6,27 DHM 169,29</t>
    </r>
  </si>
  <si>
    <r>
      <t>Mezinárodní spolupráce</t>
    </r>
    <r>
      <rPr>
        <sz val="9"/>
        <rFont val="Arial CE"/>
        <charset val="238"/>
      </rPr>
      <t xml:space="preserve"> - materiál 150, materiál DPH 20, PHM 15, nájemné 40, služby 500, cestovné 77, pohoštění 250, dohody 5,5, poštovné 5,5, ostatní nákupy 5,5,, věcné dary 5,5.</t>
    </r>
  </si>
  <si>
    <r>
      <t xml:space="preserve">             podpora sociálních služeb dle zákona o soc.službách (org. 1113), </t>
    </r>
    <r>
      <rPr>
        <sz val="8"/>
        <rFont val="Arial CE"/>
        <charset val="238"/>
      </rPr>
      <t>vč. spolufinancování obcí 1.459.028 Kč</t>
    </r>
  </si>
  <si>
    <r>
      <t xml:space="preserve">             podpora občanů města v pobytových soc. zařízeních (org. 1114), </t>
    </r>
    <r>
      <rPr>
        <sz val="8"/>
        <rFont val="Arial CE"/>
        <charset val="238"/>
      </rPr>
      <t>vč. spolufinancování obcí 1.203.095 Kč</t>
    </r>
  </si>
  <si>
    <r>
      <t xml:space="preserve">              § 4379 v klubech seniorů </t>
    </r>
    <r>
      <rPr>
        <sz val="9"/>
        <rFont val="Arial CE"/>
        <family val="2"/>
        <charset val="238"/>
      </rPr>
      <t xml:space="preserve">(nájmy: dlouhodobé 10/10, krátkodobé 5/5) </t>
    </r>
  </si>
  <si>
    <t xml:space="preserve">                  - příspěvek na investice </t>
  </si>
  <si>
    <r>
      <t xml:space="preserve">                               - příspěvek na údržbu </t>
    </r>
    <r>
      <rPr>
        <sz val="9"/>
        <rFont val="Arial CE"/>
        <family val="2"/>
        <charset val="238"/>
      </rPr>
      <t xml:space="preserve">(malování a nátěry 100, výměna podlahových krytin 54, oprava soc.zař. MŠ Vanč. 30, dorozumívací zař. MŠ KČ 117, výměna sklepních oken 20, oprava plotu MŠ Loučka 2.etapa 134) </t>
    </r>
  </si>
  <si>
    <r>
      <t xml:space="preserve">             kompenzace ztráty dopravci za </t>
    </r>
    <r>
      <rPr>
        <sz val="10"/>
        <rFont val="Arial CE"/>
        <charset val="238"/>
      </rPr>
      <t>provozování cyklo-ski busu</t>
    </r>
  </si>
  <si>
    <r>
      <t xml:space="preserve">             § 2223 pokuty-vážení </t>
    </r>
    <r>
      <rPr>
        <sz val="9"/>
        <color theme="1"/>
        <rFont val="Arial CE"/>
        <charset val="238"/>
      </rPr>
      <t>(Odbor dopravy)</t>
    </r>
  </si>
  <si>
    <r>
      <t xml:space="preserve">             § 6171 pokuty </t>
    </r>
    <r>
      <rPr>
        <sz val="9"/>
        <rFont val="Arial CE"/>
        <family val="2"/>
        <charset val="238"/>
      </rPr>
      <t>(Odbor správních agend OP 13, CD 2)</t>
    </r>
  </si>
  <si>
    <t>Volby do Evropského Parlamentu</t>
  </si>
  <si>
    <r>
      <t xml:space="preserve">z toho </t>
    </r>
    <r>
      <rPr>
        <b/>
        <sz val="10"/>
        <rFont val="Arial CE"/>
        <charset val="238"/>
      </rPr>
      <t>Denní stacionář=Domovinka</t>
    </r>
    <r>
      <rPr>
        <b/>
        <sz val="9"/>
        <rFont val="Arial CE"/>
        <charset val="238"/>
      </rPr>
      <t xml:space="preserve"> (org.1391)</t>
    </r>
    <r>
      <rPr>
        <sz val="9"/>
        <rFont val="Arial CE"/>
        <charset val="238"/>
      </rPr>
      <t>: platy 1040+ 410, dohody 60, zákonné odvody270+103 96+40, ochr.os.pomůcky 8, prádlo+oděv 1,5, knihy+tisk 1, DHM 15, materiál 32, elektrická energie 17, služby telekomunikací 1, školení a vzdělávání 10, zpracování dat 10, služby 33, opravy a údržba 58, cestovné 1, účastn.popl.na konferencích 2,5, náhrady mezd v době nemoci  5+10</t>
    </r>
  </si>
  <si>
    <r>
      <t xml:space="preserve">z toho </t>
    </r>
    <r>
      <rPr>
        <b/>
        <sz val="10"/>
        <rFont val="Arial CE"/>
        <charset val="238"/>
      </rPr>
      <t>Pečovatelská služba</t>
    </r>
    <r>
      <rPr>
        <b/>
        <sz val="9"/>
        <rFont val="Arial CE"/>
        <charset val="238"/>
      </rPr>
      <t xml:space="preserve"> (org.390)</t>
    </r>
    <r>
      <rPr>
        <sz val="9"/>
        <rFont val="Arial CE"/>
        <charset val="238"/>
      </rPr>
      <t xml:space="preserve">: platy4530+785, dohody 60+50, zákonné odvody 1150+237, 408+71, potraviny 1, ochranné osobní pomůcky 40, léky+zdrav.mater.3, prádlo+oděv 2, knihy+tisk 1,5, DHM  80, materiál  120, elektř. 83, PHM 120, služby telekomunikací 0, mobily 12, pevné linky 3, školení a vzdělávání 50, zpracování dat 40, služby 70, opravy a udržování 150, cestovné 20, účastnické poplatky na konference 12, ostatní nákupy 0, neinvestiční transfery spolkům 3,5, náhrady mezd v době nemoci 83+20, dopravní prostředky 0   </t>
    </r>
  </si>
  <si>
    <r>
      <t xml:space="preserve">z toho </t>
    </r>
    <r>
      <rPr>
        <b/>
        <sz val="10"/>
        <rFont val="Arial CE"/>
        <charset val="238"/>
      </rPr>
      <t xml:space="preserve">Odlehčovací služba Pohoda </t>
    </r>
    <r>
      <rPr>
        <b/>
        <sz val="9"/>
        <rFont val="Arial CE"/>
        <charset val="238"/>
      </rPr>
      <t>(org.1393)</t>
    </r>
    <r>
      <rPr>
        <sz val="9"/>
        <rFont val="Arial CE"/>
        <charset val="238"/>
      </rPr>
      <t xml:space="preserve">: platy 3360+940, dohody 400, zákonné odvody 900+235,  350+85, OOP+oděvy 20+8, DHM 45, materiál 60, elektř.30, telef. 1, školení a vzdělávání 25, zpracování dat 20, služby 50, opravy a údržba 15, cestovné 1, poplatky na konference 2,5, náhrady v době nemoci  80+15                                               </t>
    </r>
  </si>
  <si>
    <t xml:space="preserve">z toho investice: nákup 2 vozidel </t>
  </si>
  <si>
    <t xml:space="preserve">                                        - Nákup zahradního traktoru s hydraulickým vyprazdňováním koše</t>
  </si>
  <si>
    <t xml:space="preserve">                                        - nákup 14 ks polohov.lehátek pro venkovní ochlazovnu (100), hliníkové nosné plošiny (80), odstředivka plavek (45.254) pol. 6122</t>
  </si>
  <si>
    <t xml:space="preserve">          - příspěvek Basketbalovému klubu, z.s. (provoz+energie)  + oprava dešťových svodů (500)       AÚ 437 </t>
  </si>
  <si>
    <t xml:space="preserve">          - nákup DDHM a ost.materiálu  5137 (nákup 8ks lehátek pro saunový provoz), 5139 </t>
  </si>
  <si>
    <t xml:space="preserve">                          - generální opravy volných bytů (vrácené byty zdevastované nebo po exekucích) </t>
  </si>
  <si>
    <t xml:space="preserve">                          - PD a posudky opravy střech, fasád, odvlhčení domů ve správě OB, apod.</t>
  </si>
  <si>
    <t xml:space="preserve">                          - generální opravy bytů v MPR ( pro ORI nad 1 mil)</t>
  </si>
  <si>
    <t xml:space="preserve">             úsek 1 (p. Kabuďová ):  </t>
  </si>
  <si>
    <t xml:space="preserve">                             DPS Pod Lipami - výměna vstupních dveří</t>
  </si>
  <si>
    <t xml:space="preserve">             úsek 2 + MPR (p. Honešová): </t>
  </si>
  <si>
    <t xml:space="preserve">             úsek 2 - MPR (p. Honešová):  </t>
  </si>
  <si>
    <t xml:space="preserve">                         - akce úsek 2 celkem: </t>
  </si>
  <si>
    <t xml:space="preserve">             TSM  - požadavky Redmine, OB příspěvek - AÚ 0800, po. 5169</t>
  </si>
  <si>
    <t xml:space="preserve">              Příspěvek na investice TSM  (AÚ 0800, pol. 6351) garážová vrata, oplechování a zateplení garáží  110 + výměna VO 40</t>
  </si>
  <si>
    <t xml:space="preserve">              Příspěvek na investice TSM  (AÚ 0800, pol. 6351) - Administrativní budova: Klimatizační jednotka 2.patro - PD vč.realizace        (520), Zateplení stropu pod střechou ( 80)</t>
  </si>
  <si>
    <t xml:space="preserve">            - elektřina  </t>
  </si>
  <si>
    <t xml:space="preserve">z toho:  PD pro NP </t>
  </si>
  <si>
    <t xml:space="preserve">            služby + revize org. 0518 - nebytové domy </t>
  </si>
  <si>
    <t xml:space="preserve">            služby + revize org. 8518  Hűckelovy vily (Smlouva správce)</t>
  </si>
  <si>
    <t xml:space="preserve">            dohody+odvody - Bludovice, Straník, Kojetín, Žilina   AÚ0 800</t>
  </si>
  <si>
    <t xml:space="preserve">            TSM - provoz veřejných WC+WC u letního kina AÚ 0800</t>
  </si>
  <si>
    <t xml:space="preserve">            TSM - požadavky Redmine, OB příspěvek - AÚ 0800, pol. 5169</t>
  </si>
  <si>
    <t xml:space="preserve">              Příspěvek na TSM  výměna PVC v šatně - 120.000 Kč, oprava venkovního schodiště a opěrné zídky v areálu TS Nový Jičín - 60.000 Kč pol. 5331 AU 0800</t>
  </si>
  <si>
    <t xml:space="preserve">             úsek 5 - NP + NP v MPR (p. Friedecká, Černochová)</t>
  </si>
  <si>
    <t xml:space="preserve">                           Msgr. Šrámka 11 - zubní poliklinika - oprava omítek, střechy, atika, dveře u ordinací</t>
  </si>
  <si>
    <t xml:space="preserve">                                    Loučka 90</t>
  </si>
  <si>
    <t xml:space="preserve">                                    Straník 80 (nepředvídatelné opravy)</t>
  </si>
  <si>
    <t xml:space="preserve">                                    SK Straník 147 (oprava fasády, nová podlaha v tělocvičně, výměna oken - II. část) </t>
  </si>
  <si>
    <t xml:space="preserve">                                    Bludovice 13  - drobné opravy</t>
  </si>
  <si>
    <t xml:space="preserve">                                    Kojetín 7 - stavební úpravy (dětská herna, tělocvična), oprava dlažby a osvětlení ve volební místnosti </t>
  </si>
  <si>
    <t>z toho opravy:  nepředvídané opravy a havárie teplovodů , výměna potrubí TUV Loučka 300</t>
  </si>
  <si>
    <t xml:space="preserve">             nepředvídané opravy tepelného hospodářství (havarie OPS, přípojek a potrubí TUV, rozvodů tepla a prostupů)</t>
  </si>
  <si>
    <t xml:space="preserve">             PD a realizace - 10 ks měření a regulace OPS</t>
  </si>
  <si>
    <t xml:space="preserve">            Azylový dům Nový Jičín (výměna vnitřních dveří, oprava pokojů v 1. patře, oprava plotu a střechy)</t>
  </si>
  <si>
    <t xml:space="preserve">            komplexní řízení energetiky - software energetický management ENSYTRA a roční poplatek (pol. 5168)</t>
  </si>
  <si>
    <t xml:space="preserve">            PD - projektování v tepelném hospodářství</t>
  </si>
  <si>
    <r>
      <t xml:space="preserve">              § 3612 z bytů v majetku města</t>
    </r>
    <r>
      <rPr>
        <sz val="9"/>
        <rFont val="Arial CE"/>
        <charset val="238"/>
      </rPr>
      <t xml:space="preserve"> (Odbor bytový: nájmy, zálohy na služby, pacht Suvorovova 480)</t>
    </r>
  </si>
  <si>
    <r>
      <t xml:space="preserve">              § 3613 v nebytových prostorech </t>
    </r>
    <r>
      <rPr>
        <sz val="9"/>
        <rFont val="Arial CE"/>
        <charset val="238"/>
      </rPr>
      <t>(Odbor bytový: nájmy 13000, zálohy na služby 1700, kryté stání Loučka 300, krátkodobé 50, Hotel Praha 746)</t>
    </r>
  </si>
  <si>
    <t xml:space="preserve">             nebytový dům U Jezu - Charita</t>
  </si>
  <si>
    <r>
      <t>Chata Jičínka-</t>
    </r>
    <r>
      <rPr>
        <b/>
        <sz val="10"/>
        <rFont val="Arial CE"/>
        <charset val="238"/>
      </rPr>
      <t>org.4381</t>
    </r>
    <r>
      <rPr>
        <sz val="10"/>
        <rFont val="Arial CE"/>
        <family val="2"/>
        <charset val="238"/>
      </rPr>
      <t xml:space="preserve"> </t>
    </r>
    <r>
      <rPr>
        <sz val="9"/>
        <rFont val="Arial CE"/>
        <charset val="238"/>
      </rPr>
      <t xml:space="preserve">(v tom: drobný hmotný majetek 80, materiál 20, voda 11, elektr.energie 170, PHM 1, služby-praní, odpady,... 30, opravy a udržování 150, místní poplatky 20, </t>
    </r>
    <r>
      <rPr>
        <b/>
        <sz val="9"/>
        <rFont val="Arial CE"/>
        <charset val="238"/>
      </rPr>
      <t>investice:</t>
    </r>
    <r>
      <rPr>
        <sz val="9"/>
        <rFont val="Arial CE"/>
        <charset val="238"/>
      </rPr>
      <t xml:space="preserve"> další etapa - rekonstrukce střechy, spol. místnost a terenní úpravy 500)</t>
    </r>
  </si>
  <si>
    <r>
      <t xml:space="preserve">Požární ochrana - profesionální část </t>
    </r>
    <r>
      <rPr>
        <sz val="9"/>
        <rFont val="Arial CE"/>
        <family val="2"/>
        <charset val="238"/>
      </rPr>
      <t>(příspěvek HZS MSK dle smlouvy zvýšené o inflaci - předpoklad 10 %)</t>
    </r>
  </si>
  <si>
    <r>
      <t xml:space="preserve">Požární ochrana - dobrovolná část </t>
    </r>
    <r>
      <rPr>
        <sz val="9"/>
        <rFont val="Arial CE"/>
        <family val="2"/>
        <charset val="238"/>
      </rPr>
      <t>(pro hasiče Straník: OOPP 20, DHM - vysoušeč, svítilny 25, materiál 10, PHM 15, služby+internet 5, nákup služeb-technické prohlídky vozidel, měření emisí, výměna pneu,... 10, opravy a udržování-příprava na STK, drobné opravy vozového parku 40)</t>
    </r>
  </si>
  <si>
    <r>
      <t xml:space="preserve">z toho </t>
    </r>
    <r>
      <rPr>
        <b/>
        <sz val="9"/>
        <rFont val="Arial CE"/>
        <charset val="238"/>
      </rPr>
      <t>provoz</t>
    </r>
    <r>
      <rPr>
        <sz val="9"/>
        <rFont val="Arial CE"/>
        <charset val="238"/>
      </rPr>
      <t>: činnost místní správy-</t>
    </r>
    <r>
      <rPr>
        <b/>
        <sz val="9"/>
        <rFont val="Arial CE"/>
        <charset val="238"/>
      </rPr>
      <t>org.381</t>
    </r>
    <r>
      <rPr>
        <sz val="9"/>
        <rFont val="Arial CE"/>
        <charset val="238"/>
      </rPr>
      <t xml:space="preserve"> v tom: odměny za užití duševního vlastnictví-OSA 40, ochranné pomůcky - OOPP pro nové zaměstnance a obměna stávajících 40, léky a zdrav.materiál 6, knihy+učební pomůcky+tisk 100, Novojičínský zpravodaj 500, drobný hmotný majetek-nábytek 1000, mobily, skartovačky, kan.židle, skříně, police 380, podlah.krytiny 200, materiál-kancelářský, hygienický, čistící, doručovací, ikebana, automobily-mazadla, nemrznoucí směsi,... 1075, voda 444, teplo 3150, elektr.energie 2550, pevná paliva 5, PHM 170, služby pošt 2310, telekomun.120, nájemné 140, právní služby 357,4, služby BOZP 72,6, bezplatné právní služby pro veřejnost 50, zpracování dat 281, služby vč. úklidu,servisu kopírek, elektrorevize 4285, opravy a udržování - servis vozidel 300,opravy židlí 20, příp. škodní události 100, malování, nátěry oken a dveří 450, Div. 8 garáže - oprava kanalizace, oprava garážových vrat 30,  ostatní opravy 1000, okna sekretariát VM 150, Div. 1 kanalizace 400, Div. 1 střešní okna 950, Div. 8 brána a zeď 350, pohoštění 200, ostatní nákupy (čl. přísp. auditorů a tajemníků) 4,5, daně a poplatky vč. dálničních známek 30, ostatní výdaje 2, </t>
    </r>
  </si>
  <si>
    <r>
      <t>z toho</t>
    </r>
    <r>
      <rPr>
        <b/>
        <sz val="9"/>
        <rFont val="Arial CE"/>
        <family val="2"/>
        <charset val="238"/>
      </rPr>
      <t xml:space="preserve"> investice: </t>
    </r>
    <r>
      <rPr>
        <sz val="9"/>
        <rFont val="Arial CE"/>
        <family val="2"/>
        <charset val="238"/>
      </rPr>
      <t>činnost místní správy-</t>
    </r>
    <r>
      <rPr>
        <b/>
        <sz val="9"/>
        <rFont val="Arial CE"/>
        <family val="2"/>
        <charset val="238"/>
      </rPr>
      <t>org.381:</t>
    </r>
    <r>
      <rPr>
        <sz val="9"/>
        <rFont val="Arial CE"/>
        <family val="2"/>
        <charset val="238"/>
      </rPr>
      <t xml:space="preserve"> soubor nábytku, koberec, kuch. linky 100, sl. vozidlo 1500</t>
    </r>
  </si>
  <si>
    <r>
      <t xml:space="preserve">Úsek informatiky </t>
    </r>
    <r>
      <rPr>
        <sz val="9"/>
        <rFont val="Arial CE"/>
        <charset val="238"/>
      </rPr>
      <t xml:space="preserve">- </t>
    </r>
    <r>
      <rPr>
        <b/>
        <sz val="9"/>
        <rFont val="Arial CE"/>
        <charset val="238"/>
      </rPr>
      <t>provoz - org.3381</t>
    </r>
    <r>
      <rPr>
        <sz val="9"/>
        <rFont val="Arial CE"/>
        <charset val="238"/>
      </rPr>
      <t xml:space="preserve"> (v tom: drobný hmotný majetek-nové PC a LCD monitory, notebooky, kopírky, tiskárny, web kamera - nový HW, drobné síťové prvky, UPS 790, materiál 195, nájemné 40, školení 50, služby zpracování dat 3097,3, ost.služby-znalecké posudky, osvědčení, proj. dokumentace kybernetická bezpečnost NIS2 200, opravy a udržování 240, nákup softwaru 70.</t>
    </r>
  </si>
  <si>
    <r>
      <t>Úsek informatiky</t>
    </r>
    <r>
      <rPr>
        <b/>
        <sz val="9"/>
        <rFont val="Arial CE"/>
        <charset val="238"/>
      </rPr>
      <t xml:space="preserve"> </t>
    </r>
    <r>
      <rPr>
        <sz val="9"/>
        <rFont val="Arial CE"/>
        <charset val="238"/>
      </rPr>
      <t xml:space="preserve">- </t>
    </r>
    <r>
      <rPr>
        <b/>
        <sz val="9"/>
        <rFont val="Arial CE"/>
        <charset val="238"/>
      </rPr>
      <t xml:space="preserve">investice - org.3381 </t>
    </r>
    <r>
      <rPr>
        <sz val="9"/>
        <rFont val="Arial CE"/>
        <charset val="238"/>
      </rPr>
      <t xml:space="preserve">programové vybavení - rozvoj GIS 200, nákup IS 1162,81, nákup SW -office 2023 700, nový plotr 60, nákup scaneru A3 70. </t>
    </r>
  </si>
  <si>
    <r>
      <t>Dotace na OSPOD-</t>
    </r>
    <r>
      <rPr>
        <b/>
        <sz val="10"/>
        <rFont val="Arial CE"/>
        <charset val="238"/>
      </rPr>
      <t>org. 1385</t>
    </r>
    <r>
      <rPr>
        <sz val="10"/>
        <rFont val="Arial CE"/>
        <family val="2"/>
        <charset val="238"/>
      </rPr>
      <t xml:space="preserve"> </t>
    </r>
    <r>
      <rPr>
        <sz val="9"/>
        <rFont val="Arial CE"/>
        <family val="2"/>
        <charset val="238"/>
      </rPr>
      <t xml:space="preserve">(v tom: knihy 5, DHM 30, materiál 30, PHM 40, služby telekomunikací 18, zpracování dat 72,6, ostatní služby 10, nájemné - leasing 140,3, služby peněžních ústavů - pojištění 15,114) </t>
    </r>
  </si>
  <si>
    <r>
      <t xml:space="preserve">              § 3613 v nebytových prostorech </t>
    </r>
    <r>
      <rPr>
        <sz val="9"/>
        <rFont val="Arial CE"/>
        <family val="2"/>
        <charset val="238"/>
      </rPr>
      <t>(Odbor organizační: Div.8-Policie ČR, Glogar; Dlouhá - Náš-Net, Tesařová kancelář Div. 8)</t>
    </r>
  </si>
  <si>
    <r>
      <t xml:space="preserve">Příjem z pronájmu nebo pachtu pozemků </t>
    </r>
    <r>
      <rPr>
        <sz val="9"/>
        <rFont val="Arial CE"/>
        <charset val="238"/>
      </rPr>
      <t>(Odbor správy majetku: s 0% DPH 450, s 21% DPH 550)</t>
    </r>
  </si>
  <si>
    <r>
      <t xml:space="preserve">Ostatní příjmy z vlastní činnosti </t>
    </r>
    <r>
      <rPr>
        <sz val="9"/>
        <rFont val="Arial CE"/>
        <family val="2"/>
        <charset val="238"/>
      </rPr>
      <t>(Odbor správy majetku: věcná břemena s 21% DPH 3000)</t>
    </r>
  </si>
  <si>
    <t xml:space="preserve">             § 2219 odbor správy majetku - pokuty parkoviště Dlouhá</t>
  </si>
  <si>
    <t xml:space="preserve">           § 3633 náklady za připojení CTP Moravia North spol. s r.o., průmyslový park (odbor správy majetku)</t>
  </si>
  <si>
    <t xml:space="preserve">           § 3639 provoz internetu ve Straníku,(kovošrot 0,920), (odbor správy majetku)</t>
  </si>
  <si>
    <r>
      <t xml:space="preserve">             </t>
    </r>
    <r>
      <rPr>
        <sz val="10"/>
        <rFont val="Arial CE"/>
        <family val="2"/>
        <charset val="238"/>
      </rPr>
      <t>RWE GAS Storage (Workoutové hřiště Žilina)</t>
    </r>
  </si>
  <si>
    <t>Přijaté příspěvky od osob na pořízení dlohodobého majetku</t>
  </si>
  <si>
    <r>
      <t xml:space="preserve">           </t>
    </r>
    <r>
      <rPr>
        <sz val="9"/>
        <rFont val="Arial CE"/>
        <charset val="238"/>
      </rPr>
      <t xml:space="preserve">opravy a udržba </t>
    </r>
  </si>
  <si>
    <r>
      <t>0387/2310/</t>
    </r>
    <r>
      <rPr>
        <sz val="8"/>
        <rFont val="Arial CE"/>
        <charset val="238"/>
      </rPr>
      <t>5171</t>
    </r>
  </si>
  <si>
    <r>
      <t xml:space="preserve">           </t>
    </r>
    <r>
      <rPr>
        <sz val="9"/>
        <rFont val="Arial CE"/>
        <charset val="238"/>
      </rPr>
      <t>opravy a udržba ( oprava vodojem Straník 1500)</t>
    </r>
  </si>
  <si>
    <t>0387/2310/5362</t>
  </si>
  <si>
    <r>
      <t xml:space="preserve">           </t>
    </r>
    <r>
      <rPr>
        <sz val="9"/>
        <rFont val="Arial CE"/>
        <charset val="238"/>
      </rPr>
      <t>poplatek - odnětí ze ZPF vodojem Straník</t>
    </r>
  </si>
  <si>
    <t xml:space="preserve">            revize, poplatky, PD k opravám + Svazek obcí dle příkazní smlouvy (242,676 účet 231 0440)</t>
  </si>
  <si>
    <t xml:space="preserve">            opravy a údržba </t>
  </si>
  <si>
    <t xml:space="preserve">             oprava a údržba místních komunikací - město </t>
  </si>
  <si>
    <t xml:space="preserve">             oprava opěrné zdi VT Rakovec (Bařiny)</t>
  </si>
  <si>
    <r>
      <t xml:space="preserve">             </t>
    </r>
    <r>
      <rPr>
        <sz val="10"/>
        <rFont val="Arial CE"/>
        <charset val="238"/>
      </rPr>
      <t>služby - mostní prohlídky 150,  rozpočty 300</t>
    </r>
  </si>
  <si>
    <t xml:space="preserve">             Chodník ke studni + úprava prostoru kolem studny v Žilině</t>
  </si>
  <si>
    <t xml:space="preserve">             Parkoviště Dlouhá č.p. 50, 52</t>
  </si>
  <si>
    <t xml:space="preserve">  investice: úprava kabelových rozvodů ve Straníku </t>
  </si>
  <si>
    <t xml:space="preserve">                                      - opravy a údržba (DH Vančurova, Máchova, Straník...)</t>
  </si>
  <si>
    <t xml:space="preserve"> investice: Houpačka na Kojetíně</t>
  </si>
  <si>
    <t>0382/3412/6121</t>
  </si>
  <si>
    <t xml:space="preserve"> investice: Workoutové hřiště Žilina</t>
  </si>
  <si>
    <t>0517/3631/6351</t>
  </si>
  <si>
    <t xml:space="preserve">             VO - astronomické spínací hodiny pro zabezpečení spínání a vypínání VO TSM</t>
  </si>
  <si>
    <t xml:space="preserve">             výměna osvětlení na náměstí </t>
  </si>
  <si>
    <t>3602/3631/6121</t>
  </si>
  <si>
    <t xml:space="preserve">                    VO B.Martinů, K Nemocnici</t>
  </si>
  <si>
    <t xml:space="preserve">                    VO Štefánikova PD</t>
  </si>
  <si>
    <t xml:space="preserve">              opravy a údržba ( 200 oplocení Hückelovy vily, 500 nátěry dřev. prvků , 300 oplocení ČOV Kojetín) </t>
  </si>
  <si>
    <r>
      <t xml:space="preserve">           </t>
    </r>
    <r>
      <rPr>
        <sz val="9"/>
        <rFont val="Arial CE"/>
        <charset val="238"/>
      </rPr>
      <t>PD k opravám (TDS, BOZP, AD)</t>
    </r>
  </si>
  <si>
    <r>
      <t xml:space="preserve">             příspěvek na investice TSM </t>
    </r>
    <r>
      <rPr>
        <sz val="9"/>
        <rFont val="Arial CE"/>
        <charset val="238"/>
      </rPr>
      <t xml:space="preserve">(2024:hákový nakladač 2 600 tis., přeložka elektriky SD Palackého 150 tis.) </t>
    </r>
  </si>
  <si>
    <r>
      <t xml:space="preserve">z toho: TSM příspěvek na investice </t>
    </r>
    <r>
      <rPr>
        <sz val="9"/>
        <rFont val="Arial CE"/>
        <charset val="238"/>
      </rPr>
      <t>(2024: ramenový nakladač 4 250 mil.)</t>
    </r>
  </si>
  <si>
    <r>
      <t xml:space="preserve">                     Komunikace Žilina, Potoční </t>
    </r>
    <r>
      <rPr>
        <sz val="10"/>
        <color rgb="FFFF0000"/>
        <rFont val="Arial CE"/>
        <charset val="238"/>
      </rPr>
      <t>ukončeno 2023</t>
    </r>
  </si>
  <si>
    <t xml:space="preserve">                     Lávka Novosady</t>
  </si>
  <si>
    <t>6100/2212/6121</t>
  </si>
  <si>
    <r>
      <t xml:space="preserve">                     Stacionární místo pro radar Bludovice </t>
    </r>
    <r>
      <rPr>
        <sz val="10"/>
        <color rgb="FFFF0000"/>
        <rFont val="Arial CE"/>
        <charset val="238"/>
      </rPr>
      <t>ukončeno 2023</t>
    </r>
  </si>
  <si>
    <t xml:space="preserve">                     Lávka Loučka, Za Potokem 90, před poštou</t>
  </si>
  <si>
    <t xml:space="preserve">                    Parkoviště Vančurova, u restaurace Máj - podelná stání (KSD 35)</t>
  </si>
  <si>
    <t xml:space="preserve">                    Parkoviště Vančurova, nové parkoviště u Policie ČR - u garáží (KSD 37)</t>
  </si>
  <si>
    <t xml:space="preserve">                    Parkoviště Hoblíkova PD (KSD 6)</t>
  </si>
  <si>
    <r>
      <t xml:space="preserve">                    Parkoviště Budovatelů, bytové domy 5,7,9 (KSD 7) </t>
    </r>
    <r>
      <rPr>
        <sz val="10"/>
        <color rgb="FFFF0000"/>
        <rFont val="Arial CE"/>
        <charset val="238"/>
      </rPr>
      <t>ukončeno 2023</t>
    </r>
  </si>
  <si>
    <r>
      <t xml:space="preserve">                    Parkovací stání Dlouhá, bytové domy 42 - 48 (KSD 11) </t>
    </r>
    <r>
      <rPr>
        <sz val="10"/>
        <color rgb="FFFF0000"/>
        <rFont val="Arial CE"/>
        <charset val="238"/>
      </rPr>
      <t>ukončeno 2023</t>
    </r>
  </si>
  <si>
    <r>
      <t xml:space="preserve">                    Parkoviště Luční p.č. 218/9 (KSD 23) </t>
    </r>
    <r>
      <rPr>
        <sz val="10"/>
        <color rgb="FFFF0000"/>
        <rFont val="Arial CE"/>
        <charset val="238"/>
      </rPr>
      <t>ukončeno 2023</t>
    </r>
  </si>
  <si>
    <r>
      <t xml:space="preserve">                    Parkoviště Smetanovy sady, bytové domy 20, 22, 24 (KSD 30) </t>
    </r>
    <r>
      <rPr>
        <sz val="10"/>
        <color rgb="FFFF0000"/>
        <rFont val="Arial CE"/>
        <charset val="238"/>
      </rPr>
      <t>ukončeno 2023</t>
    </r>
  </si>
  <si>
    <r>
      <t xml:space="preserve">                    Parkoviště Dlouhá, obytná komunikace, bytové domy 50, 52, (KSD 17) </t>
    </r>
    <r>
      <rPr>
        <sz val="10"/>
        <color rgb="FF0070C0"/>
        <rFont val="Arial CE"/>
        <charset val="238"/>
      </rPr>
      <t>převod OSM</t>
    </r>
  </si>
  <si>
    <t xml:space="preserve">                    Parkoviště Dlouhá, podél komunikace ve svahu, p.č. 608/1 (KSD 18)</t>
  </si>
  <si>
    <t xml:space="preserve">                    Parkoviště na ul. Dlouhá u AZ Sportovní  PD (KSD 16) </t>
  </si>
  <si>
    <r>
      <t xml:space="preserve">                    Regenerace PS Nerudova I. etapa </t>
    </r>
    <r>
      <rPr>
        <sz val="10"/>
        <color rgb="FFFF0000"/>
        <rFont val="Arial CE"/>
        <charset val="238"/>
      </rPr>
      <t>ukončeno 2023</t>
    </r>
  </si>
  <si>
    <t xml:space="preserve">                    Regenerace PS Nerudova V. etapa PD</t>
  </si>
  <si>
    <t xml:space="preserve">                    Cyklopruhy na ul. B. Martinů v Novém Jičíně</t>
  </si>
  <si>
    <r>
      <t xml:space="preserve">                    Autobusová zastávka Žilina, U Požární zbrojnice </t>
    </r>
    <r>
      <rPr>
        <sz val="10"/>
        <color rgb="FFFF0000"/>
        <rFont val="Arial CE"/>
        <charset val="238"/>
      </rPr>
      <t>ukončena 2023</t>
    </r>
  </si>
  <si>
    <t>1402/3111/6121</t>
  </si>
  <si>
    <t>1407/3113/6121</t>
  </si>
  <si>
    <r>
      <t xml:space="preserve">                   ZŠ Komenského 68 - oprava a nátěr střechy </t>
    </r>
    <r>
      <rPr>
        <sz val="10"/>
        <color rgb="FFFF0000"/>
        <rFont val="Arial CE"/>
        <charset val="238"/>
      </rPr>
      <t>ukončeno 2023</t>
    </r>
  </si>
  <si>
    <t>1410/3113/6125</t>
  </si>
  <si>
    <t>1411/3113/6121</t>
  </si>
  <si>
    <r>
      <t xml:space="preserve">Předškolní zařízení </t>
    </r>
    <r>
      <rPr>
        <sz val="9"/>
        <rFont val="Arial CE"/>
      </rPr>
      <t>(účet 2310800)</t>
    </r>
  </si>
  <si>
    <r>
      <rPr>
        <b/>
        <sz val="10"/>
        <rFont val="Arial CE"/>
        <charset val="238"/>
      </rPr>
      <t>Školní zařízení</t>
    </r>
    <r>
      <rPr>
        <sz val="10"/>
        <rFont val="Arial CE"/>
        <charset val="238"/>
      </rPr>
      <t xml:space="preserve"> (účet 2310800)</t>
    </r>
  </si>
  <si>
    <t>1388/3639/5212</t>
  </si>
  <si>
    <t>1388/3639/5213</t>
  </si>
  <si>
    <t>1388/3639/5532</t>
  </si>
  <si>
    <r>
      <t xml:space="preserve">                               - příspěvek na údržbu </t>
    </r>
    <r>
      <rPr>
        <sz val="9"/>
        <rFont val="Arial CE"/>
        <family val="2"/>
        <charset val="238"/>
      </rPr>
      <t xml:space="preserve">(malování a nátěry 61, výměna podlahových krytin 153) po zapojení FI a FR 200 </t>
    </r>
  </si>
  <si>
    <t xml:space="preserve">                               - příspěvek na investice </t>
  </si>
  <si>
    <r>
      <t xml:space="preserve">                          MŠ Máj</t>
    </r>
    <r>
      <rPr>
        <sz val="11"/>
        <rFont val="Calibri"/>
        <family val="2"/>
        <charset val="238"/>
        <scheme val="minor"/>
      </rPr>
      <t xml:space="preserve"> (org. 307)</t>
    </r>
  </si>
  <si>
    <r>
      <t xml:space="preserve">                               - příspěvek na investice</t>
    </r>
    <r>
      <rPr>
        <sz val="9"/>
        <rFont val="Arial CE"/>
        <family val="2"/>
        <charset val="238"/>
      </rPr>
      <t xml:space="preserve"> (</t>
    </r>
    <r>
      <rPr>
        <sz val="9"/>
        <rFont val="Arial CE"/>
        <charset val="238"/>
      </rPr>
      <t>multifunkční varný kotel 700) zapoejní FI a FR 300</t>
    </r>
  </si>
  <si>
    <r>
      <t xml:space="preserve">                               - příspěvek na údržbu </t>
    </r>
    <r>
      <rPr>
        <sz val="9"/>
        <rFont val="Arial CE"/>
        <family val="2"/>
        <charset val="238"/>
      </rPr>
      <t>(oprava soc.zař. MŠ Kom , vč. PD 252, výměna podlahových krytin 100, malování a nátěry 110, oprava zahradního domku MŠ Beskydská 106</t>
    </r>
    <r>
      <rPr>
        <sz val="9"/>
        <rFont val="Arial CE"/>
        <family val="2"/>
        <charset val="238"/>
      </rPr>
      <t xml:space="preserve">) po zapojení FI a FR 100 </t>
    </r>
  </si>
  <si>
    <r>
      <t xml:space="preserve">                               - příspěvek na investice </t>
    </r>
    <r>
      <rPr>
        <sz val="9"/>
        <rFont val="Arial CE"/>
        <charset val="238"/>
      </rPr>
      <t>(PD na revitalizaci kotelny 50)</t>
    </r>
  </si>
  <si>
    <r>
      <t xml:space="preserve">                              - přísp.na údržbu</t>
    </r>
    <r>
      <rPr>
        <sz val="9"/>
        <rFont val="Arial CE"/>
        <family val="2"/>
        <charset val="238"/>
      </rPr>
      <t xml:space="preserve"> (Jubilejní: malování a nátěry 275, oprava obkladů soc.zař. 820) ZŠ Dlouhá malování a nátěry 275, oprava dveřních pantů 103, oprava střechy a nátěr pergoly 58) po zapojení FR a FI 400 tis. Kč </t>
    </r>
  </si>
  <si>
    <r>
      <t xml:space="preserve">                              - příspěvek na investice </t>
    </r>
    <r>
      <rPr>
        <sz val="9"/>
        <rFont val="Arial CE"/>
        <family val="2"/>
        <charset val="238"/>
      </rPr>
      <t>(ZŠ Jubilejní: 0</t>
    </r>
    <r>
      <rPr>
        <sz val="9"/>
        <rFont val="Arial CE"/>
        <family val="2"/>
        <charset val="238"/>
      </rPr>
      <t>, ZŠ Dlouhá:</t>
    </r>
    <r>
      <rPr>
        <sz val="9"/>
        <rFont val="Arial CE"/>
        <charset val="238"/>
      </rPr>
      <t xml:space="preserve"> </t>
    </r>
    <r>
      <rPr>
        <sz val="9"/>
        <rFont val="Arial CE"/>
        <charset val="238"/>
      </rPr>
      <t>přístřešek dopravního hřiště 292</t>
    </r>
    <r>
      <rPr>
        <sz val="9"/>
        <rFont val="Arial CE"/>
        <family val="2"/>
        <charset val="238"/>
      </rPr>
      <t>)</t>
    </r>
  </si>
  <si>
    <r>
      <t xml:space="preserve">                              - příspěvek na údržbu </t>
    </r>
    <r>
      <rPr>
        <sz val="9"/>
        <rFont val="Arial CE"/>
        <family val="2"/>
        <charset val="238"/>
      </rPr>
      <t>(malování a nátěry 200, povrchová úprava podlah tělocvičen 600) po zapojení FR a FI 500 tis. Kč</t>
    </r>
  </si>
  <si>
    <r>
      <t xml:space="preserve">                              - příspěvek na údržbu </t>
    </r>
    <r>
      <rPr>
        <sz val="9"/>
        <rFont val="Arial CE"/>
        <family val="2"/>
        <charset val="238"/>
      </rPr>
      <t>(</t>
    </r>
    <r>
      <rPr>
        <sz val="9"/>
        <rFont val="Arial CE"/>
        <family val="2"/>
        <charset val="238"/>
      </rPr>
      <t xml:space="preserve">malování a nátěry 400, výměna trámu na střeše a výměna světlíků 75) po zapojení FR a FI 210 </t>
    </r>
  </si>
  <si>
    <r>
      <t xml:space="preserve">                             - příspěvek na investice</t>
    </r>
    <r>
      <rPr>
        <sz val="9"/>
        <rFont val="Arial CE"/>
        <family val="2"/>
        <charset val="238"/>
      </rPr>
      <t xml:space="preserve"> (</t>
    </r>
    <r>
      <rPr>
        <sz val="9"/>
        <rFont val="Arial CE"/>
        <family val="2"/>
        <charset val="238"/>
      </rPr>
      <t xml:space="preserve">modernizace kamerového sstému 65, zabudování řetězových pohonů na okna v tělocvičně 180, chladicí skříň 75) po zapojení FR a FI  320 tis. Kč </t>
    </r>
  </si>
  <si>
    <r>
      <t xml:space="preserve">                             - příspěvek na údržbu</t>
    </r>
    <r>
      <rPr>
        <sz val="9"/>
        <rFont val="Arial CE"/>
        <family val="2"/>
        <charset val="238"/>
      </rPr>
      <t xml:space="preserve"> (malování a nátěry 200, </t>
    </r>
    <r>
      <rPr>
        <sz val="9"/>
        <rFont val="Arial CE"/>
        <family val="2"/>
        <charset val="238"/>
      </rPr>
      <t xml:space="preserve">poklop na kovovou jímku 100, </t>
    </r>
    <r>
      <rPr>
        <sz val="9"/>
        <rFont val="Arial CE"/>
        <family val="2"/>
        <charset val="238"/>
      </rPr>
      <t>oprava vstupních dveří 127)</t>
    </r>
  </si>
  <si>
    <r>
      <t xml:space="preserve">                             - příspěvek na investice (smažicí pánev 210, bezpečnostní systém 580, </t>
    </r>
    <r>
      <rPr>
        <sz val="10"/>
        <rFont val="Arial CE"/>
        <charset val="238"/>
      </rPr>
      <t>míchací kotel 1 270</t>
    </r>
    <r>
      <rPr>
        <sz val="10"/>
        <rFont val="Arial CE"/>
        <family val="2"/>
        <charset val="238"/>
      </rPr>
      <t xml:space="preserve">, interaktivní tabule 200) po zapojení FR a FI 590  </t>
    </r>
  </si>
  <si>
    <t xml:space="preserve">                  - příspěvek na údržbu (sanace vnitřní části objektu a ventilace skepu 270, malování a nátěry 90) po zapojení FR a FI 360</t>
  </si>
  <si>
    <r>
      <t>Ostatní tělovýchovná činnost</t>
    </r>
    <r>
      <rPr>
        <sz val="11"/>
        <rFont val="Calibri"/>
        <family val="2"/>
        <charset val="238"/>
        <scheme val="minor"/>
      </rPr>
      <t xml:space="preserve"> </t>
    </r>
  </si>
  <si>
    <r>
      <t xml:space="preserve">             příspěvek na údržbu  </t>
    </r>
    <r>
      <rPr>
        <sz val="9"/>
        <rFont val="Arial CE"/>
        <family val="2"/>
        <charset val="238"/>
      </rPr>
      <t xml:space="preserve"> </t>
    </r>
  </si>
  <si>
    <t>z toho: dohody (odborné texty na tabulky, pasport MPR hradební zdi)</t>
  </si>
  <si>
    <t xml:space="preserve">Drobný materiál </t>
  </si>
  <si>
    <t xml:space="preserve">             Propagace v rámci EHD (vlajky a jiné), postřiky hradebních zdí, vč. likvidace náletů, sbírky, rozšíření, posudky, zprac. Programu regenerace MPR, tisk</t>
  </si>
  <si>
    <r>
      <t xml:space="preserve">             Drobné opravy - údržba 50, restaurování kříže Skalky</t>
    </r>
    <r>
      <rPr>
        <sz val="10"/>
        <rFont val="Arial CE"/>
        <charset val="238"/>
      </rPr>
      <t xml:space="preserve"> 150)</t>
    </r>
  </si>
  <si>
    <t>z toho:  drobný materiál 10, oprava kříže a kaplí, pomník P. Vavřík 350,obnova schodů kaple Kojetín 80, obnova kaple Straník výmalba 20, obnoa sochy z kaple Loučka 80,</t>
  </si>
  <si>
    <r>
      <t xml:space="preserve">           -  příspěvek na údržbu </t>
    </r>
    <r>
      <rPr>
        <sz val="9"/>
        <rFont val="Arial CE"/>
        <family val="2"/>
        <charset val="238"/>
      </rPr>
      <t xml:space="preserve">(sanační práce v klubovně Bašta 50, výměna oken Stará pošta, zapojení do PR MPR 330, oprava nátěru plotu kolem knihovny 193) Kino Květen (oprava digit. projektoru 425, výměna externího osvětlení kina 98) zapojení FR a FI 1096 </t>
    </r>
  </si>
  <si>
    <r>
      <t xml:space="preserve">              § 3613 v nebyt.prostorech </t>
    </r>
    <r>
      <rPr>
        <sz val="9"/>
        <rFont val="Arial CE"/>
        <family val="2"/>
        <charset val="238"/>
      </rPr>
      <t>(Odbor správy majetku: nájem plynovodu 100, nájem reklamních ploch 400)</t>
    </r>
  </si>
  <si>
    <t xml:space="preserve">            financování a obnova vodovodu Hodslavice - Straník (odbor správy majetku)</t>
  </si>
  <si>
    <r>
      <t xml:space="preserve">           § 3613 nebytové hospodářství </t>
    </r>
    <r>
      <rPr>
        <sz val="9"/>
        <rFont val="Arial CE"/>
        <charset val="238"/>
      </rPr>
      <t>(odb.bytový: úhrada nákladů soudních řízení+popl.z prodlení)</t>
    </r>
  </si>
  <si>
    <t>3726/3612/6121</t>
  </si>
  <si>
    <t>3725/3613/6121</t>
  </si>
  <si>
    <r>
      <t xml:space="preserve">                    Modernizace kotelny Masarykovo nám. </t>
    </r>
    <r>
      <rPr>
        <sz val="10"/>
        <color rgb="FFFF0000"/>
        <rFont val="Arial CE"/>
        <charset val="238"/>
      </rPr>
      <t>ukončeno 2023</t>
    </r>
  </si>
  <si>
    <r>
      <t xml:space="preserve">                    Modernizace kotelny Pod Lipami 19 </t>
    </r>
    <r>
      <rPr>
        <sz val="10"/>
        <color rgb="FFFF0000"/>
        <rFont val="Arial CE"/>
        <charset val="238"/>
      </rPr>
      <t>ukončeno 2023</t>
    </r>
  </si>
  <si>
    <r>
      <t xml:space="preserve">                    Modernizace kotelny Revoluční 1525/6</t>
    </r>
    <r>
      <rPr>
        <sz val="10"/>
        <color rgb="FFFF0000"/>
        <rFont val="Arial CE"/>
        <charset val="238"/>
      </rPr>
      <t xml:space="preserve"> ukončeno 2023</t>
    </r>
  </si>
  <si>
    <r>
      <t xml:space="preserve">                    Objektové předávací stanice Pod Lipami 1,3,5-7,9,11-13,15,17 </t>
    </r>
    <r>
      <rPr>
        <sz val="10"/>
        <color rgb="FFFF0000"/>
        <rFont val="Arial CE"/>
        <charset val="238"/>
      </rPr>
      <t>ukončeno 2023</t>
    </r>
  </si>
  <si>
    <t>3901/3412/6121</t>
  </si>
  <si>
    <r>
      <t xml:space="preserve">                   Veřejné psí hřiště  </t>
    </r>
    <r>
      <rPr>
        <sz val="10"/>
        <color rgb="FFFF0000"/>
        <rFont val="Arial CE"/>
        <charset val="238"/>
      </rPr>
      <t>ukončeno 2023</t>
    </r>
  </si>
  <si>
    <r>
      <t xml:space="preserve">                   Skatepark u stadionu, sportovní areál </t>
    </r>
    <r>
      <rPr>
        <sz val="10"/>
        <color rgb="FFFF0000"/>
        <rFont val="Arial CE"/>
        <charset val="238"/>
      </rPr>
      <t>ukončeno 2023</t>
    </r>
  </si>
  <si>
    <t xml:space="preserve">                   Tenisová hala B. Martinů PD</t>
  </si>
  <si>
    <t xml:space="preserve">                   Víceúčelová sportovní hala Jičínka PD</t>
  </si>
  <si>
    <r>
      <t xml:space="preserve">                   VO Smetanovy sady a Skalky </t>
    </r>
    <r>
      <rPr>
        <sz val="10"/>
        <color rgb="FFFF0000"/>
        <rFont val="Arial CE"/>
        <charset val="238"/>
      </rPr>
      <t>ukončeno 2023</t>
    </r>
  </si>
  <si>
    <r>
      <t xml:space="preserve">                   VO Štefanikova ČS </t>
    </r>
    <r>
      <rPr>
        <sz val="10"/>
        <color rgb="FFFF0000"/>
        <rFont val="Arial CE"/>
        <charset val="238"/>
      </rPr>
      <t>ukončeno 2023</t>
    </r>
  </si>
  <si>
    <r>
      <t xml:space="preserve">                   VO K Archivu </t>
    </r>
    <r>
      <rPr>
        <sz val="10"/>
        <color rgb="FF0000FF"/>
        <rFont val="Arial CE"/>
        <charset val="238"/>
      </rPr>
      <t>převod OSM</t>
    </r>
  </si>
  <si>
    <t xml:space="preserve">                                na údržbu ZŠ </t>
  </si>
  <si>
    <t xml:space="preserve">                                na investice</t>
  </si>
  <si>
    <r>
      <t>Příjmy z prodeje ostatního hmotného dlouhodobého majetku</t>
    </r>
    <r>
      <rPr>
        <sz val="9"/>
        <rFont val="Arial CE"/>
        <charset val="238"/>
      </rPr>
      <t xml:space="preserve"> (auto 53,2+notebooky ZM 43,2)</t>
    </r>
  </si>
  <si>
    <t xml:space="preserve">           § 6221 humanitární zahraniční pomoc (příspěvek na ubytování ukr.uprchl.v obecních bytech)</t>
  </si>
  <si>
    <t xml:space="preserve">             Pořízení nových vozidel pro ProSenior Nový Jičín II</t>
  </si>
  <si>
    <t xml:space="preserve">             VO Efekt 2023</t>
  </si>
  <si>
    <t xml:space="preserve">             Čestné hroby II</t>
  </si>
  <si>
    <t xml:space="preserve">             Architektonická soutěž</t>
  </si>
  <si>
    <t xml:space="preserve">             Autobusová zastávka Požární zbrojnice</t>
  </si>
  <si>
    <t xml:space="preserve">             Autobusová zastávka ul. Riegrova</t>
  </si>
  <si>
    <t xml:space="preserve">             FVE na budově TSNJ</t>
  </si>
  <si>
    <t xml:space="preserve">            MMR IROP Chodník k autobusové zastávce Bocheta (ÚZ 17969, Ná107 Z5)</t>
  </si>
  <si>
    <r>
      <t xml:space="preserve">Rozhlas a televize </t>
    </r>
    <r>
      <rPr>
        <sz val="10"/>
        <rFont val="Arial CE"/>
        <charset val="238"/>
      </rPr>
      <t>nákup ost. služeb 3109</t>
    </r>
  </si>
  <si>
    <r>
      <t>Dotace na OSPOD-</t>
    </r>
    <r>
      <rPr>
        <b/>
        <sz val="10"/>
        <rFont val="Arial CE"/>
        <charset val="238"/>
      </rPr>
      <t>org. 1385</t>
    </r>
    <r>
      <rPr>
        <sz val="10"/>
        <rFont val="Arial CE"/>
        <family val="2"/>
        <charset val="238"/>
      </rPr>
      <t xml:space="preserve"> </t>
    </r>
    <r>
      <rPr>
        <sz val="9"/>
        <rFont val="Arial CE"/>
        <family val="2"/>
        <charset val="238"/>
      </rPr>
      <t>v tom: platy 6900, dohody 30, zák.odvody 1718,6+623,7, školení 180, cestovné 10</t>
    </r>
  </si>
  <si>
    <r>
      <t>z toho provoz: činnost místní správy-</t>
    </r>
    <r>
      <rPr>
        <b/>
        <sz val="9"/>
        <rFont val="Arial CE"/>
        <charset val="238"/>
      </rPr>
      <t>org.381 (bez OSPODu)</t>
    </r>
    <r>
      <rPr>
        <sz val="9"/>
        <rFont val="Arial CE"/>
        <charset val="238"/>
      </rPr>
      <t xml:space="preserve"> v tom: platy 93200, ost.platy 10, dohody 1400, refundace 10, zák.odvody 23461+8514+520+1, školení a vzdělávání 900, elektronické předplatné 50, léky a zdr. mat. 20, právní služby 50, nákup ostatních služeb 2600, cestovné 350, konference 15, ostatní (ošatné ceremoniářky,matrikářky,hudebníci) 204, náhrady 40, náhrady mezd v nemoci  2000, </t>
    </r>
  </si>
  <si>
    <t xml:space="preserve">                    Křižovatka ul. K Archivu a K Nemocnici PD </t>
  </si>
  <si>
    <t>1065/2219/6121</t>
  </si>
  <si>
    <t>1060/2219/6121</t>
  </si>
  <si>
    <t>1061/2219/6121</t>
  </si>
  <si>
    <t>1062/2219/6121</t>
  </si>
  <si>
    <t>1063/2219/6121</t>
  </si>
  <si>
    <t xml:space="preserve">                    Ostatní materiál (Zdravé město 40)</t>
  </si>
  <si>
    <t>1602/3311/5169</t>
  </si>
  <si>
    <t xml:space="preserve">                   Kino Květen - rekonstrukce studie + PD</t>
  </si>
  <si>
    <r>
      <t xml:space="preserve">                   Sanace Městské knihovny 2.etapa, </t>
    </r>
    <r>
      <rPr>
        <sz val="10"/>
        <color rgb="FFFF0000"/>
        <rFont val="Arial CE"/>
        <charset val="238"/>
      </rPr>
      <t>konec 12/2022</t>
    </r>
  </si>
  <si>
    <t xml:space="preserve">                   Městská knihovna - rekonstrukce knihovního domku PD</t>
  </si>
  <si>
    <t>3731/3612/5169</t>
  </si>
  <si>
    <t>3732/3612/5169</t>
  </si>
  <si>
    <t>3733/3612/5169</t>
  </si>
  <si>
    <t>3734/3612/6121</t>
  </si>
  <si>
    <t>3736/3612/5169</t>
  </si>
  <si>
    <t>3738/3612/6121</t>
  </si>
  <si>
    <t>3739/3612/5169</t>
  </si>
  <si>
    <t>3741/3612/6121</t>
  </si>
  <si>
    <t>3713/3612/6121</t>
  </si>
  <si>
    <t>3742/3613/6121</t>
  </si>
  <si>
    <t>3729/3634/6122</t>
  </si>
  <si>
    <t xml:space="preserve">                   Revitalizace Horního nádraží - pumptrack PD</t>
  </si>
  <si>
    <t>3403/3412/6121</t>
  </si>
  <si>
    <t>3737/2212/6121</t>
  </si>
  <si>
    <t>3743/2212/6121</t>
  </si>
  <si>
    <t xml:space="preserve">             Komunikace ČSAD</t>
  </si>
  <si>
    <r>
      <t xml:space="preserve">            </t>
    </r>
    <r>
      <rPr>
        <sz val="10"/>
        <rFont val="Arial CE"/>
        <family val="2"/>
        <charset val="238"/>
      </rPr>
      <t xml:space="preserve"> Úprava kabelových rozvodů ve Straníku ČEPS, a.s.</t>
    </r>
  </si>
  <si>
    <t xml:space="preserve">            odvod DPH (včetně přenesené daňové povinnosti z účtů výdajového, DPH a odboru bytového)</t>
  </si>
  <si>
    <r>
      <rPr>
        <sz val="9"/>
        <rFont val="Arial CE"/>
        <charset val="238"/>
      </rPr>
      <t>741/----/</t>
    </r>
    <r>
      <rPr>
        <b/>
        <sz val="10"/>
        <rFont val="Arial CE"/>
        <family val="2"/>
        <charset val="238"/>
      </rPr>
      <t>4111</t>
    </r>
    <r>
      <rPr>
        <sz val="9"/>
        <rFont val="Arial CE"/>
        <charset val="238"/>
      </rPr>
      <t>/----/98008</t>
    </r>
  </si>
  <si>
    <t xml:space="preserve">z toho: na volby prezidenta ČR  </t>
  </si>
  <si>
    <t xml:space="preserve">            na společné volby do Parlamentu ČR a zastupitelstev obcí (doplatek)</t>
  </si>
  <si>
    <t xml:space="preserve">            Min.kultury: Oprava střechy na budově radnice (ÚZ 34054)</t>
  </si>
  <si>
    <t xml:space="preserve">            Min.školství, mládeže a tělových.: Operační program J.A.Komenský-státní rozpočet (ÚZ 33092)</t>
  </si>
  <si>
    <t xml:space="preserve">            Min.kultury: Obnova pomníku G.J.Mendela (ÚZ 34002)</t>
  </si>
  <si>
    <t xml:space="preserve">            Min.zeměd.: Příspěvek na ekologické a k přírodě šetrné technologie (ÚZ 29015)</t>
  </si>
  <si>
    <r>
      <t>741/----/4116/----/13013</t>
    </r>
    <r>
      <rPr>
        <sz val="10"/>
        <rFont val="Arial CE"/>
        <charset val="238"/>
      </rPr>
      <t>/1041</t>
    </r>
  </si>
  <si>
    <t xml:space="preserve">            MPSV: Operační program Zaměstnanost-státní rozpočet (ÚZ 13013)</t>
  </si>
  <si>
    <r>
      <t>741/----/4116/----/13013</t>
    </r>
    <r>
      <rPr>
        <sz val="10"/>
        <rFont val="Arial CE"/>
        <charset val="238"/>
      </rPr>
      <t>/1045</t>
    </r>
  </si>
  <si>
    <t xml:space="preserve">            MPSV: Výkon sociálně-právní ochrany dětí (ÚZ 13024)</t>
  </si>
  <si>
    <t>z toho: MPSV: Efektivní veřejná správa</t>
  </si>
  <si>
    <r>
      <t>741/----/4116/----/17015</t>
    </r>
    <r>
      <rPr>
        <sz val="10"/>
        <rFont val="Arial CE"/>
        <charset val="238"/>
      </rPr>
      <t>/1071</t>
    </r>
  </si>
  <si>
    <r>
      <t>741/----/4116/----/17016</t>
    </r>
    <r>
      <rPr>
        <sz val="10"/>
        <rFont val="Arial CE"/>
        <charset val="238"/>
      </rPr>
      <t>/1075</t>
    </r>
  </si>
  <si>
    <t xml:space="preserve">            MMR: Energetické úspory Na Lani 275 (z r. 2022)-státní rozpočet (ÚZ 17015)</t>
  </si>
  <si>
    <t>z toho: MMR: Energetické úspory Na Lani 272 (z r. 2022)-státní rozpočet (ÚZ 17015)</t>
  </si>
  <si>
    <t xml:space="preserve">            Poskytování materiální pomoci (obědy dětem) - pro ZŠ a MŠ-státní rozpočet (ÚZ 913)</t>
  </si>
  <si>
    <t xml:space="preserve">            Poskytování materiální pomoci (obědy dětem) - pro ZŠ a MŠ-z EU (ÚZ 913)</t>
  </si>
  <si>
    <t xml:space="preserve">            Min.školství, mládeže a tělových.: Operační program J.A.Komenský-z EU (ÚZ 33092)</t>
  </si>
  <si>
    <t xml:space="preserve">            Min.zeměd.: Plán národní obnovy-z EU (ÚZ 29031)</t>
  </si>
  <si>
    <t xml:space="preserve">            Min.zeměd.: Příspěvek na obnovu, zajištění a výchovu porostů-z EU (ÚZ 29014)</t>
  </si>
  <si>
    <t xml:space="preserve">            MMR: Energetické úspory Na Lani 275 (z r. 2022)-z EU (ÚZ 17016)</t>
  </si>
  <si>
    <t xml:space="preserve">            MMR: Energetické úspory Na Lani 272 (z r. 2022)-z EU (ÚZ 17016)</t>
  </si>
  <si>
    <t xml:space="preserve">            MPSV: Operační program Zaměstnanost-z EU (ÚZ 13013)</t>
  </si>
  <si>
    <r>
      <t xml:space="preserve">            Zajištění okresních a krajských přehlídek a soutěží typu A a B - pro SVČ Fokus </t>
    </r>
    <r>
      <rPr>
        <sz val="9"/>
        <rFont val="Arial CE"/>
        <charset val="238"/>
      </rPr>
      <t>(ÚZ 910)</t>
    </r>
  </si>
  <si>
    <r>
      <t xml:space="preserve">            MŠMT: Zajištění okresních a krajských přehlídek a soutěží typu A a B - pro SVČ Fokus </t>
    </r>
    <r>
      <rPr>
        <sz val="9"/>
        <rFont val="Arial CE"/>
        <charset val="238"/>
      </rPr>
      <t>(ÚZ 833)</t>
    </r>
  </si>
  <si>
    <t xml:space="preserve">            Společná stezka pro chodce a cyklisty Rybníčky (ÚZ 711)</t>
  </si>
  <si>
    <r>
      <t xml:space="preserve">            Podpora turistických informačních center v MSK - pro Návštěvnické centrum NJ </t>
    </r>
    <r>
      <rPr>
        <sz val="9"/>
        <rFont val="Arial CE"/>
        <charset val="238"/>
      </rPr>
      <t>(ÚZ 673)</t>
    </r>
  </si>
  <si>
    <r>
      <t xml:space="preserve">            MMR nákup vozidel pro PS NJ (90%)</t>
    </r>
    <r>
      <rPr>
        <sz val="9"/>
        <rFont val="Arial CE"/>
        <charset val="238"/>
      </rPr>
      <t xml:space="preserve"> (ÚZ 91628 N107 Z5)</t>
    </r>
  </si>
  <si>
    <t>Převody z rozpočtových účtů</t>
  </si>
  <si>
    <t>z toho: Regenerace panel.sídliště Nerudova (ÚZ 92501)</t>
  </si>
  <si>
    <t>919/6330/4134</t>
  </si>
  <si>
    <t>541/6330/4134</t>
  </si>
  <si>
    <t>z toho: Sociální fond (Odbor kancelář vedení města)</t>
  </si>
  <si>
    <t xml:space="preserve">            Kelímky, kompostery, myčka (Návštěvnické centrum)</t>
  </si>
  <si>
    <r>
      <t>741/----/4216/----/17968</t>
    </r>
    <r>
      <rPr>
        <sz val="10"/>
        <rFont val="Arial CE"/>
        <charset val="238"/>
      </rPr>
      <t>/1071</t>
    </r>
  </si>
  <si>
    <r>
      <t>741/----/4216/----/17969</t>
    </r>
    <r>
      <rPr>
        <sz val="10"/>
        <rFont val="Arial CE"/>
        <charset val="238"/>
      </rPr>
      <t>/1075</t>
    </r>
  </si>
  <si>
    <t xml:space="preserve">            MMR: Energetické úspory Na Lani 272 (z r. 2022)-z EU (ÚZ 17969)</t>
  </si>
  <si>
    <t xml:space="preserve">            MMR: Energetické úspory Na Lani 275 (z r. 2022)-státní rozpočet (ÚZ 17968)</t>
  </si>
  <si>
    <t xml:space="preserve">            MMR: Energetické úspory Na Lani 275 (z r. 2022)-z EU (ÚZ 17969)</t>
  </si>
  <si>
    <t xml:space="preserve">            Stezka pro chodce a cyklisty B. Martinů PD (ÚZ 720)</t>
  </si>
  <si>
    <r>
      <t xml:space="preserve">III. varianta                           </t>
    </r>
    <r>
      <rPr>
        <sz val="9"/>
        <rFont val="Arial CE"/>
        <charset val="238"/>
      </rPr>
      <t xml:space="preserve"> ("přání ORJ")</t>
    </r>
  </si>
  <si>
    <t>1066/2212/5171</t>
  </si>
  <si>
    <t>1066/2212/5169</t>
  </si>
  <si>
    <t xml:space="preserve">z toho: investice - výkupy pozemků - přístup k ZO Skalky, Pod Skalkou III. etapa, ČSAD - sport. areál + ost.  </t>
  </si>
  <si>
    <t>3427/3633/6121</t>
  </si>
  <si>
    <t xml:space="preserve">                    Inženýrské sítě ve sportovním areálu PD </t>
  </si>
  <si>
    <t xml:space="preserve">                   VO Dlouhá nad hřištěm ZŠ Dlouhá PD</t>
  </si>
  <si>
    <t>5472/2221/6121</t>
  </si>
  <si>
    <t>2410/2212/6121</t>
  </si>
  <si>
    <t xml:space="preserve">                     Most Za Potokem u č.p. 26 PD</t>
  </si>
  <si>
    <t xml:space="preserve">                    Parkoviště na ul. Jubilejní u ZŠ křižovatka PD (KSD 34) </t>
  </si>
  <si>
    <r>
      <t xml:space="preserve">             </t>
    </r>
    <r>
      <rPr>
        <sz val="10"/>
        <rFont val="Arial CE"/>
        <charset val="238"/>
      </rPr>
      <t>služby - diagnostika vozovek 600, pasport MK 800, ost. služby 500, dozory VT Rakovec Bařiny 130</t>
    </r>
  </si>
  <si>
    <t>1067/2212/6121</t>
  </si>
  <si>
    <t xml:space="preserve">             Lávka Straník u č.p. 119 PD</t>
  </si>
  <si>
    <t>1068/2212/6121</t>
  </si>
  <si>
    <t xml:space="preserve">             Propustek Straník u č.p. 59 PD</t>
  </si>
  <si>
    <t xml:space="preserve">         - PD dešťových svodů</t>
  </si>
  <si>
    <t xml:space="preserve">                             Výmalba společných prostor a schodišť (Jičínská 272, Na Lani 212)</t>
  </si>
  <si>
    <t xml:space="preserve">              Hückelovy vily - zpracování studií vily J. Hückela (300), aktualizace studie vily  A. Hückela (100), studie areálu (100)</t>
  </si>
  <si>
    <t xml:space="preserve">                                      Hűckelovy vily- oprava a údržba do doby rekonstrukce - střecha, věže, kovářské a zámečnické práce </t>
  </si>
  <si>
    <t xml:space="preserve">                                      Hotel Praha - nepředvídané opravy </t>
  </si>
  <si>
    <t xml:space="preserve">            - výměna motoru VZT (75),  výměna elektroinstalace v šatnách č.32/33 (100), výměna dveří vč.zárubní (200), boxy na sezení šatny  č.32 ,33 (240)</t>
  </si>
  <si>
    <t xml:space="preserve">                      Cyklo Loučka - odvodnění</t>
  </si>
  <si>
    <t xml:space="preserve">                      Nad zahr. osadou za kotelnou Dlouhá - odvodnění pozemku PD</t>
  </si>
  <si>
    <r>
      <t xml:space="preserve">                     Komunikace Straník - Kojetín - rekonstrukce</t>
    </r>
    <r>
      <rPr>
        <sz val="10"/>
        <rFont val="Arial CE"/>
        <charset val="238"/>
      </rPr>
      <t xml:space="preserve"> 2.etapa PD</t>
    </r>
  </si>
  <si>
    <t xml:space="preserve">                     Most Na Poříčí u č.p. 53 - rekonstrukce PD</t>
  </si>
  <si>
    <t>8485/2212/6121</t>
  </si>
  <si>
    <t xml:space="preserve">                     Křižovatka ul. Propojovací a Hřbitovní PD</t>
  </si>
  <si>
    <t>1408/3113/5171+5169</t>
  </si>
  <si>
    <t>1409/3113/5171+5169</t>
  </si>
  <si>
    <t>0504/3311/5171+5169</t>
  </si>
  <si>
    <r>
      <t xml:space="preserve">                   Radnice ul. Úzká (strana od hotelu Praha) - výměna oken </t>
    </r>
    <r>
      <rPr>
        <sz val="10"/>
        <color rgb="FFFF0000"/>
        <rFont val="Arial CE"/>
        <charset val="238"/>
      </rPr>
      <t>ukončeno 2023</t>
    </r>
  </si>
  <si>
    <r>
      <t xml:space="preserve">                   Budova Divadelní 8 - oprava soc.zařízení, kuchyňky, úklid.místnosti </t>
    </r>
    <r>
      <rPr>
        <sz val="10"/>
        <color rgb="FFFF0000"/>
        <rFont val="Arial CE"/>
        <charset val="238"/>
      </rPr>
      <t>ukončeno 2023</t>
    </r>
  </si>
  <si>
    <t>3746/2321/6121</t>
  </si>
  <si>
    <r>
      <t xml:space="preserve">Sběr a svoz komunálního odpadu </t>
    </r>
    <r>
      <rPr>
        <sz val="9"/>
        <rFont val="Arial CE"/>
      </rPr>
      <t>(účet 2310800)</t>
    </r>
  </si>
  <si>
    <t>3744/3613/6121</t>
  </si>
  <si>
    <t>3745/3613/6121</t>
  </si>
  <si>
    <t>3722/3412/5171+5169</t>
  </si>
  <si>
    <t xml:space="preserve">                   BD Trlicova - revitalizace PD</t>
  </si>
  <si>
    <t xml:space="preserve">                   BD Hřbitovní - revitalizace</t>
  </si>
  <si>
    <t>3723/3612/5171+5169</t>
  </si>
  <si>
    <r>
      <t xml:space="preserve">                   Byt č. 1 Jungmannova 2 - oprava </t>
    </r>
    <r>
      <rPr>
        <sz val="10"/>
        <color rgb="FFFF0000"/>
        <rFont val="Arial CE"/>
        <charset val="238"/>
      </rPr>
      <t>ukončeno 2023</t>
    </r>
  </si>
  <si>
    <t>3724/3612/5171+5169</t>
  </si>
  <si>
    <r>
      <t xml:space="preserve">                   Byt č. 2 Resslova 1 - oprava </t>
    </r>
    <r>
      <rPr>
        <sz val="10"/>
        <color rgb="FFFF0000"/>
        <rFont val="Arial CE"/>
        <charset val="238"/>
      </rPr>
      <t>ukončeno 2023</t>
    </r>
  </si>
  <si>
    <t xml:space="preserve">                    Dům na ul.  Jungmannova 1, 5. května - revitalizace PD</t>
  </si>
  <si>
    <t xml:space="preserve">                    Výtahy Luční 1828/2, 1799/3 a 1825/4 - výměna - PD + realizace</t>
  </si>
  <si>
    <t>3721/3613/5171+5169</t>
  </si>
  <si>
    <r>
      <t xml:space="preserve">                   Kanalizace Sokolovská 9 - oprava </t>
    </r>
    <r>
      <rPr>
        <sz val="10"/>
        <color rgb="FFFF0000"/>
        <rFont val="Arial CE"/>
        <charset val="238"/>
      </rPr>
      <t>ukončeno 2023</t>
    </r>
  </si>
  <si>
    <r>
      <t xml:space="preserve">                   Hotel Praha - stavební úpravy, oprava střešního světlíku, vzduchotechniky </t>
    </r>
    <r>
      <rPr>
        <sz val="10"/>
        <color rgb="FFFF0000"/>
        <rFont val="Arial CE"/>
        <charset val="238"/>
      </rPr>
      <t>ukončeno 2023</t>
    </r>
  </si>
  <si>
    <r>
      <t xml:space="preserve">                   Kotelna hotelu Praha - výměna kotlů a spalinové cesty </t>
    </r>
    <r>
      <rPr>
        <sz val="10"/>
        <color rgb="FFFF0000"/>
        <rFont val="Arial CE"/>
        <charset val="238"/>
      </rPr>
      <t>ukončeno 2023</t>
    </r>
  </si>
  <si>
    <r>
      <t xml:space="preserve">                    Teplovodní potrubí Loučka 6 - 1. etapa - výměna </t>
    </r>
    <r>
      <rPr>
        <sz val="10"/>
        <color rgb="FFFF0000"/>
        <rFont val="Arial CE"/>
        <charset val="238"/>
      </rPr>
      <t>ukončeno 2023</t>
    </r>
  </si>
  <si>
    <t>6391/3631/6121</t>
  </si>
  <si>
    <t xml:space="preserve">                     Komunikace Nový Jičín - Kojetín PD</t>
  </si>
  <si>
    <t>3730/3722/6121</t>
  </si>
  <si>
    <r>
      <t xml:space="preserve">Neinvestiční přijaté transfery ze státního rozpočtu v rámci souhrnného dotačního vztahu                                                                                                                                                                          </t>
    </r>
    <r>
      <rPr>
        <sz val="10"/>
        <rFont val="Arial CE"/>
        <family val="2"/>
        <charset val="238"/>
      </rPr>
      <t xml:space="preserve">(příspěvek na výkon státní správy)                                                                                                                                                                                                                                                                                                                                                                                                                                                              </t>
    </r>
  </si>
  <si>
    <r>
      <t xml:space="preserve">Příjem z odvodů příspěvkových organizací </t>
    </r>
    <r>
      <rPr>
        <sz val="9"/>
        <rFont val="Arial CE"/>
        <charset val="238"/>
      </rPr>
      <t>(z fondu investic: odpisy z nemovitého majetku)</t>
    </r>
    <r>
      <rPr>
        <b/>
        <i/>
        <sz val="9"/>
        <rFont val="Arial CE"/>
        <family val="2"/>
        <charset val="238"/>
      </rPr>
      <t xml:space="preserve"> </t>
    </r>
    <r>
      <rPr>
        <b/>
        <i/>
        <sz val="9"/>
        <color rgb="FFFF0000"/>
        <rFont val="Arial CE"/>
        <charset val="238"/>
      </rPr>
      <t xml:space="preserve"> </t>
    </r>
    <r>
      <rPr>
        <b/>
        <i/>
        <sz val="9"/>
        <rFont val="Arial CE"/>
        <charset val="238"/>
      </rPr>
      <t xml:space="preserve">   </t>
    </r>
    <r>
      <rPr>
        <sz val="9"/>
        <rFont val="Arial CE"/>
        <charset val="238"/>
      </rPr>
      <t xml:space="preserve">      </t>
    </r>
  </si>
  <si>
    <t xml:space="preserve">             Fond sociálních služeb (Odbor soc.věcí)</t>
  </si>
  <si>
    <r>
      <t xml:space="preserve">Uhrazené splátky dlouhodobých přijatých půjčených prostředků </t>
    </r>
    <r>
      <rPr>
        <sz val="10"/>
        <rFont val="Arial CE"/>
        <charset val="238"/>
      </rPr>
      <t>(úvěr z ČS)</t>
    </r>
  </si>
  <si>
    <t>z toho : platy 18400, zák.odvody 4538,4 + 1647, ochr. pomůcky 0, zdrav.pomůcky 5, výstroj 350, knihy, časopisy a tisk 2, DHM 163, materiál 143, elektř. 35, PHM 264, služby pošt 1, telekomunikace 245, nájemné 30, konzult.a porad.služby 3, školení 77, konference 3, služby 1490-750, opravy a udrž. 275, služby zpracování dat 200, cestovné 17, neinv.přísp.a náhrady-prac.úrazy 50, kolky 10, náhrady za nemoc 150, správní poplatky 6, investice: progr. vybavení, stroje: kamera pro RZ 170, kamera MKDS 150, záznamové zařízení hovorů 250</t>
  </si>
  <si>
    <t xml:space="preserve">             daň z přidané hodnoty za město (odvod+režim PDP za 12/2023) </t>
  </si>
  <si>
    <t xml:space="preserve">                   Dům na ul. Hřbitovní 889/72 PD</t>
  </si>
  <si>
    <r>
      <t xml:space="preserve">                   Stromy na Masarykově náměstí </t>
    </r>
    <r>
      <rPr>
        <sz val="10"/>
        <color rgb="FFFF0000"/>
        <rFont val="Arial CE"/>
        <charset val="238"/>
      </rPr>
      <t>ukončeno 2023</t>
    </r>
  </si>
  <si>
    <r>
      <t xml:space="preserve">            § 3233 SVČ Fokus vratka příspěvku na energie </t>
    </r>
    <r>
      <rPr>
        <sz val="9"/>
        <rFont val="Arial CE"/>
        <charset val="238"/>
      </rPr>
      <t>(29,88684)</t>
    </r>
  </si>
  <si>
    <r>
      <t xml:space="preserve">            § 3392 MěKS vratka příspěvku na energie </t>
    </r>
    <r>
      <rPr>
        <sz val="8"/>
        <rFont val="Arial CE"/>
        <charset val="238"/>
      </rPr>
      <t>(151,27728)</t>
    </r>
  </si>
  <si>
    <r>
      <t xml:space="preserve">            § 3311 Beskydské divadlo vratka příspěvku na energie </t>
    </r>
    <r>
      <rPr>
        <sz val="8"/>
        <rFont val="Arial CE"/>
        <charset val="238"/>
      </rPr>
      <t>(305,60085)</t>
    </r>
  </si>
  <si>
    <t xml:space="preserve">           § 6310, § 6409 odbor finanční</t>
  </si>
  <si>
    <t>z toho: změny územního plánu města (změna č. 7, změna č. 8)</t>
  </si>
  <si>
    <t>z toho: TSM (stř.odpady)</t>
  </si>
  <si>
    <r>
      <t xml:space="preserve">            </t>
    </r>
    <r>
      <rPr>
        <sz val="10"/>
        <rFont val="Arial CE"/>
        <charset val="238"/>
      </rPr>
      <t xml:space="preserve"> vratka části neinvest.dotace z OP Zaměstnanost (ÚZ 13013)</t>
    </r>
  </si>
  <si>
    <t xml:space="preserve">             vratka části dotace "Obědy dětem" MŠ Trojlístek (ÚZ 13014)</t>
  </si>
  <si>
    <t xml:space="preserve">             SVČ Fokus (vratka části dotace z MSK s ÚZ 133 a ze státního rozpočtu s ÚZ 33166)</t>
  </si>
  <si>
    <t xml:space="preserve">             vratka části nevyčerpané dotace na "Pěstounskou péči" (ÚZ 13010)</t>
  </si>
  <si>
    <t xml:space="preserve">            vratka části dotace "Efektivní veřejná správa"</t>
  </si>
  <si>
    <r>
      <t>2310800/741/</t>
    </r>
    <r>
      <rPr>
        <b/>
        <sz val="10"/>
        <rFont val="Arial CE"/>
        <charset val="238"/>
      </rPr>
      <t>3639</t>
    </r>
    <r>
      <rPr>
        <sz val="9"/>
        <rFont val="Arial CE"/>
        <charset val="238"/>
      </rPr>
      <t>/5362</t>
    </r>
  </si>
  <si>
    <t xml:space="preserve">          -  příspěvek na investice (kamerový systém knihovny 180, instalace klimatizace do výstavní síně Stará pošta 73, spisová služba Gordic 61) zapojení FR a FI 314</t>
  </si>
  <si>
    <t xml:space="preserve">              Výletní lokalita Čerťák - vybudování venkovní terasy v rámci III. etapy</t>
  </si>
  <si>
    <t xml:space="preserve">            výběr dodavatele elektřiny a plynu na rok 2025 (na 2 až 3 roky)</t>
  </si>
  <si>
    <t xml:space="preserve">            Opravy VN rozvaděčů a trafostanic - bazén, zimní stadion, tržnice, areál TSM </t>
  </si>
  <si>
    <t xml:space="preserve">           § 2143 neinvest.přísp.z MSK NCNJ</t>
  </si>
  <si>
    <r>
      <t>Cestovní ruch</t>
    </r>
    <r>
      <rPr>
        <b/>
        <sz val="9"/>
        <rFont val="Arial CE"/>
        <charset val="238"/>
      </rPr>
      <t xml:space="preserve"> </t>
    </r>
    <r>
      <rPr>
        <sz val="9"/>
        <rFont val="Arial CE"/>
        <charset val="238"/>
      </rPr>
      <t xml:space="preserve"> (platy 3990, dohody 600, soc.poj. 1125,92, zdrav. poj. 408,6, náhrada mezd za nemoc 33, platby daní a popl. Stát. rozp. 10, knihy, tisk 8, drobný hmotný maj. 1254, materiál (kalendáře, upom. Př., tiskoviny,…) 1093,72, materiál DPH 385, poštovné 1, poštovné DPH 7,5, telefony 10, služby peněž. úst. 50, pronájem 677, služby zprac. dat. 115,5, nákup služeb (prop. inz., služby, rozvoj podnikání na novojičínsku) 2326,5, nákup služeb DPH (služby spojené s kelímky NICKNACK) 231.972, opravy a údržba 128, cestovné 11, pohoštění 200, účast. úpl. 1, ost.nák.j.n. 50, neinvest. transféry 200, neinvest. přísp. Pivobraní 492, dotace z MSK 200 částečně investiční, neinvestiční</t>
    </r>
  </si>
  <si>
    <r>
      <t xml:space="preserve">Nebytové hospodářství </t>
    </r>
    <r>
      <rPr>
        <sz val="9"/>
        <rFont val="Arial CE"/>
        <charset val="238"/>
      </rPr>
      <t>(Sokolovská 9: drobný hmotný majetek 3, materiál 1, služby 3)</t>
    </r>
  </si>
  <si>
    <t>2324/2212/6121</t>
  </si>
  <si>
    <t xml:space="preserve">                    Převedení chodců ul. K Nemocnici parc. č. 558/26 (Honzek) PD</t>
  </si>
  <si>
    <t xml:space="preserve">                     Laudonovo nádvoří </t>
  </si>
  <si>
    <t xml:space="preserve">                     Čerťák 3. etapa - 2. část PD </t>
  </si>
  <si>
    <t xml:space="preserve">                     Chodník Bludovice č.p. 4 - č.p. 90 </t>
  </si>
  <si>
    <r>
      <t xml:space="preserve">                     Parkovací stání Dlouhá (Palackého - Budovatelů) </t>
    </r>
    <r>
      <rPr>
        <sz val="10"/>
        <color rgb="FFFF0000"/>
        <rFont val="Arial CE"/>
        <charset val="238"/>
      </rPr>
      <t>ukončeno 2023</t>
    </r>
  </si>
  <si>
    <t xml:space="preserve">                    Parkoviště MŠ Loučka, Na Drážkách (KSD 22) PD</t>
  </si>
  <si>
    <t xml:space="preserve">                    Studie - oddělení investic (zaměření skutečného stavu akcí OB, parkoviště, AZ Kolonie Žilina, posouzení svahu Bala Kojetín, byty Suvorovova ...)</t>
  </si>
  <si>
    <t xml:space="preserve">                   Arch.soutěž Hala Jičínka-ocenění soutěžících</t>
  </si>
  <si>
    <t xml:space="preserve">                   Kulturní dům Nové Slunce PD</t>
  </si>
  <si>
    <r>
      <t xml:space="preserve">                   Randice ul. Úzká I. a II. patro - Oprava soc.zařízení </t>
    </r>
    <r>
      <rPr>
        <sz val="10"/>
        <color rgb="FFFF0000"/>
        <rFont val="Arial CE"/>
        <charset val="238"/>
      </rPr>
      <t>ukončeno 2023</t>
    </r>
  </si>
  <si>
    <t xml:space="preserve">  investice: Bezdrát - umístění nových hlásičů (Žilina, Loučka, Bludovice)</t>
  </si>
  <si>
    <t xml:space="preserve">              voda (fontány, MN sloupky)</t>
  </si>
  <si>
    <t>0382/3699/5139</t>
  </si>
  <si>
    <r>
      <t xml:space="preserve">Skutečnost za
k 31.10.2023
</t>
    </r>
    <r>
      <rPr>
        <sz val="9"/>
        <rFont val="Arial CE"/>
        <charset val="238"/>
      </rPr>
      <t>(v Kč)</t>
    </r>
  </si>
  <si>
    <r>
      <t xml:space="preserve">Rozpočtová skladba                                                                                                                                                                                                                                                  </t>
    </r>
    <r>
      <rPr>
        <sz val="8"/>
        <rFont val="Arial CE"/>
        <charset val="238"/>
      </rPr>
      <t xml:space="preserve"> ORJ/odd.par./pol./org./ÚZ/NáZ</t>
    </r>
  </si>
  <si>
    <r>
      <t xml:space="preserve">Upravený rozpočet                                                                                                                                                                                                                                                                                                                                                                                                                                                                                                                                         k 31.10.2023
</t>
    </r>
    <r>
      <rPr>
        <sz val="9"/>
        <rFont val="Arial CE"/>
        <charset val="238"/>
      </rPr>
      <t>(v Kč)</t>
    </r>
  </si>
  <si>
    <r>
      <t xml:space="preserve">II. varianta                           </t>
    </r>
    <r>
      <rPr>
        <sz val="9"/>
        <rFont val="Arial CE"/>
        <charset val="238"/>
      </rPr>
      <t xml:space="preserve"> (+ k I.variantě další možnosti, zásobník, ...)</t>
    </r>
  </si>
  <si>
    <t xml:space="preserve">             hasičská zbrojnice Kojetín dle znal.posudku</t>
  </si>
  <si>
    <r>
      <t>Příjem z poplatku ze psů</t>
    </r>
    <r>
      <rPr>
        <sz val="10"/>
        <color rgb="FFFF0000"/>
        <rFont val="Arial CE"/>
        <charset val="238"/>
      </rPr>
      <t xml:space="preserve"> </t>
    </r>
  </si>
  <si>
    <t xml:space="preserve">Příjem z poplatku za obecní systém odpadového hospodářství a příjem z poplatku za odkládání komunálního odpadu z nemovité věci </t>
  </si>
  <si>
    <r>
      <t xml:space="preserve">             </t>
    </r>
    <r>
      <rPr>
        <b/>
        <sz val="10"/>
        <rFont val="Arial CE"/>
        <charset val="238"/>
      </rPr>
      <t>domovníci</t>
    </r>
    <r>
      <rPr>
        <sz val="10"/>
        <rFont val="Arial CE"/>
        <charset val="238"/>
      </rPr>
      <t xml:space="preserve"> (mzdy a odvody, AÚ 0800)</t>
    </r>
  </si>
  <si>
    <r>
      <t xml:space="preserve">           </t>
    </r>
    <r>
      <rPr>
        <b/>
        <sz val="10"/>
        <rFont val="Arial CE"/>
        <charset val="238"/>
      </rPr>
      <t xml:space="preserve">  služby</t>
    </r>
    <r>
      <rPr>
        <sz val="10"/>
        <rFont val="Arial CE"/>
        <charset val="238"/>
      </rPr>
      <t xml:space="preserve">  org. 0518 (úklidy,revize,výtahy, odečty,poruch.služba, deratizace,čištění kanalizace,komíny, SBI, zn. posudky)</t>
    </r>
  </si>
  <si>
    <r>
      <t xml:space="preserve">              SK Straník 147 - realizace ČOV (</t>
    </r>
    <r>
      <rPr>
        <b/>
        <sz val="10"/>
        <rFont val="Arial CE"/>
        <charset val="238"/>
      </rPr>
      <t>2023</t>
    </r>
    <r>
      <rPr>
        <sz val="10"/>
        <rFont val="Arial CE"/>
        <charset val="238"/>
      </rPr>
      <t xml:space="preserve"> - nákup zahradní sekačky, pol. 6122, přístřešek pol. 6121)</t>
    </r>
  </si>
  <si>
    <r>
      <t xml:space="preserve">             opravy kotelen - sanace, opravy střechy, omítek (</t>
    </r>
    <r>
      <rPr>
        <sz val="10"/>
        <rFont val="Arial CE"/>
        <charset val="238"/>
      </rPr>
      <t>realizace: modernizace OPS v rozsahu ÚT+MAR Zborovská 11-600 vč. vyregulování,-300 spalinovod kotelna bazén-600, výměny nefunkčních armatur domovních přípojek čtyřtrubkového teplovodního systému-100, výměny původního vnitřního teplovodu za plast Loučka -500, modernizace 9 ks OPS v rozsahu TUV Sportovní 2, 4, Bezručova 32, 41, Bulharská 6, Palackého 76, Gregorova 36, Dlouhá 43, 52-600)</t>
    </r>
  </si>
  <si>
    <r>
      <t xml:space="preserve">             Dodávka </t>
    </r>
    <r>
      <rPr>
        <sz val="10"/>
        <rFont val="Arial CE"/>
        <charset val="238"/>
      </rPr>
      <t xml:space="preserve">5 ks nerez zásobníků teplé vody do kotelen a odběrných před.stanic v domech </t>
    </r>
  </si>
  <si>
    <t>919/----/4116/----/13015</t>
  </si>
  <si>
    <r>
      <t xml:space="preserve">            MPSV: Výkon soc.práce mimo sociálně-právní ochrany dětí </t>
    </r>
    <r>
      <rPr>
        <sz val="10"/>
        <rFont val="Arial CE"/>
        <charset val="238"/>
      </rPr>
      <t>(ÚZ 13015)</t>
    </r>
  </si>
  <si>
    <t>741/----/4116/----/13024</t>
  </si>
  <si>
    <r>
      <t>035/----/4116/----/</t>
    </r>
    <r>
      <rPr>
        <sz val="10"/>
        <rFont val="Arial CE"/>
        <charset val="238"/>
      </rPr>
      <t>29014/1705</t>
    </r>
  </si>
  <si>
    <r>
      <t>035/----/4116/----/</t>
    </r>
    <r>
      <rPr>
        <sz val="10"/>
        <rFont val="Arial CE"/>
        <charset val="238"/>
      </rPr>
      <t>29015</t>
    </r>
  </si>
  <si>
    <r>
      <t>035/----/4116/</t>
    </r>
    <r>
      <rPr>
        <sz val="10"/>
        <rFont val="Arial CE"/>
        <charset val="238"/>
      </rPr>
      <t>0375</t>
    </r>
    <r>
      <rPr>
        <b/>
        <sz val="10"/>
        <rFont val="Arial CE"/>
        <charset val="238"/>
      </rPr>
      <t>/</t>
    </r>
    <r>
      <rPr>
        <sz val="10"/>
        <rFont val="Arial CE"/>
        <charset val="238"/>
      </rPr>
      <t>29031/1705</t>
    </r>
  </si>
  <si>
    <r>
      <t>414/----/4116/---/</t>
    </r>
    <r>
      <rPr>
        <sz val="10"/>
        <rFont val="Arial CE"/>
        <charset val="238"/>
      </rPr>
      <t>33092</t>
    </r>
    <r>
      <rPr>
        <b/>
        <sz val="10"/>
        <rFont val="Arial CE"/>
        <charset val="238"/>
      </rPr>
      <t>/</t>
    </r>
    <r>
      <rPr>
        <sz val="10"/>
        <rFont val="Arial CE"/>
        <charset val="238"/>
      </rPr>
      <t>1431</t>
    </r>
  </si>
  <si>
    <r>
      <t>414/----/4116/---/</t>
    </r>
    <r>
      <rPr>
        <sz val="10"/>
        <rFont val="Arial CE"/>
        <charset val="238"/>
      </rPr>
      <t>33092</t>
    </r>
    <r>
      <rPr>
        <b/>
        <sz val="10"/>
        <rFont val="Arial CE"/>
        <charset val="238"/>
      </rPr>
      <t>/</t>
    </r>
    <r>
      <rPr>
        <sz val="10"/>
        <rFont val="Arial CE"/>
        <charset val="238"/>
      </rPr>
      <t>1435</t>
    </r>
  </si>
  <si>
    <r>
      <t>741/----/4116/----/</t>
    </r>
    <r>
      <rPr>
        <sz val="10"/>
        <rFont val="Arial CE"/>
        <charset val="238"/>
      </rPr>
      <t>34054</t>
    </r>
  </si>
  <si>
    <r>
      <t>416/----/4116/----/</t>
    </r>
    <r>
      <rPr>
        <sz val="10"/>
        <rFont val="Arial CE"/>
        <charset val="238"/>
      </rPr>
      <t>34002</t>
    </r>
  </si>
  <si>
    <r>
      <t xml:space="preserve">z toho: za veřejnoprávní smlouvy s ostatními obcemi na úseku přestupků </t>
    </r>
    <r>
      <rPr>
        <sz val="9"/>
        <rFont val="Arial CE"/>
        <charset val="238"/>
      </rPr>
      <t>(odbor přestupkových agend)</t>
    </r>
  </si>
  <si>
    <r>
      <t xml:space="preserve">            za veřejnopravní smlouvy s ostatními obcemi </t>
    </r>
    <r>
      <rPr>
        <sz val="9"/>
        <rFont val="Arial CE"/>
        <charset val="238"/>
      </rPr>
      <t>(Městská policie-odchyt psů)</t>
    </r>
  </si>
  <si>
    <r>
      <t xml:space="preserve">            za veřejnoprávní smlouvy s ostatními obcemi </t>
    </r>
    <r>
      <rPr>
        <sz val="9"/>
        <rFont val="Arial CE"/>
        <charset val="238"/>
      </rPr>
      <t>(</t>
    </r>
    <r>
      <rPr>
        <sz val="10"/>
        <rFont val="Arial CE"/>
        <charset val="238"/>
      </rPr>
      <t>stavební úřad</t>
    </r>
    <r>
      <rPr>
        <sz val="9"/>
        <rFont val="Arial CE"/>
        <charset val="238"/>
      </rPr>
      <t>)</t>
    </r>
  </si>
  <si>
    <r>
      <t>011/----/4122</t>
    </r>
    <r>
      <rPr>
        <sz val="10"/>
        <rFont val="Arial CE"/>
        <charset val="238"/>
      </rPr>
      <t>/1100/00673</t>
    </r>
  </si>
  <si>
    <r>
      <t>011/----/4122</t>
    </r>
    <r>
      <rPr>
        <sz val="10"/>
        <rFont val="Arial CE"/>
        <charset val="238"/>
      </rPr>
      <t>/1100/00693</t>
    </r>
  </si>
  <si>
    <r>
      <t xml:space="preserve">            Podpora technických atraktivit v NJ - pro Návštěvnické centrum NJ</t>
    </r>
    <r>
      <rPr>
        <sz val="10"/>
        <rFont val="Arial CE"/>
        <charset val="238"/>
      </rPr>
      <t xml:space="preserve"> (ÚZ 693)</t>
    </r>
  </si>
  <si>
    <r>
      <t>416/----/4122/----/</t>
    </r>
    <r>
      <rPr>
        <sz val="10"/>
        <rFont val="Arial CE"/>
        <charset val="238"/>
      </rPr>
      <t>00345</t>
    </r>
  </si>
  <si>
    <r>
      <t>741/----/4122/----/</t>
    </r>
    <r>
      <rPr>
        <sz val="10"/>
        <rFont val="Arial CE"/>
        <charset val="238"/>
      </rPr>
      <t>00711</t>
    </r>
  </si>
  <si>
    <r>
      <t>414/----/4122</t>
    </r>
    <r>
      <rPr>
        <sz val="10"/>
        <rFont val="Arial CE"/>
        <charset val="238"/>
      </rPr>
      <t>/00913/1201</t>
    </r>
  </si>
  <si>
    <r>
      <t>414/----/4122</t>
    </r>
    <r>
      <rPr>
        <sz val="10"/>
        <rFont val="Arial CE"/>
        <charset val="238"/>
      </rPr>
      <t>/00913/1205</t>
    </r>
  </si>
  <si>
    <r>
      <t>029/----/4122/----/</t>
    </r>
    <r>
      <rPr>
        <sz val="10"/>
        <rFont val="Arial CE"/>
        <charset val="238"/>
      </rPr>
      <t>00914</t>
    </r>
  </si>
  <si>
    <r>
      <t xml:space="preserve">            Poskytování sociálních služeb - pro Prosenior NJ </t>
    </r>
    <r>
      <rPr>
        <sz val="9"/>
        <rFont val="Arial CE"/>
        <charset val="238"/>
      </rPr>
      <t>(ÚZ 914)</t>
    </r>
    <r>
      <rPr>
        <sz val="10"/>
        <rFont val="Arial CE"/>
        <charset val="238"/>
      </rPr>
      <t xml:space="preserve"> </t>
    </r>
  </si>
  <si>
    <r>
      <t>741/----/4213/</t>
    </r>
    <r>
      <rPr>
        <sz val="10"/>
        <rFont val="Arial CE"/>
        <charset val="238"/>
      </rPr>
      <t>----/92501</t>
    </r>
  </si>
  <si>
    <r>
      <t>741/----/4216/----/17969</t>
    </r>
    <r>
      <rPr>
        <sz val="10"/>
        <rFont val="Arial CE"/>
        <charset val="238"/>
      </rPr>
      <t>/1075</t>
    </r>
  </si>
  <si>
    <r>
      <t>011/----/4222</t>
    </r>
    <r>
      <rPr>
        <sz val="10"/>
        <rFont val="Arial CE"/>
        <charset val="238"/>
      </rPr>
      <t>/1100/00693</t>
    </r>
  </si>
  <si>
    <r>
      <t>741/----/4222/</t>
    </r>
    <r>
      <rPr>
        <sz val="10"/>
        <rFont val="Arial CE"/>
        <charset val="238"/>
      </rPr>
      <t>----/00711</t>
    </r>
  </si>
  <si>
    <r>
      <t xml:space="preserve">           §           neinvestiční příspěvek na výkon soc.právní ochrany dětí </t>
    </r>
    <r>
      <rPr>
        <sz val="9"/>
        <rFont val="Arial CE"/>
        <charset val="238"/>
      </rPr>
      <t>(předpokládaná dotace z MPSV) - po schválení je rozpočtováno na pol. 4116 (ÚZ 13024)</t>
    </r>
  </si>
  <si>
    <r>
      <t xml:space="preserve">Příjem z odvodů z vybraných činností a služeb jinde neuvedených </t>
    </r>
    <r>
      <rPr>
        <sz val="10"/>
        <rFont val="Arial CE"/>
        <charset val="238"/>
      </rPr>
      <t>(odvod ekolog.daně na SFŽP)</t>
    </r>
  </si>
  <si>
    <r>
      <t xml:space="preserve">            Obecní živnostenský úřad </t>
    </r>
    <r>
      <rPr>
        <sz val="9"/>
        <rFont val="Arial CE"/>
        <charset val="238"/>
      </rPr>
      <t>(nové a změnové výpisy z živnost.rejstříku 400, vydání výpisů z živnost. rejstříku 1, vydání povolení k hernímu prostoru 10, osvědčení zemědělský podnikatel 5)</t>
    </r>
  </si>
  <si>
    <t xml:space="preserve">            Odbor územního plánování a stavebního řádu </t>
  </si>
  <si>
    <t xml:space="preserve">            Odbor životního prostředí </t>
  </si>
  <si>
    <r>
      <t xml:space="preserve">            Odbor finanční </t>
    </r>
    <r>
      <rPr>
        <sz val="9"/>
        <rFont val="Arial CE"/>
        <charset val="238"/>
      </rPr>
      <t>(splátkové kalendáře+bezdlužnost)</t>
    </r>
  </si>
  <si>
    <r>
      <t xml:space="preserve">Předpoklad skutečného plnění
k 31.12.2023
</t>
    </r>
    <r>
      <rPr>
        <sz val="9"/>
        <rFont val="Arial CE"/>
        <charset val="238"/>
      </rPr>
      <t>(v Kč)</t>
    </r>
  </si>
  <si>
    <t xml:space="preserve">                             - příspěvek na investice </t>
  </si>
  <si>
    <r>
      <rPr>
        <sz val="9"/>
        <rFont val="Arial CE"/>
        <charset val="238"/>
      </rPr>
      <t>741/6409/</t>
    </r>
    <r>
      <rPr>
        <b/>
        <sz val="10"/>
        <rFont val="Arial CE"/>
        <charset val="238"/>
      </rPr>
      <t>2328</t>
    </r>
  </si>
  <si>
    <r>
      <t xml:space="preserve">Využívání a zneškodňování ostatních odpadů </t>
    </r>
    <r>
      <rPr>
        <sz val="10"/>
        <rFont val="Arial CE"/>
        <charset val="238"/>
      </rPr>
      <t>(pořízení 300 ks kompostérů z dotace)</t>
    </r>
  </si>
  <si>
    <r>
      <t xml:space="preserve">Příjmy z prodeje pozemků </t>
    </r>
    <r>
      <rPr>
        <sz val="10"/>
        <rFont val="Arial CE"/>
        <charset val="238"/>
      </rPr>
      <t>(nikoliv v režimu DPH)</t>
    </r>
  </si>
  <si>
    <t xml:space="preserve">            Regenerace panel. sídliště Nerudova PD (ÚZ 611)</t>
  </si>
  <si>
    <r>
      <t xml:space="preserve">            Společná stezka pro chodce a cyklisty Rybníčky</t>
    </r>
    <r>
      <rPr>
        <sz val="10"/>
        <rFont val="Arial CE"/>
        <charset val="238"/>
      </rPr>
      <t xml:space="preserve"> (ÚZ 711)</t>
    </r>
  </si>
  <si>
    <r>
      <t>z toho: Podpora technických atraktivit v NJ - pro Návštěvnické centrum NJ</t>
    </r>
    <r>
      <rPr>
        <sz val="10"/>
        <rFont val="Arial CE"/>
        <charset val="238"/>
      </rPr>
      <t xml:space="preserve"> (ÚZ 693)</t>
    </r>
  </si>
  <si>
    <t xml:space="preserve">                      Vodovod Žilina, Pstruží potok - Životice PD</t>
  </si>
  <si>
    <t xml:space="preserve">                      Vodovod Straník (společně s kanalizací) PD</t>
  </si>
  <si>
    <t xml:space="preserve">                      Kanalizace Bludovice PD</t>
  </si>
  <si>
    <t xml:space="preserve">                     Kanalizace Straník (společně s vodovodem) PD</t>
  </si>
  <si>
    <t xml:space="preserve">                      Kanalizace Trlicova PD </t>
  </si>
  <si>
    <t xml:space="preserve">                     Lávka Žilina - demolice</t>
  </si>
  <si>
    <t xml:space="preserve">                     Most Jiráskova - pod gymnáziem - rekonstrukce PD</t>
  </si>
  <si>
    <t xml:space="preserve">                     Komunikace Žilina, Za Školou PD</t>
  </si>
  <si>
    <t xml:space="preserve">                    Komunikace U Mlýna - dolní konec (úsek č.p. 122 - Potoční č.p.265) </t>
  </si>
  <si>
    <t xml:space="preserve">                     Chodník Žilina, Pstruží potok - Životice PD</t>
  </si>
  <si>
    <t xml:space="preserve">                    Parkoviště Hřbitovní (městský hřbitov)  PD</t>
  </si>
  <si>
    <t xml:space="preserve">                    Parkoviště na ul. Dlouhá u byt. Domu č.p. 13 -15 PD (KSD 33) </t>
  </si>
  <si>
    <r>
      <t xml:space="preserve">                    Regenerace PS Nerudova II. etapa -</t>
    </r>
    <r>
      <rPr>
        <sz val="10"/>
        <color theme="9"/>
        <rFont val="Arial CE"/>
        <charset val="238"/>
      </rPr>
      <t xml:space="preserve"> přeložka ČEZ a Cetin</t>
    </r>
  </si>
  <si>
    <t xml:space="preserve">                    Zpevněné plochy, mobiliář Tyršova 2.etapa</t>
  </si>
  <si>
    <t xml:space="preserve">                    Parkoviště Restaurace Na Skalkách PD</t>
  </si>
  <si>
    <t xml:space="preserve">                   MŠ Jiráskova (MŠ Sady) - revitalizace zahrady </t>
  </si>
  <si>
    <r>
      <t xml:space="preserve">                   MŠ Komenského (MŠ Trojlístek) - elektro </t>
    </r>
    <r>
      <rPr>
        <sz val="10"/>
        <color rgb="FFFF0000"/>
        <rFont val="Arial CE"/>
        <charset val="238"/>
      </rPr>
      <t>ukončeno 2023</t>
    </r>
  </si>
  <si>
    <t xml:space="preserve">                   MŠ Máchova (MŠ Trojlístek)- energetické úspory PD</t>
  </si>
  <si>
    <t xml:space="preserve">                   MŠ Komenského (MŠ Trojlístek) - revitalizace zahrady 2. etapa PD</t>
  </si>
  <si>
    <t>1404/3111/5171+5169</t>
  </si>
  <si>
    <t xml:space="preserve">                   MŠ Revoluční (MŠ Sady) - sanace zdiva PD</t>
  </si>
  <si>
    <t>1405/3111/5171+5169</t>
  </si>
  <si>
    <t xml:space="preserve">                   MŠ Revoluční (MŠ Sady) - revitalizace sociálního zařízení PD </t>
  </si>
  <si>
    <t>1414/3111/6121</t>
  </si>
  <si>
    <t xml:space="preserve">                   MŠ K. Čapka (MŠ Máj) - zateplení objektu,stínící technika PD</t>
  </si>
  <si>
    <t>1415/3111/5171+5169</t>
  </si>
  <si>
    <t xml:space="preserve">                   MŠ Beskydská (MŠ Trojlístek) - oprava plotu PD</t>
  </si>
  <si>
    <t>1416/3111/6121</t>
  </si>
  <si>
    <t xml:space="preserve">                   MŠ Komenského (MŠ Trojlístek) - učebny, verandy PD </t>
  </si>
  <si>
    <r>
      <t xml:space="preserve">                   ZŠ Komenského 66 - výměna ležatých rozvodů vody a výměna podhledů </t>
    </r>
    <r>
      <rPr>
        <sz val="10"/>
        <color rgb="FFFF0000"/>
        <rFont val="Arial CE"/>
        <charset val="238"/>
      </rPr>
      <t xml:space="preserve">1.et.ukončena 2023, </t>
    </r>
    <r>
      <rPr>
        <sz val="10"/>
        <rFont val="Arial CE"/>
        <charset val="238"/>
      </rPr>
      <t>2. et. PD</t>
    </r>
  </si>
  <si>
    <r>
      <t xml:space="preserve">                   ZŠ Tyršova - pořízení serveru, havarijní stav </t>
    </r>
    <r>
      <rPr>
        <sz val="10"/>
        <color rgb="FF0000FF"/>
        <rFont val="Arial CE"/>
        <charset val="238"/>
      </rPr>
      <t>převedeno na OŠKS</t>
    </r>
  </si>
  <si>
    <t>1417/3113/6121</t>
  </si>
  <si>
    <t xml:space="preserve">                   ZŠ Jubilejní - revitalizace atria PD</t>
  </si>
  <si>
    <t>1420/3113/5171+5169</t>
  </si>
  <si>
    <t xml:space="preserve">                   ZŠ Komenského 68 - nátěr a oprava fasády PD</t>
  </si>
  <si>
    <t>1421/3113/5171+5169</t>
  </si>
  <si>
    <t xml:space="preserve">                   ZŠ Komenského 68 - oprava žákovských šaten PD  </t>
  </si>
  <si>
    <t>1422/3113/5171+5169</t>
  </si>
  <si>
    <t xml:space="preserve">                   ZŠ Tyršova - výměna oken závěrečná etapa </t>
  </si>
  <si>
    <t>1423/3113/5171+5169</t>
  </si>
  <si>
    <t xml:space="preserve">                   ZŠ Tyršova - oprava vnitřní kanalizace v ŠJ PD</t>
  </si>
  <si>
    <t>Sportovní zařízení ve vlastnictví obce</t>
  </si>
  <si>
    <t>1412/3412/6121</t>
  </si>
  <si>
    <t xml:space="preserve">                   ZŠ Jubilejní - revitalizace školního hřiště PD</t>
  </si>
  <si>
    <t>1413/3412/6121</t>
  </si>
  <si>
    <t xml:space="preserve">                   ZŠ Komenského 66 - revitalizace školního hřiště </t>
  </si>
  <si>
    <r>
      <t xml:space="preserve">Školské zařízení </t>
    </r>
    <r>
      <rPr>
        <sz val="9"/>
        <rFont val="Arial CE"/>
      </rPr>
      <t>(účet 2310800)</t>
    </r>
  </si>
  <si>
    <t>1424/3233/6121</t>
  </si>
  <si>
    <t xml:space="preserve">                  SVČ Fokus - zateplení,  rekonstrukce střechy PD</t>
  </si>
  <si>
    <t>1388/3613/5166</t>
  </si>
  <si>
    <t xml:space="preserve">                    Konzultační a poradenské služby</t>
  </si>
  <si>
    <t xml:space="preserve">                    Konzultační služby (městský architekt 500, ostatní právní služby 15)</t>
  </si>
  <si>
    <t xml:space="preserve">                    Rozvojové plány a studie; administrace projektu; Zdravé město 45; participativní  rozpočet 400; ul. Potoční - dopravní řešení …</t>
  </si>
  <si>
    <t xml:space="preserve">                   Pohoštění </t>
  </si>
  <si>
    <t xml:space="preserve">                   Beskydské divadlo - oprava vzduchotechniky PD</t>
  </si>
  <si>
    <t xml:space="preserve">                   Beskydské divadlo - modernizace kotelny Divadelní 5 (č.z. 14/22) PD</t>
  </si>
  <si>
    <t>1603/3311/5171+5169</t>
  </si>
  <si>
    <t xml:space="preserve">                   Beskydské divadlo - oprava vnějšího pláště historické budovy PD </t>
  </si>
  <si>
    <t>1606/3392/6121</t>
  </si>
  <si>
    <t>1604/3392/5171+5169</t>
  </si>
  <si>
    <t xml:space="preserve">                   Sociální zařízení na Skalkách (MKS) - revitalizace PD </t>
  </si>
  <si>
    <t>1605/3392/5171+5169</t>
  </si>
  <si>
    <t xml:space="preserve">                   Kaple sv. Michala Bludovice - obnova fasády PD + realizace</t>
  </si>
  <si>
    <t xml:space="preserve">                   Budova Divadelní 1 - rekontrukce vstupu, vestibulu, nová jednací místnost  </t>
  </si>
  <si>
    <t xml:space="preserve">                   Radnice - vchod z ul. Úzká a dvůr, revitalizace prostoru PD</t>
  </si>
  <si>
    <t xml:space="preserve">                   Skladovací boxy Kompostárna TSNJ PD</t>
  </si>
  <si>
    <t xml:space="preserve">                   Kanalizace v areálu TSNJ ul. Suvorovova PD</t>
  </si>
  <si>
    <t xml:space="preserve">                  Středisko zeleně ul. Palackého - dílny, rekonstrukce PD </t>
  </si>
  <si>
    <t xml:space="preserve">                  Stavebninový dvůr ul. Suvorovova - oplocení, zpevněná plocha PD</t>
  </si>
  <si>
    <t xml:space="preserve">                  Podzemní kontejnery TSNJ 8 ks PD + 4 ks realizace </t>
  </si>
  <si>
    <t xml:space="preserve">                   Venkovní bazén (č.z. 08/22)</t>
  </si>
  <si>
    <t>3747/3412/6121</t>
  </si>
  <si>
    <t xml:space="preserve">                   Byty Jungmannova 26/2, Masarykovo nám.26/15 - přestavba bytového podniku (č.z.07/22) PD</t>
  </si>
  <si>
    <t xml:space="preserve">                    Dům na ul.Dobrovského 39/2 - oprava PD</t>
  </si>
  <si>
    <t xml:space="preserve">                    Dům na ul. Gen. Hlaďo 758/22 (Čedok) - oprava PD</t>
  </si>
  <si>
    <t xml:space="preserve">                    Dům Masarykovo nám. 27/16 (lékárna) - oprava PD</t>
  </si>
  <si>
    <t xml:space="preserve">                    Dům na ul. Resslova 1213/1 (nebyt.prostor) - oprava výloh,  vstup a interiéru PD </t>
  </si>
  <si>
    <t xml:space="preserve">                    Dům na ul. 5. května 2098/4 - revitalizace, studie</t>
  </si>
  <si>
    <t xml:space="preserve">                    Dům na ul. Havlíčkova 104/11 - sanace PD</t>
  </si>
  <si>
    <t xml:space="preserve">                     Výtahy Jičínská 275 (2 ks) a Revoluční 36 - PD + realizace</t>
  </si>
  <si>
    <t xml:space="preserve">                   Hückelové vily - odvodnění - průzkum HG (č.z. 02/22) PD</t>
  </si>
  <si>
    <t xml:space="preserve">                   Objekt na ul. Suvorovova 152 - okna (č.z. 11/22)</t>
  </si>
  <si>
    <t xml:space="preserve">                   VPP Hoblíkova - zázemí pro pracovníky TSNJ PD</t>
  </si>
  <si>
    <t>5748/3613/5171+5169</t>
  </si>
  <si>
    <t xml:space="preserve">                    Kostelní věž - realizace (pol.5169: 300 tis., pol.5171: 3200 tis.)</t>
  </si>
  <si>
    <t>3749/3613/6121</t>
  </si>
  <si>
    <t xml:space="preserve">                    Veřejné WC na ul. Úzká- rekonstrukce PD</t>
  </si>
  <si>
    <t xml:space="preserve">                    Fojtství Bludovice (č.z. 10/22) PD</t>
  </si>
  <si>
    <t xml:space="preserve">                   Fotovoltaické elektrárna v objektu TSNJ na ul. Suvorovova PD + realizace</t>
  </si>
  <si>
    <t>3750/3634/6122</t>
  </si>
  <si>
    <t xml:space="preserve">                   Fotovoltaická elektrárna v objektu bazénu PD</t>
  </si>
  <si>
    <t xml:space="preserve">                   Objektové předávací stanice 10 ks - výměna MaR PD + realizace</t>
  </si>
  <si>
    <t xml:space="preserve">                    Kotelna Divadelní 8 - modernizace PD</t>
  </si>
  <si>
    <t xml:space="preserve">                    Teplovod Nerudova 14,16,18 </t>
  </si>
  <si>
    <t xml:space="preserve">                   Smetanovy sady - etapa za kaplí PD </t>
  </si>
  <si>
    <t xml:space="preserve">                   VO EFEKT 2023</t>
  </si>
  <si>
    <t xml:space="preserve">                   Hřbitov - kolumbárium, vsypová loučka (TSNJ) PD</t>
  </si>
  <si>
    <t xml:space="preserve">                   Hřbitov -chodníky, sítě (TSNJ) PD</t>
  </si>
  <si>
    <t xml:space="preserve">                   Hřbitov - čestné hroby 2. etapa sanace (TSNJ)</t>
  </si>
  <si>
    <t xml:space="preserve">                   Smuteční síň a technické zázemí - rekonstrukce (TSNJ)</t>
  </si>
  <si>
    <r>
      <t xml:space="preserve">Využití volného času dětí a mládeže </t>
    </r>
    <r>
      <rPr>
        <sz val="9"/>
        <rFont val="Arial CE"/>
        <charset val="238"/>
      </rPr>
      <t xml:space="preserve">(účet 2310800) </t>
    </r>
  </si>
  <si>
    <t xml:space="preserve"> investice: Rodinné hřiště TJ Sokol - Lamberk</t>
  </si>
  <si>
    <t>mobiliář město Lesopark Skalky - odpadkové koše, lavičky Hückelovy vily)</t>
  </si>
  <si>
    <r>
      <t>Zastupitelstva obcí</t>
    </r>
    <r>
      <rPr>
        <sz val="9"/>
        <rFont val="Arial CE"/>
        <charset val="238"/>
      </rPr>
      <t xml:space="preserve"> (ost.platy-refundace mzdy 30, odměny členů ZM 8520, zák.odvody 1046,6+766,8, refund.zák.odvodů 12, školení a vzdělávání pro uvolněné ZM 10, parkovné 0,5, cestovné (ubytování a doprava) 20, pohoštění vč.komisí a výborů 200, poplatky na konference 7, ošatné 90, dary 30)</t>
    </r>
  </si>
  <si>
    <r>
      <t>Sociální fond</t>
    </r>
    <r>
      <rPr>
        <sz val="10"/>
        <rFont val="Arial CE"/>
        <family val="2"/>
        <charset val="238"/>
      </rPr>
      <t xml:space="preserve"> </t>
    </r>
    <r>
      <rPr>
        <sz val="9"/>
        <rFont val="Arial CE"/>
        <family val="2"/>
        <charset val="238"/>
      </rPr>
      <t>(nákup ost. sl.  4067+60+21, rekreace zaměstnanců 3140, pohoštění-setkání zaměstnanců+bývalých zaměstnanců 206, dary obyvatelstvu při úmrtí zaměstnance nebo člena rodiny 100, jubilea 285, penzijní a životní pojištění zaměstn. 1150+30, akce odborů+nájemné Mořkov 26+9</t>
    </r>
  </si>
  <si>
    <r>
      <t xml:space="preserve">             individuální dotace z IP kraje -Charita AD 1.249.000, Sl.Diakonie Soc.reh. 298.000, CSS SAS 480.000, Jinak Podpora sam.bydlení 70.000 </t>
    </r>
    <r>
      <rPr>
        <sz val="10"/>
        <rFont val="Arial CE"/>
        <charset val="238"/>
      </rPr>
      <t>+ zapojení Fondu soc.služeb v celkové výši 559.400 Kč</t>
    </r>
  </si>
  <si>
    <t xml:space="preserve">             § 2223 pokuty za dopravní přestupky (Odbor přestupkových agent)</t>
  </si>
  <si>
    <r>
      <t xml:space="preserve">mobiliář </t>
    </r>
    <r>
      <rPr>
        <sz val="10"/>
        <rFont val="Arial CE"/>
        <charset val="238"/>
      </rPr>
      <t>(TSM 350 + 200 oprava dřevěných stánků)</t>
    </r>
  </si>
  <si>
    <t xml:space="preserve">                   Zimní stadion - přístavba ubytovny a tělocvičny PD</t>
  </si>
  <si>
    <t xml:space="preserve">             nebytový dům Beskydská 176</t>
  </si>
  <si>
    <t xml:space="preserve">                                    Žilina</t>
  </si>
  <si>
    <t xml:space="preserve">                    PD kolumbárium, obnova stávajícího kolumbária, vsypové loučky (přesun hrobů)</t>
  </si>
  <si>
    <t xml:space="preserve">              Příspěvek na TSM - Výměna osvětlení za úsporné LED v objektech svěřených TSM NJ, městská tržnice (100 tis.)</t>
  </si>
  <si>
    <t xml:space="preserve">                               - příspěvek na provoz, včetně energií 1 188, včetně odpisů z nemovitého majetku </t>
  </si>
  <si>
    <t xml:space="preserve">                               - příspěvek na provoz, včetně energií 1 600, včetně odpisů z nemovitého majetku </t>
  </si>
  <si>
    <t xml:space="preserve">                               - příspěvek na provoz, včetně energií 1 287, včetně odpisů z nemovitého majetku </t>
  </si>
  <si>
    <t xml:space="preserve">                              - příspěvek na provoz, včetně energií 5 445, včetně odpisů z nemovitého majetku </t>
  </si>
  <si>
    <t xml:space="preserve">                              - příspěvek na provoz, včetně energií 2 624, včetně odpisů z nemovitého majetku </t>
  </si>
  <si>
    <t xml:space="preserve">                              - příspěvek na provoz, včetně energií 2 178, včetně odpisů z nemovitého majetku </t>
  </si>
  <si>
    <t xml:space="preserve">                             - příspěvek na provoz (vč. Montessori 250), vč.energií 3 168, vč.odpisů z nem.majetku</t>
  </si>
  <si>
    <t xml:space="preserve">                  - příspěvek na provoz, včetně energií 1 170, včetně odpisů z nemovitého majetku </t>
  </si>
  <si>
    <t>z toho: příspěvek na provoz, včetně energií 2 835, včetně odpisů z nemovitého majetku 522</t>
  </si>
  <si>
    <t xml:space="preserve">           -  příspěvek na provoz MKS a Kina Květen, vč.energií 1 620, vč.odpisů z nem.majetku 178 </t>
  </si>
  <si>
    <t xml:space="preserve">z toho:  nájemné (užití pozemku, DZ) </t>
  </si>
  <si>
    <t>z toho: rozpočtová rezerva (vč.rezervy  z progr.dotací OSV: celorok 291, dobrov. 5, hospic 65)</t>
  </si>
  <si>
    <t xml:space="preserve">                  Komunální technika - kombinace na léto a zimu (třístranný sklápeč a sypač s pluhem) při zapojení FI TSM 2,2 mil. Kč</t>
  </si>
  <si>
    <t xml:space="preserve">             vratka nepoužité dotace z r. 2022 na "Volby prezidenta ČR" (ÚZ 98008)</t>
  </si>
  <si>
    <r>
      <t>z toho: doplatek energií za r. 2022</t>
    </r>
    <r>
      <rPr>
        <sz val="9"/>
        <rFont val="Arial CE"/>
        <charset val="238"/>
      </rPr>
      <t xml:space="preserve"> (MŠ Trojlístek: 15,61479; ZŠ a MŠ Jubil.57,24653; ZŠ Kom.66: 130,29527; ZŠ Kom.68: 210,48542; ZŠ Tyršova: 444,69721)</t>
    </r>
  </si>
  <si>
    <r>
      <rPr>
        <b/>
        <sz val="9"/>
        <rFont val="Arial CE"/>
        <charset val="238"/>
      </rPr>
      <t>741</t>
    </r>
    <r>
      <rPr>
        <sz val="9"/>
        <rFont val="Arial CE"/>
        <charset val="238"/>
      </rPr>
      <t>/6118/2329</t>
    </r>
  </si>
  <si>
    <t xml:space="preserve">            na poskytování podpory soc.služeb dle zákona o soc.službách ORJ 029, org.1119 (pro Prosenior)</t>
  </si>
  <si>
    <t xml:space="preserve">            Potravin.pomoc dětem v soc.nouzi z prostř.OPZ+ v MSK</t>
  </si>
  <si>
    <t xml:space="preserve">             Byty Ukrajina (po schválení ve tř. 4)</t>
  </si>
  <si>
    <t xml:space="preserve">            MMR: Byty Ukrajina (ÚZ 17514)</t>
  </si>
  <si>
    <r>
      <t xml:space="preserve">            IROP MMR Jičínská  272 - revitalizace bytového domu </t>
    </r>
    <r>
      <rPr>
        <sz val="9"/>
        <rFont val="Arial"/>
        <family val="2"/>
        <charset val="238"/>
      </rPr>
      <t>(odbor bytový) (ÚZ 17969 N 107 Z 5)</t>
    </r>
  </si>
  <si>
    <r>
      <t xml:space="preserve">            IROP MMR Jičínská  275 - revitalizace bytového domu </t>
    </r>
    <r>
      <rPr>
        <sz val="9"/>
        <rFont val="Arial"/>
        <family val="2"/>
        <charset val="238"/>
      </rPr>
      <t>(odbor bytový) (ÚZ 17969 N 107 Z 5)</t>
    </r>
  </si>
  <si>
    <t>ORJ</t>
  </si>
  <si>
    <t>ORG</t>
  </si>
  <si>
    <t>Název akce</t>
  </si>
  <si>
    <t xml:space="preserve">Celkové předpokl. výdaje na akci </t>
  </si>
  <si>
    <t>Skutečné výdaje před            r. 2023</t>
  </si>
  <si>
    <t>Předpokl. výdaje
r. 2023</t>
  </si>
  <si>
    <t>Požadavek na rozpočet města                                                                (v Kč)</t>
  </si>
  <si>
    <t>Poznámka</t>
  </si>
  <si>
    <t>2024</t>
  </si>
  <si>
    <t>2025</t>
  </si>
  <si>
    <t>po r. 2025</t>
  </si>
  <si>
    <t>602 Vodní hospodářství</t>
  </si>
  <si>
    <t>Vodovod Straník (společně s kanalizací) PD</t>
  </si>
  <si>
    <t>jedná se pouze o předpokládané náklady na PD</t>
  </si>
  <si>
    <t>Kanalizace Bludovice PD</t>
  </si>
  <si>
    <t>Kanalizace Straník (společně s vodovodem) PD</t>
  </si>
  <si>
    <t>610 Doprava</t>
  </si>
  <si>
    <t>Komunikace Nový Jičín - Kojetín PD</t>
  </si>
  <si>
    <t>Křižovatka ul. Propojovací a Hřbitovní PD</t>
  </si>
  <si>
    <t>614 Školství - akce OŠKS</t>
  </si>
  <si>
    <t xml:space="preserve">ZŠ Tyršova - výměna oken závěrečná etapa </t>
  </si>
  <si>
    <t>jedná se o náklady na realizaci</t>
  </si>
  <si>
    <t>616 Kultura - akce OŠKS</t>
  </si>
  <si>
    <t>Kino Květen - rekonstrukce studie + PD</t>
  </si>
  <si>
    <t>jedná se pouze o předpokládané náklady na studii a PD</t>
  </si>
  <si>
    <t>637 - akce OB</t>
  </si>
  <si>
    <t>Venkovní bazén (č.z. 08/22)</t>
  </si>
  <si>
    <t>Dům na ul.Dobrovského 39/2 - oprava - PD</t>
  </si>
  <si>
    <t>Dům na ul. Gen. Hlaďo 758/22 (Čedok) - oprava - PD</t>
  </si>
  <si>
    <t>Dům Masarykovo nám. 27/16 (lékárna) - oprava  - PD</t>
  </si>
  <si>
    <t>Dům na ul.  Jungmannova 1, 5. května - revitalizace - PD</t>
  </si>
  <si>
    <t>Dům na ul. Havlíčkova 104/11 - sanace - PD</t>
  </si>
  <si>
    <t>Fojtství Bludovice (č.z. 10/22) - PD</t>
  </si>
  <si>
    <t>639 Komunální služby a územní rozvoj</t>
  </si>
  <si>
    <t>Tenisová hala B. Martinů PD</t>
  </si>
  <si>
    <t>jedná se pouze o předpokládané náklady na PD, studie z r. 2023</t>
  </si>
  <si>
    <t>Víceúčelová sportovní hala Jičínka PD</t>
  </si>
  <si>
    <t>jedná se pouze o předpokládané náklady na PD, architektonická soutěž z r. 2023</t>
  </si>
  <si>
    <t xml:space="preserve">Inženýrské sítě ve sportovním areálu - PD </t>
  </si>
  <si>
    <t>Převod obchodních podílů k objektu Nové Slunce na ul. Husova</t>
  </si>
  <si>
    <t>CELKEM</t>
  </si>
  <si>
    <r>
      <t xml:space="preserve">                   Kanalizační přípojka ZS NJ - oprava </t>
    </r>
    <r>
      <rPr>
        <sz val="10"/>
        <color rgb="FFFF0000"/>
        <rFont val="Arial CE"/>
        <charset val="238"/>
      </rPr>
      <t>ukončeno 2023</t>
    </r>
  </si>
  <si>
    <r>
      <t xml:space="preserve">           § 6171 činnost místní správy</t>
    </r>
    <r>
      <rPr>
        <sz val="10"/>
        <rFont val="Arial CE"/>
        <charset val="238"/>
      </rPr>
      <t xml:space="preserve"> </t>
    </r>
    <r>
      <rPr>
        <sz val="9"/>
        <rFont val="Arial CE"/>
        <charset val="238"/>
      </rPr>
      <t>(Odbor finanční: náklady řízení 15, úhrada exek.a soudních řízení 15)</t>
    </r>
  </si>
  <si>
    <r>
      <t>Příjmy z prodeje pozemků s DPH 21%, popř. s DPH 0%</t>
    </r>
    <r>
      <rPr>
        <b/>
        <sz val="9"/>
        <rFont val="Arial CE"/>
        <family val="2"/>
        <charset val="238"/>
      </rPr>
      <t xml:space="preserve"> </t>
    </r>
    <r>
      <rPr>
        <sz val="9"/>
        <rFont val="Arial CE"/>
        <family val="2"/>
        <charset val="238"/>
      </rPr>
      <t>(Prům. park 33300, Prům. park-nabídkové řízení 10300, ČSAD 5000, ost. 600 vč. DPH)</t>
    </r>
  </si>
  <si>
    <r>
      <t xml:space="preserve">            Odbor správních agend </t>
    </r>
    <r>
      <rPr>
        <sz val="9"/>
        <rFont val="Arial CE"/>
        <charset val="238"/>
      </rPr>
      <t>(matrika 170, ohlašovna 35, CzechPoint+vidimace a legalizace 64, OP 350, CD 1100)</t>
    </r>
  </si>
  <si>
    <t xml:space="preserve">            § vratky indiv.dotací (org. 1180): § 3111 MŠ Bludovice 5,36 + § 3322 ŘKF 147,136</t>
  </si>
  <si>
    <r>
      <t xml:space="preserve">           § 4351 neinvestiční příspěvek na poskytování sociálních služeb pro Prosenior </t>
    </r>
    <r>
      <rPr>
        <sz val="9"/>
        <rFont val="Arial CE"/>
        <charset val="238"/>
      </rPr>
      <t>(předpokládaná dotace z MPSV) - po schválení je rozpočtováno na pol. 4122</t>
    </r>
  </si>
  <si>
    <r>
      <t xml:space="preserve">           §           neinvestiční příspěvek pouze na výkon soc.práce mimo soc.právní ochranu dětí </t>
    </r>
    <r>
      <rPr>
        <sz val="9"/>
        <rFont val="Arial CE"/>
        <charset val="238"/>
      </rPr>
      <t>(předpokládaná dotace z MPSV) - po schválení je rozpočtováno na pol. 4116 (ÚZ 914)</t>
    </r>
  </si>
  <si>
    <r>
      <t xml:space="preserve">           § 6118 neinvest.příspěvek </t>
    </r>
    <r>
      <rPr>
        <sz val="9"/>
        <rFont val="Arial CE"/>
        <family val="2"/>
        <charset val="238"/>
      </rPr>
      <t>(dotace)</t>
    </r>
    <r>
      <rPr>
        <sz val="10"/>
        <rFont val="Arial CE"/>
        <family val="2"/>
        <charset val="238"/>
      </rPr>
      <t xml:space="preserve"> na volby prezidenta republiky v r. 2023 - předpokládaný doplatek</t>
    </r>
  </si>
  <si>
    <r>
      <t xml:space="preserve">           na volby v roce 2024 (předpokládané dotace) - </t>
    </r>
    <r>
      <rPr>
        <sz val="9"/>
        <rFont val="Arial CE"/>
        <charset val="238"/>
      </rPr>
      <t>po schválení je rozpočtováno na pol. 4111</t>
    </r>
  </si>
  <si>
    <r>
      <t xml:space="preserve">           § 3322-3326 neinvestiční příspěvek na regeneraci MPR a MPZ (předpokládaná dotace z MK ČR) -</t>
    </r>
    <r>
      <rPr>
        <sz val="9"/>
        <rFont val="Arial CE"/>
        <charset val="238"/>
      </rPr>
      <t>po schválení je rozpočtováno na pol. 4116 (ÚZ 34054)</t>
    </r>
  </si>
  <si>
    <t xml:space="preserve">            § 3419 vratky program.dotací-oblast sportu (TJ Sokol Bludovice 3)</t>
  </si>
  <si>
    <t xml:space="preserve">            § vratky program.dotací-oblast sociální (Centrum soc.služeb Ostrava 265,67313, Slezská diakonie 2,49) </t>
  </si>
  <si>
    <r>
      <t xml:space="preserve">Očekávané plnění
k 31.12.2023
</t>
    </r>
    <r>
      <rPr>
        <sz val="9"/>
        <rFont val="Arial CE"/>
        <charset val="238"/>
      </rPr>
      <t>(v Kč)</t>
    </r>
  </si>
  <si>
    <r>
      <t xml:space="preserve">            mimořádné dotace a dary (org. 1180): </t>
    </r>
    <r>
      <rPr>
        <sz val="9"/>
        <rFont val="Arial CE"/>
        <charset val="238"/>
      </rPr>
      <t>MŠ Beruška 267, ZŠ Galaxie 452 a MŠ Bludovice 61,776 - všechny 3 subjekty na úhradu režijních nákladů na stravování dětí včetně dovozu, ZO ČSOP Bartošovice  záchrana handicapovaných zvířat 90, Česká křesťanská akademie 15, stipendia 200</t>
    </r>
  </si>
  <si>
    <t xml:space="preserve">           § 1019 ostatní zemědělská a potravinářská činnost a rozvoj</t>
  </si>
  <si>
    <r>
      <t xml:space="preserve">           § 3319 ostatní sportovní činnost </t>
    </r>
    <r>
      <rPr>
        <sz val="9"/>
        <rFont val="Arial CE"/>
        <charset val="238"/>
      </rPr>
      <t>(Odbor školství, kultury a sportu)</t>
    </r>
  </si>
  <si>
    <r>
      <t xml:space="preserve">           § 3322 zachování a obnova kulturních památek </t>
    </r>
    <r>
      <rPr>
        <sz val="9"/>
        <rFont val="Arial CE"/>
        <charset val="238"/>
      </rPr>
      <t>(Odbor školství, kultury a sportu)</t>
    </r>
  </si>
  <si>
    <r>
      <t xml:space="preserve">           § 3612 tržby za správu SVJ</t>
    </r>
    <r>
      <rPr>
        <sz val="9"/>
        <rFont val="Arial CE"/>
        <charset val="238"/>
      </rPr>
      <t xml:space="preserve"> (Odbor bytový)</t>
    </r>
  </si>
  <si>
    <r>
      <t xml:space="preserve">Rozpočet města Nový Jičín na rok 2024                                                                                                                                                                                                                                                   (detailnější rozpis Přílohy č. 1)                                                                                                                                                                                                                                                                                                                                                                                                                                                                                                                               </t>
    </r>
    <r>
      <rPr>
        <sz val="14"/>
        <rFont val="Arial CE"/>
        <charset val="238"/>
      </rPr>
      <t xml:space="preserve">   </t>
    </r>
    <r>
      <rPr>
        <b/>
        <sz val="14"/>
        <rFont val="Arial CE"/>
        <family val="2"/>
        <charset val="238"/>
      </rPr>
      <t xml:space="preserve">                                                                                                                                                                                                                                                                                                                                                                            </t>
    </r>
    <r>
      <rPr>
        <sz val="11"/>
        <rFont val="Arial CE"/>
        <charset val="238"/>
      </rPr>
      <t xml:space="preserve"> (údaje </t>
    </r>
    <r>
      <rPr>
        <b/>
        <sz val="11"/>
        <rFont val="Arial CE"/>
        <charset val="238"/>
      </rPr>
      <t>v textu</t>
    </r>
    <r>
      <rPr>
        <sz val="11"/>
        <rFont val="Arial CE"/>
        <charset val="238"/>
      </rPr>
      <t xml:space="preserve"> jsou převážně v tis. Kč, pokud jsou v jiných jednotkách = vždy uvedeno)          </t>
    </r>
    <r>
      <rPr>
        <b/>
        <sz val="14"/>
        <rFont val="Arial CE"/>
        <family val="2"/>
        <charset val="238"/>
      </rPr>
      <t xml:space="preserve">                  </t>
    </r>
  </si>
  <si>
    <r>
      <t xml:space="preserve">Rozpočet města Nový Jičín na rok 2024                                                                                                                                                                                                                                                                                                                                                 </t>
    </r>
    <r>
      <rPr>
        <sz val="14"/>
        <rFont val="Arial CE"/>
        <charset val="238"/>
      </rPr>
      <t xml:space="preserve"> </t>
    </r>
    <r>
      <rPr>
        <b/>
        <sz val="14"/>
        <rFont val="Arial CE"/>
        <family val="2"/>
        <charset val="238"/>
      </rPr>
      <t xml:space="preserve">                                                                                                                                                                                                                                                                                                                                </t>
    </r>
    <r>
      <rPr>
        <sz val="11"/>
        <rFont val="Arial CE"/>
        <charset val="238"/>
      </rPr>
      <t xml:space="preserve">                            </t>
    </r>
    <r>
      <rPr>
        <b/>
        <sz val="14"/>
        <rFont val="Arial CE"/>
        <family val="2"/>
        <charset val="238"/>
      </rPr>
      <t xml:space="preserve">                  </t>
    </r>
  </si>
  <si>
    <r>
      <t xml:space="preserve">Rok 2024                                                                                                                                       </t>
    </r>
    <r>
      <rPr>
        <sz val="10"/>
        <rFont val="Arial CE"/>
        <charset val="238"/>
      </rPr>
      <t xml:space="preserve"> </t>
    </r>
    <r>
      <rPr>
        <sz val="9"/>
        <rFont val="Arial CE"/>
        <charset val="238"/>
      </rPr>
      <t xml:space="preserve"> (v Kč)</t>
    </r>
  </si>
  <si>
    <r>
      <t xml:space="preserve">Rok 2024                                                                                                                                      </t>
    </r>
    <r>
      <rPr>
        <sz val="10"/>
        <rFont val="Arial CE"/>
        <charset val="238"/>
      </rPr>
      <t xml:space="preserve">   (v Kč)</t>
    </r>
  </si>
  <si>
    <t>PŘEHLED AKCÍ V ROZPOČTU MĚSTA NA ROK 2024 S FINANCOVÁNÍM DO ROKU 2025</t>
  </si>
  <si>
    <r>
      <t xml:space="preserve">             § 5311 bezpečnost a veřejný pořádek </t>
    </r>
    <r>
      <rPr>
        <sz val="9"/>
        <rFont val="Arial CE"/>
        <charset val="238"/>
      </rPr>
      <t>(Městská policie: na místě zaplac. 500, na místě nezapl. 150)</t>
    </r>
  </si>
  <si>
    <r>
      <t xml:space="preserve">            § 6402 vratky státních a krajských dotací </t>
    </r>
    <r>
      <rPr>
        <sz val="9"/>
        <rFont val="Arial CE"/>
        <charset val="238"/>
      </rPr>
      <t>(SVČ Fokus 8,015+33,21; MŠ Trojlístek 11,89545)</t>
    </r>
  </si>
  <si>
    <t xml:space="preserve">           § 2141 vnitřní obchod (Návštěvnické centrum NJ)</t>
  </si>
  <si>
    <t xml:space="preserve">Neidentifikované příjmy </t>
  </si>
  <si>
    <t xml:space="preserve">            MMR: Energetické úspory Na Lani 272 (z r. 2022)-státní rozpočet (ÚZ 17968)</t>
  </si>
  <si>
    <r>
      <t xml:space="preserve">           § 6171 činnost místní správy </t>
    </r>
    <r>
      <rPr>
        <sz val="9"/>
        <rFont val="Arial CE"/>
        <charset val="238"/>
      </rPr>
      <t>(organizační odbor)</t>
    </r>
  </si>
  <si>
    <t xml:space="preserve">           § 3769 ostatní správa v životním prostředí</t>
  </si>
  <si>
    <r>
      <rPr>
        <b/>
        <sz val="10"/>
        <rFont val="Arial CE"/>
        <charset val="238"/>
      </rPr>
      <t>Prodej neinvestičního majetku</t>
    </r>
    <r>
      <rPr>
        <sz val="10"/>
        <rFont val="Arial CE"/>
        <family val="2"/>
        <charset val="238"/>
      </rPr>
      <t xml:space="preserve"> (odbor organizační)</t>
    </r>
  </si>
  <si>
    <t>z toho: doplatek TSM NJ</t>
  </si>
  <si>
    <r>
      <t>2310400/741/</t>
    </r>
    <r>
      <rPr>
        <b/>
        <sz val="9"/>
        <rFont val="Arial CE"/>
        <family val="2"/>
        <charset val="238"/>
      </rPr>
      <t>6409</t>
    </r>
    <r>
      <rPr>
        <sz val="9"/>
        <rFont val="Arial CE"/>
        <family val="2"/>
        <charset val="238"/>
      </rPr>
      <t>/5904/13013</t>
    </r>
  </si>
  <si>
    <r>
      <t xml:space="preserve">Změna stavu dlouhodobých prostředků na bankovních účtech </t>
    </r>
    <r>
      <rPr>
        <sz val="10"/>
        <rFont val="Arial CE"/>
        <charset val="238"/>
      </rPr>
      <t>(předpoklad vyplacení 97,72425045 mil. Kč ze Sberbank v roce 2023 + doplatek ze Sberbank v roce 2024)</t>
    </r>
  </si>
  <si>
    <r>
      <t xml:space="preserve">Změna stavu krátkodobých prostředků na bankovních účtech </t>
    </r>
    <r>
      <rPr>
        <sz val="10"/>
        <rFont val="Arial CE"/>
        <charset val="238"/>
      </rPr>
      <t>(zapojení konečných zůstatků k 31.12.2023 na účtech města 77,35825178 mil. Kč)</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</si>
</sst>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 _K_č_-;\-* #,##0.00\ _K_č_-;_-* &quot;-&quot;??\ _K_č_-;_-@_-"/>
    <numFmt numFmtId="164" formatCode="#,##0.000"/>
    <numFmt numFmtId="165" formatCode="_-* #,##0.00\ _K_č_-;\-* #,##0.00\ _K_č_-;_-* \-??\ _K_č_-;_-@_-"/>
    <numFmt numFmtId="166" formatCode="0.0"/>
  </numFmts>
  <fonts count="106" x14ac:knownFonts="1">
    <font>
      <sz val="10"/>
      <name val="Arial CE"/>
      <charset val="238"/>
    </font>
    <font>
      <sz val="11"/>
      <color theme="1"/>
      <name val="Calibri"/>
      <family val="2"/>
      <charset val="238"/>
      <scheme val="minor"/>
    </font>
    <font>
      <sz val="11"/>
      <color indexed="8"/>
      <name val="Calibri"/>
      <family val="2"/>
      <charset val="238"/>
    </font>
    <font>
      <sz val="10"/>
      <name val="Arial CE"/>
      <family val="2"/>
      <charset val="238"/>
    </font>
    <font>
      <b/>
      <sz val="10"/>
      <name val="Arial CE"/>
      <charset val="238"/>
    </font>
    <font>
      <b/>
      <sz val="12"/>
      <name val="Arial CE"/>
      <family val="2"/>
      <charset val="238"/>
    </font>
    <font>
      <b/>
      <sz val="14"/>
      <name val="Arial CE"/>
      <family val="2"/>
      <charset val="238"/>
    </font>
    <font>
      <b/>
      <sz val="9"/>
      <name val="Arial CE"/>
      <charset val="238"/>
    </font>
    <font>
      <sz val="8"/>
      <name val="Arial CE"/>
      <charset val="238"/>
    </font>
    <font>
      <sz val="11"/>
      <name val="Arial CE"/>
      <charset val="238"/>
    </font>
    <font>
      <b/>
      <sz val="11"/>
      <name val="Arial CE"/>
      <charset val="238"/>
    </font>
    <font>
      <sz val="9"/>
      <name val="Arial CE"/>
      <charset val="238"/>
    </font>
    <font>
      <sz val="14"/>
      <name val="Arial CE"/>
      <family val="2"/>
      <charset val="238"/>
    </font>
    <font>
      <sz val="12"/>
      <name val="Arial CE"/>
      <family val="2"/>
      <charset val="238"/>
    </font>
    <font>
      <b/>
      <i/>
      <sz val="12"/>
      <name val="Arial CE"/>
      <family val="2"/>
      <charset val="238"/>
    </font>
    <font>
      <b/>
      <i/>
      <sz val="12"/>
      <name val="Arial CE"/>
      <charset val="238"/>
    </font>
    <font>
      <sz val="12"/>
      <name val="Arial CE"/>
      <charset val="238"/>
    </font>
    <font>
      <i/>
      <sz val="12"/>
      <name val="Arial CE"/>
      <family val="2"/>
      <charset val="238"/>
    </font>
    <font>
      <b/>
      <sz val="14"/>
      <name val="Arial CE"/>
      <charset val="238"/>
    </font>
    <font>
      <sz val="18"/>
      <name val="Arial CE"/>
      <family val="2"/>
      <charset val="238"/>
    </font>
    <font>
      <b/>
      <sz val="18"/>
      <name val="Arial CE"/>
      <family val="2"/>
      <charset val="238"/>
    </font>
    <font>
      <b/>
      <sz val="16"/>
      <name val="Arial CE"/>
      <family val="2"/>
      <charset val="238"/>
    </font>
    <font>
      <sz val="14"/>
      <name val="Arial CE"/>
      <charset val="238"/>
    </font>
    <font>
      <i/>
      <sz val="12"/>
      <name val="Arial CE"/>
      <charset val="238"/>
    </font>
    <font>
      <b/>
      <sz val="12"/>
      <name val="Arial CE"/>
      <charset val="238"/>
    </font>
    <font>
      <b/>
      <i/>
      <sz val="14"/>
      <name val="Arial CE"/>
      <charset val="238"/>
    </font>
    <font>
      <b/>
      <i/>
      <sz val="14"/>
      <name val="Arial CE"/>
      <family val="2"/>
      <charset val="238"/>
    </font>
    <font>
      <b/>
      <i/>
      <sz val="13"/>
      <name val="Arial CE"/>
      <charset val="238"/>
    </font>
    <font>
      <sz val="16"/>
      <name val="Arial CE"/>
      <family val="2"/>
      <charset val="238"/>
    </font>
    <font>
      <b/>
      <sz val="16"/>
      <name val="Arial CE"/>
      <charset val="238"/>
    </font>
    <font>
      <b/>
      <sz val="10"/>
      <name val="Arial CE"/>
      <family val="2"/>
      <charset val="238"/>
    </font>
    <font>
      <i/>
      <sz val="9"/>
      <name val="Arial CE"/>
      <charset val="238"/>
    </font>
    <font>
      <sz val="9"/>
      <name val="Arial CE"/>
      <family val="2"/>
      <charset val="238"/>
    </font>
    <font>
      <b/>
      <sz val="9"/>
      <name val="Arial CE"/>
      <family val="2"/>
      <charset val="238"/>
    </font>
    <font>
      <sz val="10"/>
      <color indexed="8"/>
      <name val="Arial"/>
      <family val="2"/>
      <charset val="238"/>
    </font>
    <font>
      <b/>
      <i/>
      <sz val="9"/>
      <name val="Arial CE"/>
      <family val="2"/>
      <charset val="238"/>
    </font>
    <font>
      <b/>
      <sz val="20"/>
      <name val="Arial CE"/>
      <family val="2"/>
      <charset val="238"/>
    </font>
    <font>
      <sz val="20"/>
      <name val="Arial CE"/>
      <charset val="238"/>
    </font>
    <font>
      <sz val="8"/>
      <name val="Arial CE"/>
      <family val="2"/>
      <charset val="238"/>
    </font>
    <font>
      <sz val="10"/>
      <color indexed="8"/>
      <name val="Arial CE"/>
      <charset val="238"/>
    </font>
    <font>
      <b/>
      <sz val="12"/>
      <color indexed="8"/>
      <name val="Arial CE"/>
      <charset val="238"/>
    </font>
    <font>
      <sz val="8"/>
      <name val="Arial CE"/>
    </font>
    <font>
      <b/>
      <sz val="16"/>
      <name val="Arial CE"/>
    </font>
    <font>
      <b/>
      <sz val="15"/>
      <name val="Arial CE"/>
    </font>
    <font>
      <b/>
      <sz val="10"/>
      <name val="Arial CE"/>
    </font>
    <font>
      <b/>
      <sz val="12"/>
      <name val="Arial CE"/>
    </font>
    <font>
      <sz val="9"/>
      <name val="Arial CE"/>
    </font>
    <font>
      <sz val="10"/>
      <name val="Arial CE"/>
    </font>
    <font>
      <sz val="9"/>
      <name val="Arial"/>
      <family val="2"/>
      <charset val="238"/>
    </font>
    <font>
      <b/>
      <i/>
      <sz val="10"/>
      <name val="Arial CE"/>
      <charset val="238"/>
    </font>
    <font>
      <sz val="11"/>
      <name val="Calibri"/>
      <family val="2"/>
      <charset val="238"/>
    </font>
    <font>
      <sz val="10"/>
      <color indexed="40"/>
      <name val="Arial CE"/>
      <family val="2"/>
      <charset val="238"/>
    </font>
    <font>
      <sz val="10"/>
      <color indexed="30"/>
      <name val="Arial CE"/>
      <family val="2"/>
      <charset val="238"/>
    </font>
    <font>
      <b/>
      <i/>
      <sz val="10"/>
      <name val="Arial CE"/>
      <family val="2"/>
      <charset val="238"/>
    </font>
    <font>
      <u/>
      <sz val="9"/>
      <name val="Arial CE"/>
      <charset val="238"/>
    </font>
    <font>
      <b/>
      <sz val="10"/>
      <name val="Arial"/>
      <family val="2"/>
      <charset val="238"/>
    </font>
    <font>
      <sz val="10"/>
      <name val="Arial"/>
      <family val="2"/>
      <charset val="238"/>
    </font>
    <font>
      <b/>
      <i/>
      <sz val="10"/>
      <name val="Arial"/>
      <family val="2"/>
      <charset val="238"/>
    </font>
    <font>
      <b/>
      <i/>
      <u/>
      <sz val="10"/>
      <name val="Arial"/>
      <family val="2"/>
      <charset val="238"/>
    </font>
    <font>
      <i/>
      <sz val="10"/>
      <name val="Arial"/>
      <family val="2"/>
      <charset val="238"/>
    </font>
    <font>
      <sz val="8"/>
      <name val="Arial"/>
      <family val="2"/>
      <charset val="238"/>
    </font>
    <font>
      <sz val="10"/>
      <color indexed="10"/>
      <name val="Arial"/>
      <family val="2"/>
      <charset val="238"/>
    </font>
    <font>
      <b/>
      <sz val="10"/>
      <color indexed="10"/>
      <name val="Arial"/>
      <family val="2"/>
      <charset val="238"/>
    </font>
    <font>
      <i/>
      <sz val="11"/>
      <name val="Calibri"/>
      <family val="2"/>
      <charset val="238"/>
    </font>
    <font>
      <i/>
      <sz val="10"/>
      <name val="Arial CE"/>
      <charset val="238"/>
    </font>
    <font>
      <b/>
      <sz val="15"/>
      <name val="Arial CE"/>
      <charset val="238"/>
    </font>
    <font>
      <b/>
      <sz val="9"/>
      <color indexed="8"/>
      <name val="Tahoma"/>
      <family val="2"/>
      <charset val="238"/>
    </font>
    <font>
      <sz val="9"/>
      <color indexed="8"/>
      <name val="Tahoma"/>
      <family val="2"/>
      <charset val="238"/>
    </font>
    <font>
      <b/>
      <sz val="10"/>
      <color indexed="8"/>
      <name val="Arial CE"/>
      <charset val="238"/>
    </font>
    <font>
      <b/>
      <sz val="12"/>
      <name val="Arial"/>
      <family val="2"/>
      <charset val="238"/>
    </font>
    <font>
      <b/>
      <sz val="10"/>
      <color indexed="8"/>
      <name val="Arial CE"/>
      <family val="2"/>
      <charset val="238"/>
    </font>
    <font>
      <i/>
      <sz val="10"/>
      <name val="Arial CE"/>
      <family val="2"/>
      <charset val="238"/>
    </font>
    <font>
      <sz val="10"/>
      <name val="Arial CE"/>
      <charset val="238"/>
    </font>
    <font>
      <sz val="10"/>
      <color rgb="FFFF0000"/>
      <name val="Arial CE"/>
      <charset val="238"/>
    </font>
    <font>
      <sz val="12"/>
      <name val="Arial"/>
      <family val="2"/>
      <charset val="238"/>
    </font>
    <font>
      <sz val="14"/>
      <name val="Arial"/>
      <family val="2"/>
      <charset val="238"/>
    </font>
    <font>
      <sz val="9"/>
      <color indexed="81"/>
      <name val="Tahoma"/>
      <family val="2"/>
      <charset val="238"/>
    </font>
    <font>
      <b/>
      <sz val="9"/>
      <color indexed="81"/>
      <name val="Tahoma"/>
      <family val="2"/>
      <charset val="238"/>
    </font>
    <font>
      <b/>
      <sz val="20"/>
      <name val="Arial CE"/>
      <charset val="238"/>
    </font>
    <font>
      <sz val="9"/>
      <color theme="1"/>
      <name val="Arial CE"/>
      <charset val="238"/>
    </font>
    <font>
      <sz val="10"/>
      <color theme="1"/>
      <name val="Arial CE"/>
      <charset val="238"/>
    </font>
    <font>
      <sz val="10"/>
      <color theme="1"/>
      <name val="Arial CE"/>
      <family val="2"/>
      <charset val="238"/>
    </font>
    <font>
      <sz val="8"/>
      <color theme="1"/>
      <name val="Arial CE"/>
      <family val="2"/>
      <charset val="238"/>
    </font>
    <font>
      <sz val="8"/>
      <color theme="1"/>
      <name val="Arial CE"/>
      <charset val="238"/>
    </font>
    <font>
      <sz val="10"/>
      <color rgb="FF0070C0"/>
      <name val="Arial CE"/>
      <charset val="238"/>
    </font>
    <font>
      <sz val="10"/>
      <color theme="9"/>
      <name val="Arial CE"/>
      <charset val="238"/>
    </font>
    <font>
      <sz val="11"/>
      <name val="Calibri"/>
      <family val="2"/>
      <charset val="238"/>
      <scheme val="minor"/>
    </font>
    <font>
      <sz val="10"/>
      <color rgb="FF0000FF"/>
      <name val="Arial CE"/>
      <charset val="238"/>
    </font>
    <font>
      <sz val="11"/>
      <name val="Arial"/>
      <family val="2"/>
      <charset val="238"/>
    </font>
    <font>
      <b/>
      <sz val="14"/>
      <name val="Arial"/>
      <family val="2"/>
      <charset val="238"/>
    </font>
    <font>
      <b/>
      <sz val="16"/>
      <name val="Arial"/>
      <family val="2"/>
      <charset val="238"/>
    </font>
    <font>
      <b/>
      <i/>
      <sz val="9"/>
      <color rgb="FFFF0000"/>
      <name val="Arial CE"/>
      <charset val="238"/>
    </font>
    <font>
      <b/>
      <i/>
      <sz val="9"/>
      <name val="Arial CE"/>
      <charset val="238"/>
    </font>
    <font>
      <sz val="10"/>
      <color rgb="FF000000"/>
      <name val="Arial CE"/>
      <charset val="238"/>
    </font>
    <font>
      <b/>
      <sz val="14"/>
      <color theme="1"/>
      <name val="Arial CE"/>
      <charset val="238"/>
    </font>
    <font>
      <sz val="10"/>
      <color rgb="FFC00000"/>
      <name val="Arial CE"/>
      <charset val="238"/>
    </font>
    <font>
      <sz val="10"/>
      <name val="Arial"/>
    </font>
    <font>
      <sz val="9"/>
      <name val="Tahoma"/>
    </font>
    <font>
      <sz val="9"/>
      <color theme="4" tint="-0.249977111117893"/>
      <name val="Tahoma"/>
    </font>
    <font>
      <b/>
      <sz val="12"/>
      <name val="Tahoma"/>
    </font>
    <font>
      <sz val="9"/>
      <color indexed="2"/>
      <name val="Tahoma"/>
    </font>
    <font>
      <b/>
      <sz val="8"/>
      <name val="Tahoma"/>
    </font>
    <font>
      <b/>
      <sz val="8"/>
      <color indexed="2"/>
      <name val="Tahoma"/>
    </font>
    <font>
      <sz val="8"/>
      <color indexed="2"/>
      <name val="Tahoma"/>
    </font>
    <font>
      <sz val="8"/>
      <name val="Tahoma"/>
    </font>
    <font>
      <b/>
      <sz val="9"/>
      <color theme="4" tint="-0.249977111117893"/>
      <name val="Tahoma"/>
    </font>
  </fonts>
  <fills count="9">
    <fill>
      <patternFill patternType="none"/>
    </fill>
    <fill>
      <patternFill patternType="gray125"/>
    </fill>
    <fill>
      <patternFill patternType="solid">
        <fgColor indexed="26"/>
        <bgColor indexed="9"/>
      </patternFill>
    </fill>
    <fill>
      <patternFill patternType="solid">
        <fgColor indexed="9"/>
        <bgColor indexed="26"/>
      </patternFill>
    </fill>
    <fill>
      <patternFill patternType="solid">
        <fgColor indexed="42"/>
        <bgColor indexed="41"/>
      </patternFill>
    </fill>
    <fill>
      <patternFill patternType="solid">
        <fgColor indexed="47"/>
        <bgColor indexed="22"/>
      </patternFill>
    </fill>
    <fill>
      <patternFill patternType="solid">
        <fgColor theme="0"/>
        <bgColor indexed="64"/>
      </patternFill>
    </fill>
    <fill>
      <patternFill patternType="solid">
        <fgColor theme="7" tint="0.59999389629810485"/>
        <bgColor indexed="64"/>
      </patternFill>
    </fill>
    <fill>
      <patternFill patternType="solid">
        <fgColor indexed="47"/>
        <bgColor indexed="47"/>
      </patternFill>
    </fill>
  </fills>
  <borders count="380">
    <border>
      <left/>
      <right/>
      <top/>
      <bottom/>
      <diagonal/>
    </border>
    <border>
      <left style="thin">
        <color indexed="22"/>
      </left>
      <right style="thin">
        <color indexed="22"/>
      </right>
      <top style="thin">
        <color indexed="22"/>
      </top>
      <bottom style="thin">
        <color indexed="22"/>
      </bottom>
      <diagonal/>
    </border>
    <border>
      <left style="medium">
        <color indexed="8"/>
      </left>
      <right style="medium">
        <color indexed="8"/>
      </right>
      <top style="medium">
        <color indexed="8"/>
      </top>
      <bottom style="medium">
        <color indexed="8"/>
      </bottom>
      <diagonal/>
    </border>
    <border>
      <left/>
      <right/>
      <top style="medium">
        <color indexed="8"/>
      </top>
      <bottom style="medium">
        <color indexed="8"/>
      </bottom>
      <diagonal/>
    </border>
    <border>
      <left style="medium">
        <color indexed="8"/>
      </left>
      <right style="medium">
        <color indexed="8"/>
      </right>
      <top/>
      <bottom style="hair">
        <color indexed="8"/>
      </bottom>
      <diagonal/>
    </border>
    <border>
      <left style="medium">
        <color indexed="8"/>
      </left>
      <right style="medium">
        <color indexed="8"/>
      </right>
      <top style="medium">
        <color indexed="8"/>
      </top>
      <bottom style="hair">
        <color indexed="8"/>
      </bottom>
      <diagonal/>
    </border>
    <border>
      <left style="medium">
        <color indexed="8"/>
      </left>
      <right style="medium">
        <color indexed="8"/>
      </right>
      <top style="hair">
        <color indexed="8"/>
      </top>
      <bottom style="hair">
        <color indexed="8"/>
      </bottom>
      <diagonal/>
    </border>
    <border>
      <left style="medium">
        <color indexed="8"/>
      </left>
      <right style="medium">
        <color indexed="8"/>
      </right>
      <top style="hair">
        <color indexed="8"/>
      </top>
      <bottom/>
      <diagonal/>
    </border>
    <border>
      <left style="medium">
        <color indexed="8"/>
      </left>
      <right style="medium">
        <color indexed="8"/>
      </right>
      <top style="hair">
        <color indexed="8"/>
      </top>
      <bottom style="medium">
        <color indexed="8"/>
      </bottom>
      <diagonal/>
    </border>
    <border>
      <left style="medium">
        <color indexed="8"/>
      </left>
      <right style="medium">
        <color indexed="8"/>
      </right>
      <top/>
      <bottom/>
      <diagonal/>
    </border>
    <border>
      <left style="medium">
        <color indexed="8"/>
      </left>
      <right style="medium">
        <color indexed="8"/>
      </right>
      <top style="medium">
        <color indexed="8"/>
      </top>
      <bottom/>
      <diagonal/>
    </border>
    <border>
      <left style="medium">
        <color indexed="8"/>
      </left>
      <right style="medium">
        <color indexed="8"/>
      </right>
      <top/>
      <bottom style="medium">
        <color indexed="8"/>
      </bottom>
      <diagonal/>
    </border>
    <border>
      <left style="medium">
        <color indexed="8"/>
      </left>
      <right/>
      <top style="medium">
        <color indexed="8"/>
      </top>
      <bottom style="hair">
        <color indexed="8"/>
      </bottom>
      <diagonal/>
    </border>
    <border>
      <left style="medium">
        <color indexed="8"/>
      </left>
      <right/>
      <top style="hair">
        <color indexed="8"/>
      </top>
      <bottom style="hair">
        <color indexed="8"/>
      </bottom>
      <diagonal/>
    </border>
    <border>
      <left style="medium">
        <color indexed="8"/>
      </left>
      <right/>
      <top/>
      <bottom style="hair">
        <color indexed="8"/>
      </bottom>
      <diagonal/>
    </border>
    <border>
      <left style="medium">
        <color indexed="8"/>
      </left>
      <right/>
      <top/>
      <bottom style="medium">
        <color indexed="8"/>
      </bottom>
      <diagonal/>
    </border>
    <border>
      <left style="medium">
        <color indexed="8"/>
      </left>
      <right/>
      <top style="hair">
        <color indexed="8"/>
      </top>
      <bottom style="medium">
        <color indexed="8"/>
      </bottom>
      <diagonal/>
    </border>
    <border>
      <left style="medium">
        <color indexed="8"/>
      </left>
      <right/>
      <top style="medium">
        <color indexed="8"/>
      </top>
      <bottom style="medium">
        <color indexed="8"/>
      </bottom>
      <diagonal/>
    </border>
    <border>
      <left/>
      <right style="medium">
        <color indexed="8"/>
      </right>
      <top/>
      <bottom style="hair">
        <color indexed="8"/>
      </bottom>
      <diagonal/>
    </border>
    <border>
      <left/>
      <right/>
      <top style="hair">
        <color indexed="8"/>
      </top>
      <bottom style="hair">
        <color indexed="8"/>
      </bottom>
      <diagonal/>
    </border>
    <border>
      <left style="medium">
        <color indexed="8"/>
      </left>
      <right/>
      <top style="hair">
        <color indexed="8"/>
      </top>
      <bottom/>
      <diagonal/>
    </border>
    <border>
      <left/>
      <right style="medium">
        <color indexed="8"/>
      </right>
      <top style="hair">
        <color indexed="8"/>
      </top>
      <bottom style="hair">
        <color indexed="8"/>
      </bottom>
      <diagonal/>
    </border>
    <border>
      <left/>
      <right style="medium">
        <color indexed="8"/>
      </right>
      <top style="hair">
        <color indexed="8"/>
      </top>
      <bottom/>
      <diagonal/>
    </border>
    <border>
      <left style="medium">
        <color indexed="8"/>
      </left>
      <right/>
      <top/>
      <bottom/>
      <diagonal/>
    </border>
    <border>
      <left/>
      <right style="thin">
        <color indexed="8"/>
      </right>
      <top style="medium">
        <color indexed="8"/>
      </top>
      <bottom style="medium">
        <color indexed="8"/>
      </bottom>
      <diagonal/>
    </border>
    <border>
      <left style="thin">
        <color indexed="8"/>
      </left>
      <right/>
      <top style="medium">
        <color indexed="8"/>
      </top>
      <bottom style="medium">
        <color indexed="8"/>
      </bottom>
      <diagonal/>
    </border>
    <border>
      <left/>
      <right style="thin">
        <color indexed="8"/>
      </right>
      <top style="medium">
        <color indexed="8"/>
      </top>
      <bottom style="hair">
        <color indexed="8"/>
      </bottom>
      <diagonal/>
    </border>
    <border>
      <left style="thin">
        <color indexed="8"/>
      </left>
      <right/>
      <top style="medium">
        <color indexed="8"/>
      </top>
      <bottom style="hair">
        <color indexed="8"/>
      </bottom>
      <diagonal/>
    </border>
    <border>
      <left/>
      <right/>
      <top style="medium">
        <color indexed="8"/>
      </top>
      <bottom style="hair">
        <color indexed="8"/>
      </bottom>
      <diagonal/>
    </border>
    <border>
      <left/>
      <right style="thin">
        <color indexed="8"/>
      </right>
      <top style="hair">
        <color indexed="8"/>
      </top>
      <bottom style="hair">
        <color indexed="8"/>
      </bottom>
      <diagonal/>
    </border>
    <border>
      <left style="thin">
        <color indexed="8"/>
      </left>
      <right/>
      <top style="hair">
        <color indexed="8"/>
      </top>
      <bottom style="hair">
        <color indexed="8"/>
      </bottom>
      <diagonal/>
    </border>
    <border>
      <left style="thin">
        <color indexed="8"/>
      </left>
      <right/>
      <top/>
      <bottom style="thin">
        <color indexed="8"/>
      </bottom>
      <diagonal/>
    </border>
    <border>
      <left/>
      <right/>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bottom style="hair">
        <color indexed="8"/>
      </bottom>
      <diagonal/>
    </border>
    <border>
      <left/>
      <right style="thin">
        <color indexed="8"/>
      </right>
      <top/>
      <bottom/>
      <diagonal/>
    </border>
    <border>
      <left style="thin">
        <color indexed="8"/>
      </left>
      <right/>
      <top style="thin">
        <color indexed="8"/>
      </top>
      <bottom/>
      <diagonal/>
    </border>
    <border>
      <left/>
      <right/>
      <top style="thin">
        <color indexed="8"/>
      </top>
      <bottom/>
      <diagonal/>
    </border>
    <border>
      <left/>
      <right style="thin">
        <color indexed="8"/>
      </right>
      <top style="hair">
        <color indexed="8"/>
      </top>
      <bottom style="medium">
        <color indexed="8"/>
      </bottom>
      <diagonal/>
    </border>
    <border>
      <left style="thin">
        <color indexed="8"/>
      </left>
      <right/>
      <top style="hair">
        <color indexed="8"/>
      </top>
      <bottom style="medium">
        <color indexed="8"/>
      </bottom>
      <diagonal/>
    </border>
    <border>
      <left/>
      <right/>
      <top style="hair">
        <color indexed="8"/>
      </top>
      <bottom style="medium">
        <color indexed="8"/>
      </bottom>
      <diagonal/>
    </border>
    <border>
      <left/>
      <right style="thin">
        <color indexed="8"/>
      </right>
      <top style="hair">
        <color indexed="8"/>
      </top>
      <bottom/>
      <diagonal/>
    </border>
    <border>
      <left style="thin">
        <color indexed="8"/>
      </left>
      <right/>
      <top style="hair">
        <color indexed="8"/>
      </top>
      <bottom/>
      <diagonal/>
    </border>
    <border>
      <left/>
      <right/>
      <top style="hair">
        <color indexed="8"/>
      </top>
      <bottom/>
      <diagonal/>
    </border>
    <border>
      <left style="thin">
        <color indexed="8"/>
      </left>
      <right/>
      <top/>
      <bottom style="hair">
        <color indexed="8"/>
      </bottom>
      <diagonal/>
    </border>
    <border>
      <left/>
      <right/>
      <top/>
      <bottom style="hair">
        <color indexed="8"/>
      </bottom>
      <diagonal/>
    </border>
    <border>
      <left/>
      <right style="medium">
        <color indexed="8"/>
      </right>
      <top/>
      <bottom/>
      <diagonal/>
    </border>
    <border>
      <left/>
      <right style="thin">
        <color indexed="8"/>
      </right>
      <top/>
      <bottom style="thin">
        <color indexed="8"/>
      </bottom>
      <diagonal/>
    </border>
    <border>
      <left style="thin">
        <color indexed="8"/>
      </left>
      <right style="thin">
        <color indexed="8"/>
      </right>
      <top style="medium">
        <color indexed="8"/>
      </top>
      <bottom style="hair">
        <color indexed="8"/>
      </bottom>
      <diagonal/>
    </border>
    <border>
      <left/>
      <right style="thin">
        <color indexed="8"/>
      </right>
      <top style="thin">
        <color indexed="8"/>
      </top>
      <bottom style="thin">
        <color indexed="8"/>
      </bottom>
      <diagonal/>
    </border>
    <border>
      <left style="thin">
        <color indexed="8"/>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medium">
        <color indexed="8"/>
      </left>
      <right style="medium">
        <color indexed="8"/>
      </right>
      <top/>
      <bottom style="thin">
        <color indexed="8"/>
      </bottom>
      <diagonal/>
    </border>
    <border>
      <left style="hair">
        <color indexed="8"/>
      </left>
      <right style="thin">
        <color indexed="8"/>
      </right>
      <top style="hair">
        <color indexed="8"/>
      </top>
      <bottom style="hair">
        <color indexed="8"/>
      </bottom>
      <diagonal/>
    </border>
    <border>
      <left style="medium">
        <color indexed="8"/>
      </left>
      <right style="medium">
        <color indexed="8"/>
      </right>
      <top style="thin">
        <color indexed="8"/>
      </top>
      <bottom style="hair">
        <color indexed="8"/>
      </bottom>
      <diagonal/>
    </border>
    <border>
      <left style="thin">
        <color indexed="8"/>
      </left>
      <right style="thin">
        <color indexed="8"/>
      </right>
      <top/>
      <bottom/>
      <diagonal/>
    </border>
    <border>
      <left style="thin">
        <color indexed="8"/>
      </left>
      <right/>
      <top/>
      <bottom/>
      <diagonal/>
    </border>
    <border>
      <left style="thin">
        <color indexed="8"/>
      </left>
      <right style="thin">
        <color indexed="8"/>
      </right>
      <top/>
      <bottom style="hair">
        <color indexed="8"/>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hair">
        <color indexed="8"/>
      </bottom>
      <diagonal/>
    </border>
    <border>
      <left/>
      <right style="thin">
        <color indexed="8"/>
      </right>
      <top style="thin">
        <color indexed="8"/>
      </top>
      <bottom/>
      <diagonal/>
    </border>
    <border>
      <left/>
      <right style="medium">
        <color indexed="8"/>
      </right>
      <top style="medium">
        <color indexed="8"/>
      </top>
      <bottom style="medium">
        <color indexed="8"/>
      </bottom>
      <diagonal/>
    </border>
    <border>
      <left style="medium">
        <color indexed="64"/>
      </left>
      <right style="medium">
        <color indexed="64"/>
      </right>
      <top style="hair">
        <color indexed="8"/>
      </top>
      <bottom style="hair">
        <color indexed="8"/>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hair">
        <color indexed="8"/>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8"/>
      </left>
      <right style="medium">
        <color indexed="8"/>
      </right>
      <top style="hair">
        <color indexed="8"/>
      </top>
      <bottom style="hair">
        <color indexed="64"/>
      </bottom>
      <diagonal/>
    </border>
    <border>
      <left style="medium">
        <color indexed="64"/>
      </left>
      <right/>
      <top/>
      <bottom/>
      <diagonal/>
    </border>
    <border>
      <left style="medium">
        <color indexed="64"/>
      </left>
      <right style="medium">
        <color indexed="64"/>
      </right>
      <top style="hair">
        <color indexed="8"/>
      </top>
      <bottom/>
      <diagonal/>
    </border>
    <border>
      <left style="medium">
        <color indexed="64"/>
      </left>
      <right style="medium">
        <color indexed="64"/>
      </right>
      <top style="medium">
        <color indexed="8"/>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diagonal/>
    </border>
    <border>
      <left/>
      <right style="medium">
        <color indexed="64"/>
      </right>
      <top style="hair">
        <color indexed="64"/>
      </top>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thin">
        <color indexed="8"/>
      </top>
      <bottom style="thin">
        <color indexed="8"/>
      </bottom>
      <diagonal/>
    </border>
    <border>
      <left style="medium">
        <color indexed="64"/>
      </left>
      <right style="medium">
        <color indexed="64"/>
      </right>
      <top style="medium">
        <color indexed="8"/>
      </top>
      <bottom style="medium">
        <color indexed="8"/>
      </bottom>
      <diagonal/>
    </border>
    <border>
      <left style="medium">
        <color indexed="64"/>
      </left>
      <right style="medium">
        <color indexed="64"/>
      </right>
      <top style="thin">
        <color indexed="8"/>
      </top>
      <bottom/>
      <diagonal/>
    </border>
    <border>
      <left style="medium">
        <color indexed="8"/>
      </left>
      <right/>
      <top style="medium">
        <color indexed="8"/>
      </top>
      <bottom/>
      <diagonal/>
    </border>
    <border>
      <left style="medium">
        <color indexed="64"/>
      </left>
      <right/>
      <top style="medium">
        <color indexed="64"/>
      </top>
      <bottom style="hair">
        <color indexed="64"/>
      </bottom>
      <diagonal/>
    </border>
    <border>
      <left/>
      <right style="medium">
        <color indexed="64"/>
      </right>
      <top style="medium">
        <color indexed="64"/>
      </top>
      <bottom style="hair">
        <color indexed="64"/>
      </bottom>
      <diagonal/>
    </border>
    <border>
      <left/>
      <right style="medium">
        <color indexed="64"/>
      </right>
      <top/>
      <bottom style="medium">
        <color indexed="64"/>
      </bottom>
      <diagonal/>
    </border>
    <border>
      <left/>
      <right/>
      <top/>
      <bottom style="medium">
        <color indexed="64"/>
      </bottom>
      <diagonal/>
    </border>
    <border>
      <left style="medium">
        <color auto="1"/>
      </left>
      <right style="medium">
        <color auto="1"/>
      </right>
      <top style="medium">
        <color auto="1"/>
      </top>
      <bottom style="medium">
        <color auto="1"/>
      </bottom>
      <diagonal/>
    </border>
    <border>
      <left/>
      <right style="medium">
        <color indexed="64"/>
      </right>
      <top style="thin">
        <color indexed="8"/>
      </top>
      <bottom style="thin">
        <color indexed="8"/>
      </bottom>
      <diagonal/>
    </border>
    <border>
      <left/>
      <right style="medium">
        <color indexed="64"/>
      </right>
      <top style="hair">
        <color indexed="8"/>
      </top>
      <bottom style="hair">
        <color indexed="8"/>
      </bottom>
      <diagonal/>
    </border>
    <border>
      <left/>
      <right style="medium">
        <color indexed="8"/>
      </right>
      <top/>
      <bottom style="medium">
        <color indexed="8"/>
      </bottom>
      <diagonal/>
    </border>
    <border>
      <left style="medium">
        <color indexed="64"/>
      </left>
      <right style="medium">
        <color indexed="64"/>
      </right>
      <top style="hair">
        <color indexed="8"/>
      </top>
      <bottom style="medium">
        <color indexed="8"/>
      </bottom>
      <diagonal/>
    </border>
    <border>
      <left style="medium">
        <color indexed="64"/>
      </left>
      <right/>
      <top style="hair">
        <color indexed="64"/>
      </top>
      <bottom/>
      <diagonal/>
    </border>
    <border>
      <left style="medium">
        <color indexed="64"/>
      </left>
      <right style="medium">
        <color indexed="8"/>
      </right>
      <top style="medium">
        <color indexed="64"/>
      </top>
      <bottom style="medium">
        <color indexed="8"/>
      </bottom>
      <diagonal/>
    </border>
    <border>
      <left style="medium">
        <color indexed="8"/>
      </left>
      <right style="medium">
        <color indexed="8"/>
      </right>
      <top style="medium">
        <color indexed="64"/>
      </top>
      <bottom style="medium">
        <color indexed="8"/>
      </bottom>
      <diagonal/>
    </border>
    <border>
      <left style="medium">
        <color indexed="8"/>
      </left>
      <right style="medium">
        <color indexed="64"/>
      </right>
      <top style="medium">
        <color indexed="64"/>
      </top>
      <bottom style="medium">
        <color indexed="8"/>
      </bottom>
      <diagonal/>
    </border>
    <border>
      <left style="medium">
        <color indexed="64"/>
      </left>
      <right style="medium">
        <color indexed="8"/>
      </right>
      <top/>
      <bottom style="medium">
        <color indexed="8"/>
      </bottom>
      <diagonal/>
    </border>
    <border>
      <left style="medium">
        <color indexed="8"/>
      </left>
      <right style="medium">
        <color indexed="64"/>
      </right>
      <top style="medium">
        <color indexed="8"/>
      </top>
      <bottom style="medium">
        <color indexed="8"/>
      </bottom>
      <diagonal/>
    </border>
    <border>
      <left style="medium">
        <color indexed="8"/>
      </left>
      <right style="medium">
        <color indexed="64"/>
      </right>
      <top/>
      <bottom/>
      <diagonal/>
    </border>
    <border>
      <left style="medium">
        <color indexed="8"/>
      </left>
      <right style="medium">
        <color indexed="64"/>
      </right>
      <top style="hair">
        <color indexed="8"/>
      </top>
      <bottom style="hair">
        <color indexed="8"/>
      </bottom>
      <diagonal/>
    </border>
    <border>
      <left style="medium">
        <color indexed="64"/>
      </left>
      <right style="medium">
        <color indexed="8"/>
      </right>
      <top style="medium">
        <color indexed="8"/>
      </top>
      <bottom style="medium">
        <color indexed="8"/>
      </bottom>
      <diagonal/>
    </border>
    <border>
      <left style="medium">
        <color indexed="8"/>
      </left>
      <right style="medium">
        <color indexed="64"/>
      </right>
      <top/>
      <bottom style="medium">
        <color indexed="8"/>
      </bottom>
      <diagonal/>
    </border>
    <border>
      <left style="medium">
        <color indexed="64"/>
      </left>
      <right style="medium">
        <color indexed="8"/>
      </right>
      <top/>
      <bottom style="hair">
        <color indexed="8"/>
      </bottom>
      <diagonal/>
    </border>
    <border>
      <left style="medium">
        <color indexed="64"/>
      </left>
      <right style="medium">
        <color indexed="8"/>
      </right>
      <top style="medium">
        <color indexed="8"/>
      </top>
      <bottom/>
      <diagonal/>
    </border>
    <border>
      <left style="medium">
        <color indexed="8"/>
      </left>
      <right style="medium">
        <color indexed="64"/>
      </right>
      <top style="medium">
        <color indexed="8"/>
      </top>
      <bottom/>
      <diagonal/>
    </border>
    <border>
      <left style="medium">
        <color indexed="64"/>
      </left>
      <right style="medium">
        <color indexed="8"/>
      </right>
      <top style="medium">
        <color indexed="8"/>
      </top>
      <bottom style="medium">
        <color indexed="64"/>
      </bottom>
      <diagonal/>
    </border>
    <border>
      <left style="medium">
        <color indexed="8"/>
      </left>
      <right style="medium">
        <color indexed="8"/>
      </right>
      <top style="medium">
        <color indexed="8"/>
      </top>
      <bottom style="medium">
        <color indexed="64"/>
      </bottom>
      <diagonal/>
    </border>
    <border>
      <left style="medium">
        <color indexed="8"/>
      </left>
      <right style="medium">
        <color indexed="64"/>
      </right>
      <top style="medium">
        <color indexed="8"/>
      </top>
      <bottom style="medium">
        <color indexed="64"/>
      </bottom>
      <diagonal/>
    </border>
    <border>
      <left/>
      <right/>
      <top/>
      <bottom style="medium">
        <color indexed="8"/>
      </bottom>
      <diagonal/>
    </border>
    <border>
      <left style="medium">
        <color indexed="64"/>
      </left>
      <right style="medium">
        <color indexed="64"/>
      </right>
      <top/>
      <bottom style="medium">
        <color indexed="8"/>
      </bottom>
      <diagonal/>
    </border>
    <border>
      <left/>
      <right style="medium">
        <color indexed="64"/>
      </right>
      <top style="thin">
        <color indexed="8"/>
      </top>
      <bottom/>
      <diagonal/>
    </border>
    <border>
      <left/>
      <right style="medium">
        <color indexed="64"/>
      </right>
      <top/>
      <bottom style="hair">
        <color indexed="8"/>
      </bottom>
      <diagonal/>
    </border>
    <border>
      <left/>
      <right style="medium">
        <color indexed="64"/>
      </right>
      <top style="medium">
        <color indexed="64"/>
      </top>
      <bottom style="medium">
        <color indexed="64"/>
      </bottom>
      <diagonal/>
    </border>
    <border>
      <left/>
      <right style="medium">
        <color indexed="8"/>
      </right>
      <top style="medium">
        <color indexed="8"/>
      </top>
      <bottom/>
      <diagonal/>
    </border>
    <border>
      <left style="medium">
        <color indexed="64"/>
      </left>
      <right style="medium">
        <color indexed="64"/>
      </right>
      <top style="hair">
        <color indexed="8"/>
      </top>
      <bottom style="hair">
        <color indexed="64"/>
      </bottom>
      <diagonal/>
    </border>
    <border>
      <left style="medium">
        <color indexed="64"/>
      </left>
      <right style="medium">
        <color indexed="64"/>
      </right>
      <top style="hair">
        <color indexed="64"/>
      </top>
      <bottom style="hair">
        <color indexed="64"/>
      </bottom>
      <diagonal/>
    </border>
    <border>
      <left style="medium">
        <color indexed="8"/>
      </left>
      <right style="medium">
        <color indexed="8"/>
      </right>
      <top style="medium">
        <color indexed="64"/>
      </top>
      <bottom style="medium">
        <color indexed="64"/>
      </bottom>
      <diagonal/>
    </border>
    <border>
      <left style="medium">
        <color indexed="8"/>
      </left>
      <right/>
      <top style="medium">
        <color indexed="64"/>
      </top>
      <bottom style="medium">
        <color indexed="64"/>
      </bottom>
      <diagonal/>
    </border>
    <border>
      <left/>
      <right style="medium">
        <color indexed="8"/>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hair">
        <color indexed="64"/>
      </top>
      <bottom style="hair">
        <color indexed="64"/>
      </bottom>
      <diagonal/>
    </border>
    <border>
      <left style="medium">
        <color indexed="8"/>
      </left>
      <right/>
      <top style="hair">
        <color indexed="64"/>
      </top>
      <bottom style="hair">
        <color indexed="64"/>
      </bottom>
      <diagonal/>
    </border>
    <border>
      <left style="medium">
        <color indexed="64"/>
      </left>
      <right style="medium">
        <color indexed="8"/>
      </right>
      <top style="medium">
        <color indexed="64"/>
      </top>
      <bottom style="medium">
        <color indexed="64"/>
      </bottom>
      <diagonal/>
    </border>
    <border>
      <left style="medium">
        <color indexed="64"/>
      </left>
      <right/>
      <top style="hair">
        <color indexed="8"/>
      </top>
      <bottom style="hair">
        <color indexed="8"/>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8"/>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medium">
        <color indexed="8"/>
      </left>
      <right style="medium">
        <color indexed="8"/>
      </right>
      <top style="medium">
        <color indexed="8"/>
      </top>
      <bottom/>
      <diagonal/>
    </border>
    <border>
      <left/>
      <right/>
      <top style="hair">
        <color indexed="8"/>
      </top>
      <bottom style="hair">
        <color indexed="64"/>
      </bottom>
      <diagonal/>
    </border>
    <border>
      <left/>
      <right style="medium">
        <color indexed="64"/>
      </right>
      <top/>
      <bottom/>
      <diagonal/>
    </border>
    <border>
      <left style="medium">
        <color indexed="8"/>
      </left>
      <right/>
      <top style="hair">
        <color indexed="8"/>
      </top>
      <bottom style="hair">
        <color indexed="64"/>
      </bottom>
      <diagonal/>
    </border>
    <border>
      <left/>
      <right style="medium">
        <color indexed="64"/>
      </right>
      <top style="medium">
        <color indexed="64"/>
      </top>
      <bottom style="hair">
        <color indexed="8"/>
      </bottom>
      <diagonal/>
    </border>
    <border>
      <left/>
      <right style="medium">
        <color indexed="64"/>
      </right>
      <top style="hair">
        <color indexed="8"/>
      </top>
      <bottom/>
      <diagonal/>
    </border>
    <border>
      <left/>
      <right style="medium">
        <color indexed="64"/>
      </right>
      <top style="hair">
        <color indexed="8"/>
      </top>
      <bottom style="hair">
        <color indexed="64"/>
      </bottom>
      <diagonal/>
    </border>
    <border>
      <left style="medium">
        <color indexed="64"/>
      </left>
      <right style="medium">
        <color indexed="64"/>
      </right>
      <top/>
      <bottom style="hair">
        <color indexed="8"/>
      </bottom>
      <diagonal/>
    </border>
    <border>
      <left style="medium">
        <color indexed="8"/>
      </left>
      <right style="medium">
        <color indexed="8"/>
      </right>
      <top/>
      <bottom style="hair">
        <color indexed="8"/>
      </bottom>
      <diagonal/>
    </border>
    <border>
      <left style="medium">
        <color indexed="64"/>
      </left>
      <right style="medium">
        <color indexed="64"/>
      </right>
      <top/>
      <bottom style="hair">
        <color indexed="64"/>
      </bottom>
      <diagonal/>
    </border>
    <border>
      <left style="medium">
        <color indexed="64"/>
      </left>
      <right/>
      <top style="hair">
        <color indexed="8"/>
      </top>
      <bottom/>
      <diagonal/>
    </border>
    <border>
      <left style="medium">
        <color indexed="64"/>
      </left>
      <right style="medium">
        <color indexed="64"/>
      </right>
      <top style="thin">
        <color indexed="64"/>
      </top>
      <bottom style="thin">
        <color indexed="8"/>
      </bottom>
      <diagonal/>
    </border>
    <border>
      <left style="medium">
        <color indexed="64"/>
      </left>
      <right style="medium">
        <color indexed="64"/>
      </right>
      <top/>
      <bottom style="thin">
        <color indexed="8"/>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8"/>
      </top>
      <bottom/>
      <diagonal/>
    </border>
    <border>
      <left style="medium">
        <color indexed="64"/>
      </left>
      <right style="medium">
        <color indexed="64"/>
      </right>
      <top style="medium">
        <color indexed="64"/>
      </top>
      <bottom style="medium">
        <color indexed="8"/>
      </bottom>
      <diagonal/>
    </border>
    <border>
      <left/>
      <right style="medium">
        <color indexed="64"/>
      </right>
      <top style="medium">
        <color indexed="8"/>
      </top>
      <bottom style="hair">
        <color indexed="8"/>
      </bottom>
      <diagonal/>
    </border>
    <border>
      <left style="medium">
        <color indexed="64"/>
      </left>
      <right style="medium">
        <color indexed="64"/>
      </right>
      <top style="medium">
        <color indexed="8"/>
      </top>
      <bottom style="medium">
        <color indexed="8"/>
      </bottom>
      <diagonal/>
    </border>
    <border>
      <left/>
      <right style="medium">
        <color indexed="64"/>
      </right>
      <top style="medium">
        <color indexed="8"/>
      </top>
      <bottom style="medium">
        <color indexed="8"/>
      </bottom>
      <diagonal/>
    </border>
    <border>
      <left style="medium">
        <color indexed="64"/>
      </left>
      <right style="medium">
        <color indexed="64"/>
      </right>
      <top style="medium">
        <color indexed="8"/>
      </top>
      <bottom style="medium">
        <color indexed="64"/>
      </bottom>
      <diagonal/>
    </border>
    <border>
      <left/>
      <right/>
      <top style="medium">
        <color indexed="8"/>
      </top>
      <bottom/>
      <diagonal/>
    </border>
    <border>
      <left style="medium">
        <color indexed="64"/>
      </left>
      <right/>
      <top style="medium">
        <color indexed="64"/>
      </top>
      <bottom style="hair">
        <color indexed="8"/>
      </bottom>
      <diagonal/>
    </border>
    <border>
      <left style="medium">
        <color indexed="64"/>
      </left>
      <right/>
      <top/>
      <bottom style="medium">
        <color indexed="64"/>
      </bottom>
      <diagonal/>
    </border>
    <border>
      <left/>
      <right/>
      <top style="medium">
        <color indexed="64"/>
      </top>
      <bottom style="medium">
        <color indexed="64"/>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right/>
      <top style="medium">
        <color indexed="64"/>
      </top>
      <bottom style="medium">
        <color indexed="8"/>
      </bottom>
      <diagonal/>
    </border>
    <border>
      <left style="medium">
        <color indexed="64"/>
      </left>
      <right style="medium">
        <color indexed="64"/>
      </right>
      <top/>
      <bottom style="thin">
        <color indexed="64"/>
      </bottom>
      <diagonal/>
    </border>
    <border>
      <left/>
      <right style="medium">
        <color indexed="64"/>
      </right>
      <top style="medium">
        <color indexed="64"/>
      </top>
      <bottom/>
      <diagonal/>
    </border>
    <border>
      <left/>
      <right style="medium">
        <color indexed="64"/>
      </right>
      <top style="medium">
        <color indexed="64"/>
      </top>
      <bottom style="medium">
        <color indexed="8"/>
      </bottom>
      <diagonal/>
    </border>
    <border>
      <left/>
      <right style="medium">
        <color indexed="64"/>
      </right>
      <top style="thin">
        <color indexed="64"/>
      </top>
      <bottom/>
      <diagonal/>
    </border>
    <border>
      <left/>
      <right style="medium">
        <color indexed="64"/>
      </right>
      <top style="hair">
        <color indexed="8"/>
      </top>
      <bottom style="medium">
        <color indexed="64"/>
      </bottom>
      <diagonal/>
    </border>
    <border>
      <left/>
      <right style="medium">
        <color indexed="8"/>
      </right>
      <top style="medium">
        <color indexed="8"/>
      </top>
      <bottom/>
      <diagonal/>
    </border>
    <border>
      <left/>
      <right/>
      <top style="medium">
        <color indexed="64"/>
      </top>
      <bottom style="hair">
        <color indexed="8"/>
      </bottom>
      <diagonal/>
    </border>
    <border>
      <left/>
      <right style="medium">
        <color auto="1"/>
      </right>
      <top style="medium">
        <color auto="1"/>
      </top>
      <bottom style="medium">
        <color auto="1"/>
      </bottom>
      <diagonal/>
    </border>
    <border>
      <left/>
      <right style="medium">
        <color indexed="64"/>
      </right>
      <top style="thin">
        <color indexed="64"/>
      </top>
      <bottom style="thin">
        <color indexed="8"/>
      </bottom>
      <diagonal/>
    </border>
    <border>
      <left/>
      <right style="medium">
        <color indexed="64"/>
      </right>
      <top style="hair">
        <color indexed="8"/>
      </top>
      <bottom style="medium">
        <color indexed="8"/>
      </bottom>
      <diagonal/>
    </border>
    <border>
      <left/>
      <right style="medium">
        <color indexed="64"/>
      </right>
      <top/>
      <bottom style="medium">
        <color indexed="8"/>
      </bottom>
      <diagonal/>
    </border>
    <border>
      <left/>
      <right style="medium">
        <color indexed="64"/>
      </right>
      <top/>
      <bottom style="thin">
        <color indexed="64"/>
      </bottom>
      <diagonal/>
    </border>
    <border>
      <left/>
      <right style="medium">
        <color indexed="64"/>
      </right>
      <top style="hair">
        <color indexed="64"/>
      </top>
      <bottom style="medium">
        <color indexed="64"/>
      </bottom>
      <diagonal/>
    </border>
    <border>
      <left/>
      <right style="medium">
        <color indexed="64"/>
      </right>
      <top style="medium">
        <color indexed="8"/>
      </top>
      <bottom/>
      <diagonal/>
    </border>
    <border>
      <left style="medium">
        <color indexed="64"/>
      </left>
      <right style="medium">
        <color indexed="64"/>
      </right>
      <top style="medium">
        <color indexed="8"/>
      </top>
      <bottom style="hair">
        <color indexed="8"/>
      </bottom>
      <diagonal/>
    </border>
    <border>
      <left style="medium">
        <color indexed="64"/>
      </left>
      <right style="medium">
        <color indexed="64"/>
      </right>
      <top style="medium">
        <color indexed="8"/>
      </top>
      <bottom style="medium">
        <color indexed="64"/>
      </bottom>
      <diagonal/>
    </border>
    <border>
      <left style="medium">
        <color indexed="64"/>
      </left>
      <right style="medium">
        <color indexed="64"/>
      </right>
      <top style="medium">
        <color indexed="8"/>
      </top>
      <bottom style="medium">
        <color indexed="8"/>
      </bottom>
      <diagonal/>
    </border>
    <border>
      <left style="medium">
        <color indexed="64"/>
      </left>
      <right style="medium">
        <color indexed="64"/>
      </right>
      <top style="medium">
        <color indexed="8"/>
      </top>
      <bottom/>
      <diagonal/>
    </border>
    <border>
      <left style="medium">
        <color indexed="64"/>
      </left>
      <right style="medium">
        <color indexed="64"/>
      </right>
      <top style="medium">
        <color auto="1"/>
      </top>
      <bottom style="medium">
        <color auto="1"/>
      </bottom>
      <diagonal/>
    </border>
    <border>
      <left style="medium">
        <color indexed="64"/>
      </left>
      <right/>
      <top style="hair">
        <color indexed="8"/>
      </top>
      <bottom style="hair">
        <color indexed="64"/>
      </bottom>
      <diagonal/>
    </border>
    <border>
      <left/>
      <right/>
      <top style="medium">
        <color indexed="8"/>
      </top>
      <bottom style="medium">
        <color indexed="8"/>
      </bottom>
      <diagonal/>
    </border>
    <border>
      <left style="medium">
        <color indexed="64"/>
      </left>
      <right style="medium">
        <color indexed="8"/>
      </right>
      <top style="hair">
        <color indexed="8"/>
      </top>
      <bottom style="hair">
        <color indexed="64"/>
      </bottom>
      <diagonal/>
    </border>
    <border>
      <left style="medium">
        <color indexed="8"/>
      </left>
      <right/>
      <top style="medium">
        <color indexed="8"/>
      </top>
      <bottom style="medium">
        <color indexed="8"/>
      </bottom>
      <diagonal/>
    </border>
    <border>
      <left/>
      <right/>
      <top/>
      <bottom style="hair">
        <color indexed="64"/>
      </bottom>
      <diagonal/>
    </border>
    <border>
      <left/>
      <right style="medium">
        <color indexed="64"/>
      </right>
      <top/>
      <bottom style="hair">
        <color indexed="64"/>
      </bottom>
      <diagonal/>
    </border>
    <border>
      <left style="medium">
        <color indexed="64"/>
      </left>
      <right style="medium">
        <color indexed="64"/>
      </right>
      <top style="hair">
        <color indexed="64"/>
      </top>
      <bottom style="hair">
        <color indexed="8"/>
      </bottom>
      <diagonal/>
    </border>
    <border>
      <left style="medium">
        <color indexed="64"/>
      </left>
      <right style="medium">
        <color indexed="8"/>
      </right>
      <top style="hair">
        <color indexed="64"/>
      </top>
      <bottom style="medium">
        <color indexed="8"/>
      </bottom>
      <diagonal/>
    </border>
    <border>
      <left style="medium">
        <color indexed="64"/>
      </left>
      <right style="medium">
        <color indexed="8"/>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style="medium">
        <color indexed="64"/>
      </left>
      <right/>
      <top/>
      <bottom style="hair">
        <color indexed="8"/>
      </bottom>
      <diagonal/>
    </border>
    <border>
      <left style="medium">
        <color indexed="64"/>
      </left>
      <right style="medium">
        <color indexed="64"/>
      </right>
      <top/>
      <bottom style="hair">
        <color indexed="8"/>
      </bottom>
      <diagonal/>
    </border>
    <border>
      <left style="medium">
        <color indexed="8"/>
      </left>
      <right style="medium">
        <color indexed="8"/>
      </right>
      <top/>
      <bottom style="hair">
        <color indexed="8"/>
      </bottom>
      <diagonal/>
    </border>
    <border>
      <left style="medium">
        <color indexed="8"/>
      </left>
      <right/>
      <top/>
      <bottom style="hair">
        <color indexed="8"/>
      </bottom>
      <diagonal/>
    </border>
    <border>
      <left/>
      <right/>
      <top/>
      <bottom style="hair">
        <color indexed="8"/>
      </bottom>
      <diagonal/>
    </border>
    <border>
      <left style="medium">
        <color indexed="64"/>
      </left>
      <right style="medium">
        <color indexed="64"/>
      </right>
      <top style="hair">
        <color indexed="8"/>
      </top>
      <bottom style="medium">
        <color indexed="64"/>
      </bottom>
      <diagonal/>
    </border>
    <border>
      <left/>
      <right style="medium">
        <color indexed="64"/>
      </right>
      <top/>
      <bottom style="hair">
        <color indexed="8"/>
      </bottom>
      <diagonal/>
    </border>
    <border>
      <left/>
      <right style="medium">
        <color indexed="64"/>
      </right>
      <top style="hair">
        <color indexed="64"/>
      </top>
      <bottom style="hair">
        <color indexed="8"/>
      </bottom>
      <diagonal/>
    </border>
    <border>
      <left style="medium">
        <color indexed="64"/>
      </left>
      <right style="medium">
        <color indexed="64"/>
      </right>
      <top style="hair">
        <color indexed="64"/>
      </top>
      <bottom style="medium">
        <color indexed="8"/>
      </bottom>
      <diagonal/>
    </border>
    <border>
      <left/>
      <right style="medium">
        <color indexed="64"/>
      </right>
      <top style="hair">
        <color indexed="64"/>
      </top>
      <bottom style="medium">
        <color indexed="8"/>
      </bottom>
      <diagonal/>
    </border>
    <border>
      <left style="medium">
        <color indexed="8"/>
      </left>
      <right style="medium">
        <color indexed="64"/>
      </right>
      <top/>
      <bottom style="hair">
        <color indexed="8"/>
      </bottom>
      <diagonal/>
    </border>
    <border>
      <left style="medium">
        <color indexed="64"/>
      </left>
      <right/>
      <top style="hair">
        <color indexed="8"/>
      </top>
      <bottom style="medium">
        <color indexed="64"/>
      </bottom>
      <diagonal/>
    </border>
    <border>
      <left/>
      <right/>
      <top style="hair">
        <color indexed="8"/>
      </top>
      <bottom style="medium">
        <color indexed="64"/>
      </bottom>
      <diagonal/>
    </border>
    <border>
      <left style="thin">
        <color indexed="64"/>
      </left>
      <right style="thin">
        <color indexed="64"/>
      </right>
      <top/>
      <bottom/>
      <diagonal/>
    </border>
    <border>
      <left style="medium">
        <color indexed="64"/>
      </left>
      <right/>
      <top style="thin">
        <color indexed="64"/>
      </top>
      <bottom style="thin">
        <color indexed="64"/>
      </bottom>
      <diagonal/>
    </border>
    <border>
      <left/>
      <right/>
      <top style="hair">
        <color indexed="64"/>
      </top>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hair">
        <color indexed="64"/>
      </top>
      <bottom style="medium">
        <color auto="1"/>
      </bottom>
      <diagonal/>
    </border>
    <border>
      <left style="medium">
        <color indexed="64"/>
      </left>
      <right/>
      <top style="medium">
        <color indexed="64"/>
      </top>
      <bottom style="medium">
        <color indexed="8"/>
      </bottom>
      <diagonal/>
    </border>
    <border>
      <left style="medium">
        <color indexed="8"/>
      </left>
      <right/>
      <top/>
      <bottom style="medium">
        <color indexed="64"/>
      </bottom>
      <diagonal/>
    </border>
    <border>
      <left style="medium">
        <color indexed="64"/>
      </left>
      <right/>
      <top style="hair">
        <color indexed="64"/>
      </top>
      <bottom style="hair">
        <color indexed="8"/>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thin">
        <color indexed="8"/>
      </top>
      <bottom style="thin">
        <color indexed="64"/>
      </bottom>
      <diagonal/>
    </border>
    <border>
      <left style="medium">
        <color indexed="8"/>
      </left>
      <right/>
      <top style="medium">
        <color indexed="8"/>
      </top>
      <bottom style="medium">
        <color indexed="8"/>
      </bottom>
      <diagonal/>
    </border>
    <border>
      <left style="medium">
        <color indexed="64"/>
      </left>
      <right/>
      <top/>
      <bottom style="thin">
        <color indexed="64"/>
      </bottom>
      <diagonal/>
    </border>
    <border>
      <left style="medium">
        <color indexed="64"/>
      </left>
      <right/>
      <top style="thin">
        <color indexed="64"/>
      </top>
      <bottom style="thin">
        <color indexed="8"/>
      </bottom>
      <diagonal/>
    </border>
    <border>
      <left style="medium">
        <color indexed="64"/>
      </left>
      <right/>
      <top style="thin">
        <color indexed="8"/>
      </top>
      <bottom/>
      <diagonal/>
    </border>
    <border>
      <left style="medium">
        <color indexed="64"/>
      </left>
      <right/>
      <top/>
      <bottom style="medium">
        <color indexed="8"/>
      </bottom>
      <diagonal/>
    </border>
    <border>
      <left style="medium">
        <color indexed="8"/>
      </left>
      <right/>
      <top style="hair">
        <color indexed="64"/>
      </top>
      <bottom style="medium">
        <color indexed="8"/>
      </bottom>
      <diagonal/>
    </border>
    <border>
      <left style="medium">
        <color indexed="64"/>
      </left>
      <right style="medium">
        <color indexed="8"/>
      </right>
      <top style="hair">
        <color indexed="8"/>
      </top>
      <bottom style="hair">
        <color indexed="8"/>
      </bottom>
      <diagonal/>
    </border>
    <border>
      <left style="medium">
        <color indexed="64"/>
      </left>
      <right style="medium">
        <color indexed="64"/>
      </right>
      <top style="medium">
        <color indexed="8"/>
      </top>
      <bottom style="medium">
        <color indexed="8"/>
      </bottom>
      <diagonal/>
    </border>
    <border>
      <left style="medium">
        <color indexed="64"/>
      </left>
      <right style="medium">
        <color indexed="64"/>
      </right>
      <top style="medium">
        <color indexed="8"/>
      </top>
      <bottom style="hair">
        <color indexed="8"/>
      </bottom>
      <diagonal/>
    </border>
    <border>
      <left/>
      <right style="medium">
        <color indexed="64"/>
      </right>
      <top style="medium">
        <color indexed="64"/>
      </top>
      <bottom/>
      <diagonal/>
    </border>
    <border>
      <left/>
      <right style="medium">
        <color indexed="64"/>
      </right>
      <top style="medium">
        <color indexed="8"/>
      </top>
      <bottom style="medium">
        <color indexed="8"/>
      </bottom>
      <diagonal/>
    </border>
    <border>
      <left/>
      <right style="medium">
        <color indexed="64"/>
      </right>
      <top style="medium">
        <color indexed="8"/>
      </top>
      <bottom style="hair">
        <color indexed="64"/>
      </bottom>
      <diagonal/>
    </border>
    <border>
      <left/>
      <right style="medium">
        <color indexed="64"/>
      </right>
      <top style="medium">
        <color indexed="8"/>
      </top>
      <bottom style="hair">
        <color indexed="8"/>
      </bottom>
      <diagonal/>
    </border>
    <border>
      <left/>
      <right style="medium">
        <color indexed="64"/>
      </right>
      <top style="medium">
        <color indexed="8"/>
      </top>
      <bottom style="medium">
        <color indexed="64"/>
      </bottom>
      <diagonal/>
    </border>
    <border>
      <left/>
      <right style="medium">
        <color indexed="64"/>
      </right>
      <top style="medium">
        <color auto="1"/>
      </top>
      <bottom style="medium">
        <color auto="1"/>
      </bottom>
      <diagonal/>
    </border>
    <border>
      <left/>
      <right style="medium">
        <color indexed="64"/>
      </right>
      <top/>
      <bottom style="thin">
        <color indexed="8"/>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8"/>
      </top>
      <bottom style="hair">
        <color indexed="64"/>
      </bottom>
      <diagonal/>
    </border>
    <border>
      <left style="medium">
        <color indexed="64"/>
      </left>
      <right style="medium">
        <color indexed="64"/>
      </right>
      <top style="medium">
        <color indexed="8"/>
      </top>
      <bottom style="medium">
        <color indexed="64"/>
      </bottom>
      <diagonal/>
    </border>
    <border>
      <left style="medium">
        <color indexed="64"/>
      </left>
      <right style="medium">
        <color indexed="64"/>
      </right>
      <top style="medium">
        <color auto="1"/>
      </top>
      <bottom style="medium">
        <color auto="1"/>
      </bottom>
      <diagonal/>
    </border>
    <border>
      <left style="medium">
        <color indexed="64"/>
      </left>
      <right style="medium">
        <color indexed="64"/>
      </right>
      <top style="medium">
        <color indexed="8"/>
      </top>
      <bottom/>
      <diagonal/>
    </border>
    <border>
      <left style="medium">
        <color indexed="8"/>
      </left>
      <right style="medium">
        <color indexed="64"/>
      </right>
      <top style="hair">
        <color indexed="64"/>
      </top>
      <bottom style="medium">
        <color indexed="8"/>
      </bottom>
      <diagonal/>
    </border>
    <border>
      <left/>
      <right style="medium">
        <color indexed="64"/>
      </right>
      <top style="medium">
        <color indexed="8"/>
      </top>
      <bottom/>
      <diagonal/>
    </border>
    <border>
      <left style="medium">
        <color indexed="64"/>
      </left>
      <right style="medium">
        <color indexed="64"/>
      </right>
      <top style="medium">
        <color indexed="64"/>
      </top>
      <bottom/>
      <diagonal/>
    </border>
    <border>
      <left style="medium">
        <color indexed="8"/>
      </left>
      <right/>
      <top style="medium">
        <color indexed="8"/>
      </top>
      <bottom style="medium">
        <color indexed="8"/>
      </bottom>
      <diagonal/>
    </border>
    <border>
      <left style="medium">
        <color indexed="64"/>
      </left>
      <right/>
      <top style="medium">
        <color indexed="8"/>
      </top>
      <bottom style="hair">
        <color indexed="64"/>
      </bottom>
      <diagonal/>
    </border>
    <border>
      <left/>
      <right/>
      <top style="medium">
        <color auto="1"/>
      </top>
      <bottom style="medium">
        <color auto="1"/>
      </bottom>
      <diagonal/>
    </border>
    <border>
      <left style="medium">
        <color indexed="64"/>
      </left>
      <right/>
      <top style="medium">
        <color auto="1"/>
      </top>
      <bottom style="medium">
        <color auto="1"/>
      </bottom>
      <diagonal/>
    </border>
    <border>
      <left/>
      <right/>
      <top style="medium">
        <color indexed="8"/>
      </top>
      <bottom/>
      <diagonal/>
    </border>
    <border>
      <left style="medium">
        <color indexed="8"/>
      </left>
      <right/>
      <top style="medium">
        <color indexed="8"/>
      </top>
      <bottom style="medium">
        <color indexed="8"/>
      </bottom>
      <diagonal/>
    </border>
    <border>
      <left style="medium">
        <color indexed="8"/>
      </left>
      <right/>
      <top style="medium">
        <color indexed="8"/>
      </top>
      <bottom/>
      <diagonal/>
    </border>
    <border>
      <left style="medium">
        <color indexed="64"/>
      </left>
      <right/>
      <top style="medium">
        <color indexed="8"/>
      </top>
      <bottom style="medium">
        <color indexed="8"/>
      </bottom>
      <diagonal/>
    </border>
    <border>
      <left style="medium">
        <color indexed="64"/>
      </left>
      <right/>
      <top style="hair">
        <color indexed="64"/>
      </top>
      <bottom style="medium">
        <color indexed="8"/>
      </bottom>
      <diagonal/>
    </border>
    <border>
      <left style="medium">
        <color indexed="8"/>
      </left>
      <right/>
      <top style="medium">
        <color indexed="64"/>
      </top>
      <bottom/>
      <diagonal/>
    </border>
    <border>
      <left style="medium">
        <color indexed="64"/>
      </left>
      <right/>
      <top style="medium">
        <color indexed="8"/>
      </top>
      <bottom style="medium">
        <color indexed="64"/>
      </bottom>
      <diagonal/>
    </border>
    <border>
      <left style="medium">
        <color indexed="64"/>
      </left>
      <right/>
      <top style="thin">
        <color indexed="8"/>
      </top>
      <bottom style="thin">
        <color indexed="8"/>
      </bottom>
      <diagonal/>
    </border>
    <border>
      <left/>
      <right/>
      <top style="medium">
        <color indexed="8"/>
      </top>
      <bottom style="medium">
        <color indexed="8"/>
      </bottom>
      <diagonal/>
    </border>
    <border>
      <left/>
      <right/>
      <top style="medium">
        <color indexed="8"/>
      </top>
      <bottom style="medium">
        <color indexed="64"/>
      </bottom>
      <diagonal/>
    </border>
    <border>
      <left/>
      <right/>
      <top style="thin">
        <color indexed="64"/>
      </top>
      <bottom style="thin">
        <color indexed="8"/>
      </bottom>
      <diagonal/>
    </border>
    <border>
      <left/>
      <right/>
      <top style="medium">
        <color indexed="64"/>
      </top>
      <bottom style="hair">
        <color indexed="64"/>
      </bottom>
      <diagonal/>
    </border>
    <border>
      <left/>
      <right/>
      <top/>
      <bottom style="hair">
        <color auto="1"/>
      </bottom>
      <diagonal/>
    </border>
    <border>
      <left/>
      <right/>
      <top style="hair">
        <color indexed="64"/>
      </top>
      <bottom style="medium">
        <color indexed="8"/>
      </bottom>
      <diagonal/>
    </border>
    <border>
      <left/>
      <right/>
      <top style="hair">
        <color indexed="64"/>
      </top>
      <bottom style="hair">
        <color indexed="8"/>
      </bottom>
      <diagonal/>
    </border>
    <border>
      <left style="medium">
        <color indexed="64"/>
      </left>
      <right style="medium">
        <color indexed="64"/>
      </right>
      <top style="medium">
        <color indexed="8"/>
      </top>
      <bottom style="medium">
        <color indexed="8"/>
      </bottom>
      <diagonal/>
    </border>
    <border>
      <left style="medium">
        <color indexed="8"/>
      </left>
      <right style="medium">
        <color indexed="8"/>
      </right>
      <top style="medium">
        <color indexed="8"/>
      </top>
      <bottom style="medium">
        <color indexed="8"/>
      </bottom>
      <diagonal/>
    </border>
    <border>
      <left/>
      <right/>
      <top style="medium">
        <color indexed="64"/>
      </top>
      <bottom style="medium">
        <color indexed="8"/>
      </bottom>
      <diagonal/>
    </border>
    <border>
      <left style="medium">
        <color indexed="8"/>
      </left>
      <right/>
      <top style="medium">
        <color indexed="8"/>
      </top>
      <bottom style="medium">
        <color indexed="8"/>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8"/>
      </top>
      <bottom style="hair">
        <color indexed="64"/>
      </bottom>
      <diagonal/>
    </border>
    <border>
      <left/>
      <right/>
      <top style="medium">
        <color indexed="64"/>
      </top>
      <bottom/>
      <diagonal/>
    </border>
    <border>
      <left/>
      <right/>
      <top style="medium">
        <color indexed="8"/>
      </top>
      <bottom style="hair">
        <color indexed="8"/>
      </bottom>
      <diagonal/>
    </border>
    <border>
      <left/>
      <right/>
      <top style="medium">
        <color auto="1"/>
      </top>
      <bottom style="medium">
        <color auto="1"/>
      </bottom>
      <diagonal/>
    </border>
    <border>
      <left style="medium">
        <color indexed="64"/>
      </left>
      <right style="medium">
        <color indexed="64"/>
      </right>
      <top style="medium">
        <color indexed="8"/>
      </top>
      <bottom style="hair">
        <color indexed="8"/>
      </bottom>
      <diagonal/>
    </border>
    <border>
      <left style="medium">
        <color indexed="64"/>
      </left>
      <right/>
      <top/>
      <bottom style="hair">
        <color indexed="64"/>
      </bottom>
      <diagonal/>
    </border>
    <border>
      <left style="medium">
        <color indexed="64"/>
      </left>
      <right style="medium">
        <color indexed="64"/>
      </right>
      <top style="medium">
        <color indexed="8"/>
      </top>
      <bottom style="medium">
        <color indexed="64"/>
      </bottom>
      <diagonal/>
    </border>
    <border>
      <left style="medium">
        <color indexed="64"/>
      </left>
      <right style="medium">
        <color indexed="64"/>
      </right>
      <top style="medium">
        <color auto="1"/>
      </top>
      <bottom style="medium">
        <color auto="1"/>
      </bottom>
      <diagonal/>
    </border>
    <border>
      <left style="medium">
        <color indexed="8"/>
      </left>
      <right/>
      <top style="medium">
        <color indexed="8"/>
      </top>
      <bottom style="hair">
        <color indexed="8"/>
      </bottom>
      <diagonal/>
    </border>
    <border>
      <left style="medium">
        <color indexed="64"/>
      </left>
      <right/>
      <top style="medium">
        <color auto="1"/>
      </top>
      <bottom style="medium">
        <color auto="1"/>
      </bottom>
      <diagonal/>
    </border>
    <border>
      <left/>
      <right/>
      <top style="medium">
        <color indexed="8"/>
      </top>
      <bottom style="medium">
        <color indexed="8"/>
      </bottom>
      <diagonal/>
    </border>
    <border>
      <left style="medium">
        <color indexed="8"/>
      </left>
      <right style="medium">
        <color indexed="8"/>
      </right>
      <top style="hair">
        <color indexed="64"/>
      </top>
      <bottom style="hair">
        <color indexed="64"/>
      </bottom>
      <diagonal/>
    </border>
    <border>
      <left style="medium">
        <color indexed="64"/>
      </left>
      <right style="medium">
        <color indexed="64"/>
      </right>
      <top style="thin">
        <color indexed="8"/>
      </top>
      <bottom style="hair">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8"/>
      </top>
      <bottom style="hair">
        <color indexed="8"/>
      </bottom>
      <diagonal/>
    </border>
    <border>
      <left style="medium">
        <color indexed="8"/>
      </left>
      <right style="medium">
        <color indexed="8"/>
      </right>
      <top style="medium">
        <color indexed="8"/>
      </top>
      <bottom/>
      <diagonal/>
    </border>
    <border>
      <left/>
      <right/>
      <top style="hair">
        <color indexed="64"/>
      </top>
      <bottom style="medium">
        <color indexed="64"/>
      </bottom>
      <diagonal/>
    </border>
    <border>
      <left/>
      <right style="medium">
        <color auto="1"/>
      </right>
      <top style="medium">
        <color auto="1"/>
      </top>
      <bottom style="medium">
        <color auto="1"/>
      </bottom>
      <diagonal/>
    </border>
    <border>
      <left/>
      <right style="medium">
        <color indexed="64"/>
      </right>
      <top style="medium">
        <color indexed="8"/>
      </top>
      <bottom style="medium">
        <color indexed="64"/>
      </bottom>
      <diagonal/>
    </border>
    <border>
      <left/>
      <right style="medium">
        <color indexed="64"/>
      </right>
      <top style="medium">
        <color indexed="8"/>
      </top>
      <bottom style="medium">
        <color indexed="8"/>
      </bottom>
      <diagonal/>
    </border>
    <border>
      <left style="medium">
        <color auto="1"/>
      </left>
      <right style="medium">
        <color auto="1"/>
      </right>
      <top style="thin">
        <color auto="1"/>
      </top>
      <bottom style="thin">
        <color auto="1"/>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8"/>
      </top>
      <bottom style="thin">
        <color indexed="8"/>
      </bottom>
      <diagonal/>
    </border>
    <border>
      <left style="medium">
        <color auto="1"/>
      </left>
      <right style="medium">
        <color auto="1"/>
      </right>
      <top style="thin">
        <color auto="1"/>
      </top>
      <bottom style="thin">
        <color auto="1"/>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8"/>
      </top>
      <bottom style="thin">
        <color indexed="8"/>
      </bottom>
      <diagonal/>
    </border>
    <border>
      <left style="medium">
        <color auto="1"/>
      </left>
      <right style="medium">
        <color auto="1"/>
      </right>
      <top style="thin">
        <color auto="1"/>
      </top>
      <bottom style="thin">
        <color auto="1"/>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8"/>
      </top>
      <bottom style="thin">
        <color indexed="8"/>
      </bottom>
      <diagonal/>
    </border>
    <border>
      <left style="medium">
        <color auto="1"/>
      </left>
      <right style="medium">
        <color auto="1"/>
      </right>
      <top style="thin">
        <color auto="1"/>
      </top>
      <bottom style="thin">
        <color auto="1"/>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8"/>
      </top>
      <bottom style="thin">
        <color indexed="8"/>
      </bottom>
      <diagonal/>
    </border>
    <border>
      <left style="medium">
        <color auto="1"/>
      </left>
      <right style="medium">
        <color auto="1"/>
      </right>
      <top style="thin">
        <color auto="1"/>
      </top>
      <bottom style="thin">
        <color auto="1"/>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8"/>
      </top>
      <bottom style="thin">
        <color indexed="8"/>
      </bottom>
      <diagonal/>
    </border>
    <border>
      <left/>
      <right style="medium">
        <color indexed="64"/>
      </right>
      <top style="thin">
        <color indexed="64"/>
      </top>
      <bottom/>
      <diagonal/>
    </border>
    <border>
      <left style="medium">
        <color indexed="64"/>
      </left>
      <right style="medium">
        <color indexed="64"/>
      </right>
      <top style="thin">
        <color indexed="64"/>
      </top>
      <bottom/>
      <diagonal/>
    </border>
    <border>
      <left/>
      <right/>
      <top style="thin">
        <color indexed="64"/>
      </top>
      <bottom/>
      <diagonal/>
    </border>
    <border>
      <left style="medium">
        <color auto="1"/>
      </left>
      <right style="medium">
        <color auto="1"/>
      </right>
      <top style="thin">
        <color auto="1"/>
      </top>
      <bottom style="thin">
        <color auto="1"/>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right/>
      <top style="thin">
        <color indexed="64"/>
      </top>
      <bottom/>
      <diagonal/>
    </border>
    <border>
      <left/>
      <right style="medium">
        <color indexed="64"/>
      </right>
      <top style="thin">
        <color indexed="64"/>
      </top>
      <bottom style="thin">
        <color indexed="64"/>
      </bottom>
      <diagonal/>
    </border>
    <border>
      <left style="medium">
        <color indexed="64"/>
      </left>
      <right style="medium">
        <color indexed="64"/>
      </right>
      <top style="thin">
        <color indexed="8"/>
      </top>
      <bottom style="thin">
        <color indexed="8"/>
      </bottom>
      <diagonal/>
    </border>
    <border>
      <left/>
      <right style="medium">
        <color indexed="64"/>
      </right>
      <top style="thin">
        <color indexed="8"/>
      </top>
      <bottom style="thin">
        <color indexed="8"/>
      </bottom>
      <diagonal/>
    </border>
    <border>
      <left/>
      <right/>
      <top style="thin">
        <color indexed="8"/>
      </top>
      <bottom style="thin">
        <color indexed="8"/>
      </bottom>
      <diagonal/>
    </border>
    <border>
      <left/>
      <right style="medium">
        <color indexed="64"/>
      </right>
      <top style="thin">
        <color indexed="8"/>
      </top>
      <bottom/>
      <diagonal/>
    </border>
    <border>
      <left/>
      <right style="medium">
        <color indexed="64"/>
      </right>
      <top style="thin">
        <color indexed="8"/>
      </top>
      <bottom style="medium">
        <color indexed="64"/>
      </bottom>
      <diagonal/>
    </border>
    <border>
      <left style="medium">
        <color indexed="64"/>
      </left>
      <right style="medium">
        <color indexed="64"/>
      </right>
      <top style="thin">
        <color indexed="8"/>
      </top>
      <bottom/>
      <diagonal/>
    </border>
    <border>
      <left style="medium">
        <color indexed="64"/>
      </left>
      <right style="medium">
        <color indexed="64"/>
      </right>
      <top style="thin">
        <color indexed="8"/>
      </top>
      <bottom style="thin">
        <color indexed="8"/>
      </bottom>
      <diagonal/>
    </border>
    <border>
      <left/>
      <right style="medium">
        <color indexed="64"/>
      </right>
      <top style="thin">
        <color indexed="8"/>
      </top>
      <bottom style="medium">
        <color indexed="64"/>
      </bottom>
      <diagonal/>
    </border>
    <border>
      <left style="medium">
        <color indexed="64"/>
      </left>
      <right style="medium">
        <color indexed="64"/>
      </right>
      <top style="thin">
        <color indexed="8"/>
      </top>
      <bottom/>
      <diagonal/>
    </border>
    <border>
      <left/>
      <right/>
      <top style="thin">
        <color indexed="8"/>
      </top>
      <bottom style="thin">
        <color indexed="8"/>
      </bottom>
      <diagonal/>
    </border>
    <border>
      <left style="medium">
        <color indexed="64"/>
      </left>
      <right style="medium">
        <color indexed="64"/>
      </right>
      <top style="thin">
        <color indexed="8"/>
      </top>
      <bottom style="thin">
        <color indexed="8"/>
      </bottom>
      <diagonal/>
    </border>
    <border>
      <left/>
      <right style="medium">
        <color indexed="64"/>
      </right>
      <top style="thin">
        <color indexed="8"/>
      </top>
      <bottom style="medium">
        <color indexed="64"/>
      </bottom>
      <diagonal/>
    </border>
    <border>
      <left style="medium">
        <color indexed="64"/>
      </left>
      <right style="medium">
        <color indexed="64"/>
      </right>
      <top style="thin">
        <color indexed="8"/>
      </top>
      <bottom/>
      <diagonal/>
    </border>
    <border>
      <left/>
      <right/>
      <top style="thin">
        <color indexed="8"/>
      </top>
      <bottom style="thin">
        <color indexed="8"/>
      </bottom>
      <diagonal/>
    </border>
    <border>
      <left style="medium">
        <color auto="1"/>
      </left>
      <right/>
      <top/>
      <bottom style="hair">
        <color auto="1"/>
      </bottom>
      <diagonal/>
    </border>
    <border>
      <left style="medium">
        <color indexed="64"/>
      </left>
      <right style="medium">
        <color indexed="64"/>
      </right>
      <top style="hair">
        <color indexed="64"/>
      </top>
      <bottom style="medium">
        <color indexed="8"/>
      </bottom>
      <diagonal/>
    </border>
    <border>
      <left style="medium">
        <color indexed="64"/>
      </left>
      <right style="medium">
        <color indexed="64"/>
      </right>
      <top style="hair">
        <color indexed="64"/>
      </top>
      <bottom style="medium">
        <color auto="1"/>
      </bottom>
      <diagonal/>
    </border>
    <border>
      <left style="medium">
        <color indexed="64"/>
      </left>
      <right style="medium">
        <color indexed="64"/>
      </right>
      <top/>
      <bottom style="hair">
        <color indexed="8"/>
      </bottom>
      <diagonal/>
    </border>
    <border>
      <left style="medium">
        <color indexed="8"/>
      </left>
      <right style="medium">
        <color indexed="8"/>
      </right>
      <top/>
      <bottom style="hair">
        <color indexed="8"/>
      </bottom>
      <diagonal/>
    </border>
    <border>
      <left style="medium">
        <color indexed="8"/>
      </left>
      <right/>
      <top/>
      <bottom style="hair">
        <color indexed="8"/>
      </bottom>
      <diagonal/>
    </border>
    <border>
      <left/>
      <right style="medium">
        <color indexed="64"/>
      </right>
      <top/>
      <bottom style="hair">
        <color indexed="8"/>
      </bottom>
      <diagonal/>
    </border>
    <border>
      <left style="medium">
        <color indexed="8"/>
      </left>
      <right style="medium">
        <color indexed="8"/>
      </right>
      <top style="medium">
        <color indexed="64"/>
      </top>
      <bottom/>
      <diagonal/>
    </border>
    <border>
      <left style="medium">
        <color indexed="64"/>
      </left>
      <right/>
      <top/>
      <bottom style="hair">
        <color indexed="8"/>
      </bottom>
      <diagonal/>
    </border>
    <border>
      <left style="medium">
        <color indexed="8"/>
      </left>
      <right/>
      <top style="medium">
        <color indexed="8"/>
      </top>
      <bottom style="medium">
        <color indexed="64"/>
      </bottom>
      <diagonal/>
    </border>
    <border>
      <left style="medium">
        <color indexed="8"/>
      </left>
      <right style="medium">
        <color indexed="8"/>
      </right>
      <top style="medium">
        <color indexed="8"/>
      </top>
      <bottom style="medium">
        <color indexed="64"/>
      </bottom>
      <diagonal/>
    </border>
    <border>
      <left/>
      <right/>
      <top/>
      <bottom style="hair">
        <color indexed="8"/>
      </bottom>
      <diagonal/>
    </border>
    <border>
      <left style="medium">
        <color indexed="8"/>
      </left>
      <right style="medium">
        <color indexed="8"/>
      </right>
      <top style="medium">
        <color indexed="64"/>
      </top>
      <bottom style="hair">
        <color indexed="8"/>
      </bottom>
      <diagonal/>
    </border>
    <border>
      <left style="medium">
        <color indexed="64"/>
      </left>
      <right style="medium">
        <color indexed="8"/>
      </right>
      <top style="medium">
        <color indexed="8"/>
      </top>
      <bottom style="hair">
        <color indexed="8"/>
      </bottom>
      <diagonal/>
    </border>
    <border>
      <left style="medium">
        <color indexed="64"/>
      </left>
      <right style="medium">
        <color indexed="8"/>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thin">
        <color indexed="8"/>
      </top>
      <bottom style="thin">
        <color indexed="64"/>
      </bottom>
      <diagonal/>
    </border>
    <border>
      <left/>
      <right style="medium">
        <color indexed="64"/>
      </right>
      <top style="thin">
        <color indexed="8"/>
      </top>
      <bottom style="thin">
        <color indexed="64"/>
      </bottom>
      <diagonal/>
    </border>
    <border>
      <left/>
      <right/>
      <top style="medium">
        <color auto="1"/>
      </top>
      <bottom style="medium">
        <color auto="1"/>
      </bottom>
      <diagonal/>
    </border>
    <border>
      <left style="medium">
        <color indexed="64"/>
      </left>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top style="thin">
        <color indexed="8"/>
      </top>
      <bottom/>
      <diagonal/>
    </border>
    <border>
      <left/>
      <right/>
      <top/>
      <bottom style="hair">
        <color indexed="64"/>
      </bottom>
      <diagonal/>
    </border>
    <border>
      <left style="medium">
        <color indexed="64"/>
      </left>
      <right style="medium">
        <color indexed="64"/>
      </right>
      <top style="thin">
        <color indexed="8"/>
      </top>
      <bottom style="hair">
        <color indexed="64"/>
      </bottom>
      <diagonal/>
    </border>
    <border>
      <left style="medium">
        <color indexed="64"/>
      </left>
      <right style="medium">
        <color indexed="64"/>
      </right>
      <top style="hair">
        <color indexed="64"/>
      </top>
      <bottom style="thin">
        <color indexed="8"/>
      </bottom>
      <diagonal/>
    </border>
    <border>
      <left style="medium">
        <color auto="1"/>
      </left>
      <right style="thin">
        <color indexed="64"/>
      </right>
      <top style="medium">
        <color auto="1"/>
      </top>
      <bottom/>
      <diagonal/>
    </border>
    <border>
      <left style="thin">
        <color indexed="64"/>
      </left>
      <right style="thin">
        <color indexed="64"/>
      </right>
      <top style="medium">
        <color auto="1"/>
      </top>
      <bottom/>
      <diagonal/>
    </border>
    <border>
      <left style="thin">
        <color indexed="64"/>
      </left>
      <right/>
      <top style="medium">
        <color auto="1"/>
      </top>
      <bottom/>
      <diagonal/>
    </border>
    <border>
      <left style="thin">
        <color auto="1"/>
      </left>
      <right style="thin">
        <color auto="1"/>
      </right>
      <top style="medium">
        <color auto="1"/>
      </top>
      <bottom style="thin">
        <color auto="1"/>
      </bottom>
      <diagonal/>
    </border>
    <border>
      <left/>
      <right/>
      <top style="medium">
        <color auto="1"/>
      </top>
      <bottom style="thin">
        <color auto="1"/>
      </bottom>
      <diagonal/>
    </border>
    <border>
      <left/>
      <right style="thin">
        <color indexed="64"/>
      </right>
      <top style="medium">
        <color auto="1"/>
      </top>
      <bottom style="thin">
        <color auto="1"/>
      </bottom>
      <diagonal/>
    </border>
    <border>
      <left style="thin">
        <color indexed="64"/>
      </left>
      <right style="medium">
        <color auto="1"/>
      </right>
      <top style="medium">
        <color auto="1"/>
      </top>
      <bottom/>
      <diagonal/>
    </border>
    <border>
      <left style="medium">
        <color auto="1"/>
      </left>
      <right style="thin">
        <color indexed="64"/>
      </right>
      <top/>
      <bottom style="medium">
        <color auto="1"/>
      </bottom>
      <diagonal/>
    </border>
    <border>
      <left style="thin">
        <color indexed="64"/>
      </left>
      <right style="thin">
        <color indexed="64"/>
      </right>
      <top/>
      <bottom style="medium">
        <color auto="1"/>
      </bottom>
      <diagonal/>
    </border>
    <border>
      <left style="thin">
        <color indexed="64"/>
      </left>
      <right/>
      <top/>
      <bottom style="medium">
        <color auto="1"/>
      </bottom>
      <diagonal/>
    </border>
    <border>
      <left style="thin">
        <color auto="1"/>
      </left>
      <right style="thin">
        <color auto="1"/>
      </right>
      <top style="thin">
        <color auto="1"/>
      </top>
      <bottom style="medium">
        <color auto="1"/>
      </bottom>
      <diagonal/>
    </border>
    <border>
      <left style="thin">
        <color indexed="64"/>
      </left>
      <right style="medium">
        <color auto="1"/>
      </right>
      <top/>
      <bottom style="medium">
        <color auto="1"/>
      </bottom>
      <diagonal/>
    </border>
    <border>
      <left style="medium">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bottom style="thin">
        <color auto="1"/>
      </bottom>
      <diagonal/>
    </border>
    <border>
      <left/>
      <right/>
      <top/>
      <bottom style="thin">
        <color auto="1"/>
      </bottom>
      <diagonal/>
    </border>
    <border>
      <left/>
      <right style="medium">
        <color auto="1"/>
      </right>
      <top/>
      <bottom style="thin">
        <color auto="1"/>
      </bottom>
      <diagonal/>
    </border>
    <border>
      <left/>
      <right style="thin">
        <color indexed="64"/>
      </right>
      <top style="medium">
        <color auto="1"/>
      </top>
      <bottom style="medium">
        <color auto="1"/>
      </bottom>
      <diagonal/>
    </border>
    <border>
      <left style="thin">
        <color indexed="64"/>
      </left>
      <right style="thin">
        <color indexed="64"/>
      </right>
      <top style="medium">
        <color auto="1"/>
      </top>
      <bottom style="medium">
        <color auto="1"/>
      </bottom>
      <diagonal/>
    </border>
    <border>
      <left style="thin">
        <color indexed="64"/>
      </left>
      <right style="medium">
        <color auto="1"/>
      </right>
      <top style="medium">
        <color auto="1"/>
      </top>
      <bottom style="medium">
        <color auto="1"/>
      </bottom>
      <diagonal/>
    </border>
  </borders>
  <cellStyleXfs count="9">
    <xf numFmtId="0" fontId="0" fillId="0" borderId="0"/>
    <xf numFmtId="165" fontId="72" fillId="0" borderId="0" applyFill="0" applyBorder="0" applyAlignment="0" applyProtection="0"/>
    <xf numFmtId="0" fontId="72" fillId="2" borderId="1" applyNumberFormat="0" applyAlignment="0" applyProtection="0"/>
    <xf numFmtId="0" fontId="72" fillId="2" borderId="1" applyNumberFormat="0" applyAlignment="0" applyProtection="0"/>
    <xf numFmtId="0" fontId="72" fillId="0" borderId="0"/>
    <xf numFmtId="0" fontId="2" fillId="0" borderId="0"/>
    <xf numFmtId="43" fontId="1" fillId="0" borderId="0" applyFont="0" applyFill="0" applyBorder="0" applyAlignment="0" applyProtection="0"/>
    <xf numFmtId="0" fontId="96" fillId="0" borderId="0"/>
    <xf numFmtId="0" fontId="47" fillId="0" borderId="0"/>
  </cellStyleXfs>
  <cellXfs count="2296">
    <xf numFmtId="0" fontId="0" fillId="0" borderId="0" xfId="0"/>
    <xf numFmtId="0" fontId="3" fillId="0" borderId="0" xfId="0" applyFont="1"/>
    <xf numFmtId="0" fontId="0" fillId="0" borderId="0" xfId="0" applyFont="1"/>
    <xf numFmtId="0" fontId="4" fillId="0" borderId="0" xfId="0" applyFont="1" applyAlignment="1">
      <alignment horizontal="right"/>
    </xf>
    <xf numFmtId="4" fontId="5" fillId="0" borderId="0" xfId="0" applyNumberFormat="1" applyFont="1" applyBorder="1" applyAlignment="1">
      <alignment horizontal="center" wrapText="1"/>
    </xf>
    <xf numFmtId="4" fontId="0" fillId="0" borderId="0" xfId="0" applyNumberFormat="1" applyFont="1" applyBorder="1" applyAlignment="1">
      <alignment horizontal="center" vertical="center" wrapText="1"/>
    </xf>
    <xf numFmtId="4" fontId="6" fillId="0" borderId="0" xfId="0" applyNumberFormat="1" applyFont="1" applyFill="1" applyBorder="1" applyAlignment="1">
      <alignment horizontal="center" vertical="center" wrapText="1"/>
    </xf>
    <xf numFmtId="0" fontId="3" fillId="0" borderId="0" xfId="0" applyFont="1" applyFill="1" applyAlignment="1">
      <alignment horizontal="center" vertical="center"/>
    </xf>
    <xf numFmtId="0" fontId="7" fillId="0" borderId="2" xfId="0" applyFont="1" applyBorder="1" applyAlignment="1">
      <alignment horizontal="center" vertical="center" wrapText="1"/>
    </xf>
    <xf numFmtId="0" fontId="6" fillId="0" borderId="2" xfId="0" applyFont="1" applyBorder="1" applyAlignment="1">
      <alignment horizontal="center" vertical="center" wrapText="1"/>
    </xf>
    <xf numFmtId="4" fontId="5" fillId="0" borderId="3" xfId="0" applyNumberFormat="1" applyFont="1" applyBorder="1" applyAlignment="1">
      <alignment horizontal="center" vertical="center" wrapText="1"/>
    </xf>
    <xf numFmtId="4" fontId="5" fillId="0" borderId="2" xfId="0" applyNumberFormat="1" applyFont="1" applyBorder="1" applyAlignment="1">
      <alignment horizontal="center" vertical="center" wrapText="1"/>
    </xf>
    <xf numFmtId="0" fontId="3" fillId="0" borderId="0" xfId="0" applyFont="1" applyFill="1"/>
    <xf numFmtId="0" fontId="12" fillId="3" borderId="4" xfId="0" applyFont="1" applyFill="1" applyBorder="1"/>
    <xf numFmtId="0" fontId="6" fillId="3" borderId="4" xfId="0" applyFont="1" applyFill="1" applyBorder="1"/>
    <xf numFmtId="0" fontId="6" fillId="3" borderId="5" xfId="0" applyFont="1" applyFill="1" applyBorder="1"/>
    <xf numFmtId="4" fontId="5" fillId="0" borderId="5" xfId="0" applyNumberFormat="1" applyFont="1" applyBorder="1" applyAlignment="1">
      <alignment horizontal="center" wrapText="1"/>
    </xf>
    <xf numFmtId="4" fontId="0" fillId="0" borderId="5" xfId="0" applyNumberFormat="1" applyFont="1" applyBorder="1" applyAlignment="1">
      <alignment horizontal="center" vertical="center" wrapText="1"/>
    </xf>
    <xf numFmtId="4" fontId="5" fillId="0" borderId="5" xfId="0" applyNumberFormat="1" applyFont="1" applyFill="1" applyBorder="1" applyAlignment="1">
      <alignment horizontal="center" vertical="center" wrapText="1"/>
    </xf>
    <xf numFmtId="0" fontId="12" fillId="0" borderId="0" xfId="0" applyFont="1" applyFill="1" applyBorder="1" applyAlignment="1"/>
    <xf numFmtId="0" fontId="13" fillId="3" borderId="6" xfId="0" applyFont="1" applyFill="1" applyBorder="1"/>
    <xf numFmtId="0" fontId="14" fillId="3" borderId="6" xfId="0" applyFont="1" applyFill="1" applyBorder="1"/>
    <xf numFmtId="4" fontId="15" fillId="3" borderId="4" xfId="0" applyNumberFormat="1" applyFont="1" applyFill="1" applyBorder="1"/>
    <xf numFmtId="0" fontId="16" fillId="0" borderId="0" xfId="0" applyFont="1" applyFill="1" applyBorder="1" applyAlignment="1">
      <alignment vertical="center"/>
    </xf>
    <xf numFmtId="0" fontId="13" fillId="0" borderId="0" xfId="0" applyFont="1" applyFill="1" applyBorder="1" applyAlignment="1"/>
    <xf numFmtId="0" fontId="17" fillId="3" borderId="6" xfId="0" applyFont="1" applyFill="1" applyBorder="1"/>
    <xf numFmtId="4" fontId="15" fillId="3" borderId="6" xfId="0" applyNumberFormat="1" applyFont="1" applyFill="1" applyBorder="1"/>
    <xf numFmtId="0" fontId="12" fillId="3" borderId="6" xfId="0" applyFont="1" applyFill="1" applyBorder="1"/>
    <xf numFmtId="0" fontId="6" fillId="3" borderId="6" xfId="0" applyFont="1" applyFill="1" applyBorder="1"/>
    <xf numFmtId="4" fontId="18" fillId="3" borderId="6" xfId="0" applyNumberFormat="1" applyFont="1" applyFill="1" applyBorder="1"/>
    <xf numFmtId="4" fontId="3" fillId="0" borderId="0" xfId="0" applyNumberFormat="1" applyFont="1" applyFill="1" applyBorder="1" applyAlignment="1"/>
    <xf numFmtId="0" fontId="14" fillId="3" borderId="7" xfId="0" applyFont="1" applyFill="1" applyBorder="1"/>
    <xf numFmtId="4" fontId="15" fillId="3" borderId="8" xfId="0" applyNumberFormat="1" applyFont="1" applyFill="1" applyBorder="1"/>
    <xf numFmtId="4" fontId="0" fillId="0" borderId="0" xfId="0" applyNumberFormat="1" applyFont="1" applyFill="1" applyBorder="1" applyAlignment="1">
      <alignment vertical="center"/>
    </xf>
    <xf numFmtId="0" fontId="19" fillId="3" borderId="2" xfId="0" applyFont="1" applyFill="1" applyBorder="1"/>
    <xf numFmtId="0" fontId="20" fillId="3" borderId="2" xfId="0" applyFont="1" applyFill="1" applyBorder="1"/>
    <xf numFmtId="4" fontId="21" fillId="3" borderId="2" xfId="0" applyNumberFormat="1" applyFont="1" applyFill="1" applyBorder="1"/>
    <xf numFmtId="4" fontId="19" fillId="0" borderId="0" xfId="0" applyNumberFormat="1" applyFont="1" applyFill="1" applyBorder="1" applyAlignment="1"/>
    <xf numFmtId="0" fontId="19" fillId="0" borderId="0" xfId="0" applyFont="1" applyFill="1" applyBorder="1" applyAlignment="1"/>
    <xf numFmtId="164" fontId="15" fillId="0" borderId="4" xfId="0" applyNumberFormat="1" applyFont="1" applyFill="1" applyBorder="1" applyAlignment="1"/>
    <xf numFmtId="164" fontId="23" fillId="0" borderId="4" xfId="0" applyNumberFormat="1" applyFont="1" applyFill="1" applyBorder="1" applyAlignment="1"/>
    <xf numFmtId="164" fontId="15" fillId="0" borderId="5" xfId="0" applyNumberFormat="1" applyFont="1" applyFill="1" applyBorder="1" applyAlignment="1"/>
    <xf numFmtId="4" fontId="14" fillId="3" borderId="4" xfId="0" applyNumberFormat="1" applyFont="1" applyFill="1" applyBorder="1" applyAlignment="1"/>
    <xf numFmtId="4" fontId="15" fillId="3" borderId="4" xfId="0" applyNumberFormat="1" applyFont="1" applyFill="1" applyBorder="1" applyAlignment="1">
      <alignment vertical="center"/>
    </xf>
    <xf numFmtId="4" fontId="15" fillId="3" borderId="6" xfId="0" applyNumberFormat="1" applyFont="1" applyFill="1" applyBorder="1" applyAlignment="1">
      <alignment vertical="center"/>
    </xf>
    <xf numFmtId="0" fontId="24" fillId="3" borderId="4" xfId="0" applyFont="1" applyFill="1" applyBorder="1"/>
    <xf numFmtId="164" fontId="15" fillId="0" borderId="6" xfId="0" applyNumberFormat="1" applyFont="1" applyFill="1" applyBorder="1" applyAlignment="1"/>
    <xf numFmtId="164" fontId="23" fillId="0" borderId="6" xfId="0" applyNumberFormat="1" applyFont="1" applyFill="1" applyBorder="1" applyAlignment="1"/>
    <xf numFmtId="0" fontId="25" fillId="3" borderId="9" xfId="0" applyFont="1" applyFill="1" applyBorder="1" applyAlignment="1">
      <alignment vertical="center" wrapText="1"/>
    </xf>
    <xf numFmtId="4" fontId="25" fillId="3" borderId="4" xfId="0" applyNumberFormat="1" applyFont="1" applyFill="1" applyBorder="1" applyAlignment="1">
      <alignment vertical="center"/>
    </xf>
    <xf numFmtId="0" fontId="5" fillId="3" borderId="6" xfId="0" applyFont="1" applyFill="1" applyBorder="1"/>
    <xf numFmtId="0" fontId="15" fillId="3" borderId="6" xfId="0" applyFont="1" applyFill="1" applyBorder="1"/>
    <xf numFmtId="0" fontId="14" fillId="3" borderId="4" xfId="0" applyFont="1" applyFill="1" applyBorder="1"/>
    <xf numFmtId="0" fontId="14" fillId="3" borderId="8" xfId="0" applyFont="1" applyFill="1" applyBorder="1"/>
    <xf numFmtId="0" fontId="25" fillId="3" borderId="10" xfId="0" applyFont="1" applyFill="1" applyBorder="1" applyAlignment="1">
      <alignment vertical="center" wrapText="1"/>
    </xf>
    <xf numFmtId="0" fontId="14" fillId="3" borderId="9" xfId="0" applyFont="1" applyFill="1" applyBorder="1"/>
    <xf numFmtId="0" fontId="14" fillId="3" borderId="11" xfId="0" applyFont="1" applyFill="1" applyBorder="1"/>
    <xf numFmtId="4" fontId="15" fillId="3" borderId="11" xfId="0" applyNumberFormat="1" applyFont="1" applyFill="1" applyBorder="1"/>
    <xf numFmtId="0" fontId="14" fillId="3" borderId="2" xfId="0" applyFont="1" applyFill="1" applyBorder="1"/>
    <xf numFmtId="0" fontId="26" fillId="3" borderId="2" xfId="0" applyFont="1" applyFill="1" applyBorder="1"/>
    <xf numFmtId="4" fontId="25" fillId="3" borderId="2" xfId="0" applyNumberFormat="1" applyFont="1" applyFill="1" applyBorder="1"/>
    <xf numFmtId="0" fontId="26" fillId="3" borderId="8" xfId="0" applyFont="1" applyFill="1" applyBorder="1"/>
    <xf numFmtId="4" fontId="25" fillId="3" borderId="8" xfId="0" applyNumberFormat="1" applyFont="1" applyFill="1" applyBorder="1"/>
    <xf numFmtId="0" fontId="13" fillId="3" borderId="0" xfId="0" applyFont="1" applyFill="1" applyBorder="1" applyAlignment="1"/>
    <xf numFmtId="0" fontId="26" fillId="3" borderId="9" xfId="0" applyFont="1" applyFill="1" applyBorder="1"/>
    <xf numFmtId="4" fontId="25" fillId="3" borderId="9" xfId="0" applyNumberFormat="1" applyFont="1" applyFill="1" applyBorder="1"/>
    <xf numFmtId="0" fontId="5" fillId="0" borderId="2" xfId="0" applyFont="1" applyFill="1" applyBorder="1"/>
    <xf numFmtId="0" fontId="26" fillId="0" borderId="2" xfId="0" applyFont="1" applyFill="1" applyBorder="1" applyAlignment="1">
      <alignment vertical="center" wrapText="1"/>
    </xf>
    <xf numFmtId="4" fontId="26" fillId="0" borderId="2" xfId="0" applyNumberFormat="1" applyFont="1" applyFill="1" applyBorder="1" applyAlignment="1">
      <alignment vertical="center"/>
    </xf>
    <xf numFmtId="0" fontId="13" fillId="4" borderId="0" xfId="0" applyFont="1" applyFill="1" applyBorder="1" applyAlignment="1"/>
    <xf numFmtId="0" fontId="5" fillId="3" borderId="4" xfId="0" applyFont="1" applyFill="1" applyBorder="1"/>
    <xf numFmtId="0" fontId="25" fillId="3" borderId="4" xfId="0" applyFont="1" applyFill="1" applyBorder="1"/>
    <xf numFmtId="4" fontId="27" fillId="3" borderId="4" xfId="0" applyNumberFormat="1" applyFont="1" applyFill="1" applyBorder="1"/>
    <xf numFmtId="4" fontId="25" fillId="3" borderId="4" xfId="0" applyNumberFormat="1" applyFont="1" applyFill="1" applyBorder="1"/>
    <xf numFmtId="0" fontId="26" fillId="3" borderId="11" xfId="0" applyFont="1" applyFill="1" applyBorder="1"/>
    <xf numFmtId="4" fontId="25" fillId="3" borderId="11" xfId="0" applyNumberFormat="1" applyFont="1" applyFill="1" applyBorder="1"/>
    <xf numFmtId="0" fontId="26" fillId="3" borderId="11" xfId="0" applyFont="1" applyFill="1" applyBorder="1" applyAlignment="1">
      <alignment vertical="center" wrapText="1"/>
    </xf>
    <xf numFmtId="4" fontId="27" fillId="3" borderId="2" xfId="0" applyNumberFormat="1" applyFont="1" applyFill="1" applyBorder="1" applyAlignment="1">
      <alignment vertical="center"/>
    </xf>
    <xf numFmtId="4" fontId="25" fillId="3" borderId="2" xfId="0" applyNumberFormat="1" applyFont="1" applyFill="1" applyBorder="1" applyAlignment="1">
      <alignment vertical="center"/>
    </xf>
    <xf numFmtId="0" fontId="14" fillId="3" borderId="5" xfId="0" applyFont="1" applyFill="1" applyBorder="1"/>
    <xf numFmtId="0" fontId="14" fillId="0" borderId="6" xfId="0" applyFont="1" applyFill="1" applyBorder="1"/>
    <xf numFmtId="0" fontId="26" fillId="3" borderId="12" xfId="0" applyFont="1" applyFill="1" applyBorder="1"/>
    <xf numFmtId="4" fontId="25" fillId="3" borderId="5" xfId="0" applyNumberFormat="1" applyFont="1" applyFill="1" applyBorder="1"/>
    <xf numFmtId="0" fontId="14" fillId="3" borderId="13" xfId="0" applyFont="1" applyFill="1" applyBorder="1"/>
    <xf numFmtId="4" fontId="25" fillId="3" borderId="6" xfId="0" applyNumberFormat="1" applyFont="1" applyFill="1" applyBorder="1"/>
    <xf numFmtId="0" fontId="14" fillId="3" borderId="14" xfId="0" applyFont="1" applyFill="1" applyBorder="1"/>
    <xf numFmtId="0" fontId="14" fillId="3" borderId="15" xfId="0" applyFont="1" applyFill="1" applyBorder="1"/>
    <xf numFmtId="0" fontId="17" fillId="3" borderId="2" xfId="0" applyFont="1" applyFill="1" applyBorder="1"/>
    <xf numFmtId="4" fontId="27" fillId="3" borderId="2" xfId="0" applyNumberFormat="1" applyFont="1" applyFill="1" applyBorder="1"/>
    <xf numFmtId="0" fontId="28" fillId="0" borderId="0" xfId="0" applyFont="1" applyFill="1" applyBorder="1" applyAlignment="1"/>
    <xf numFmtId="0" fontId="26" fillId="3" borderId="5" xfId="0" applyFont="1" applyFill="1" applyBorder="1"/>
    <xf numFmtId="0" fontId="14" fillId="3" borderId="11" xfId="0" applyFont="1" applyFill="1" applyBorder="1" applyAlignment="1">
      <alignment vertical="center"/>
    </xf>
    <xf numFmtId="4" fontId="0" fillId="0" borderId="0" xfId="0" applyNumberFormat="1" applyFont="1" applyFill="1"/>
    <xf numFmtId="0" fontId="12" fillId="3" borderId="2" xfId="0" applyFont="1" applyFill="1" applyBorder="1"/>
    <xf numFmtId="0" fontId="21" fillId="3" borderId="2" xfId="0" applyFont="1" applyFill="1" applyBorder="1"/>
    <xf numFmtId="4" fontId="29" fillId="3" borderId="2" xfId="0" applyNumberFormat="1" applyFont="1" applyFill="1" applyBorder="1"/>
    <xf numFmtId="4" fontId="0" fillId="0" borderId="0" xfId="0" applyNumberFormat="1" applyFont="1"/>
    <xf numFmtId="4" fontId="18" fillId="3" borderId="2" xfId="0" applyNumberFormat="1" applyFont="1" applyFill="1" applyBorder="1"/>
    <xf numFmtId="0" fontId="3" fillId="0" borderId="2" xfId="0" applyFont="1" applyBorder="1"/>
    <xf numFmtId="0" fontId="21" fillId="0" borderId="2" xfId="0" applyFont="1" applyBorder="1"/>
    <xf numFmtId="0" fontId="18" fillId="0" borderId="2" xfId="0" applyFont="1" applyFill="1" applyBorder="1" applyAlignment="1">
      <alignment horizontal="center"/>
    </xf>
    <xf numFmtId="4" fontId="4" fillId="0" borderId="2" xfId="0" applyNumberFormat="1" applyFont="1" applyBorder="1" applyAlignment="1">
      <alignment vertical="center" shrinkToFit="1"/>
    </xf>
    <xf numFmtId="4" fontId="0" fillId="0" borderId="2" xfId="0" applyNumberFormat="1" applyFont="1" applyBorder="1" applyAlignment="1">
      <alignment vertical="center" shrinkToFit="1"/>
    </xf>
    <xf numFmtId="4" fontId="4" fillId="0" borderId="2" xfId="0" applyNumberFormat="1" applyFont="1" applyBorder="1" applyAlignment="1">
      <alignment vertical="center"/>
    </xf>
    <xf numFmtId="0" fontId="6" fillId="0" borderId="2" xfId="0" applyFont="1" applyBorder="1"/>
    <xf numFmtId="0" fontId="5" fillId="0" borderId="2" xfId="0" applyFont="1" applyBorder="1" applyAlignment="1">
      <alignment vertical="center" wrapText="1"/>
    </xf>
    <xf numFmtId="4" fontId="24" fillId="0" borderId="2" xfId="0" applyNumberFormat="1" applyFont="1" applyBorder="1" applyAlignment="1">
      <alignment shrinkToFit="1"/>
    </xf>
    <xf numFmtId="0" fontId="30" fillId="0" borderId="0" xfId="0" applyFont="1" applyFill="1"/>
    <xf numFmtId="0" fontId="30" fillId="0" borderId="14" xfId="0" applyFont="1" applyBorder="1" applyAlignment="1">
      <alignment vertical="center"/>
    </xf>
    <xf numFmtId="0" fontId="30" fillId="0" borderId="4" xfId="0" applyFont="1" applyBorder="1" applyAlignment="1">
      <alignment vertical="center"/>
    </xf>
    <xf numFmtId="4" fontId="4" fillId="0" borderId="4" xfId="0" applyNumberFormat="1" applyFont="1" applyBorder="1" applyAlignment="1">
      <alignment vertical="center" shrinkToFit="1"/>
    </xf>
    <xf numFmtId="4" fontId="4" fillId="0" borderId="4" xfId="0" applyNumberFormat="1" applyFont="1" applyBorder="1" applyAlignment="1">
      <alignment vertical="center"/>
    </xf>
    <xf numFmtId="0" fontId="30" fillId="0" borderId="13" xfId="0" applyFont="1" applyBorder="1" applyAlignment="1">
      <alignment vertical="center"/>
    </xf>
    <xf numFmtId="0" fontId="30" fillId="0" borderId="6" xfId="0" applyFont="1" applyBorder="1" applyAlignment="1">
      <alignment vertical="center"/>
    </xf>
    <xf numFmtId="4" fontId="4" fillId="0" borderId="6" xfId="0" applyNumberFormat="1" applyFont="1" applyBorder="1" applyAlignment="1">
      <alignment vertical="center" shrinkToFit="1"/>
    </xf>
    <xf numFmtId="4" fontId="4" fillId="0" borderId="6" xfId="0" applyNumberFormat="1" applyFont="1" applyBorder="1" applyAlignment="1">
      <alignment vertical="center"/>
    </xf>
    <xf numFmtId="0" fontId="30" fillId="0" borderId="0" xfId="0" applyFont="1"/>
    <xf numFmtId="0" fontId="30" fillId="0" borderId="6" xfId="0" applyFont="1" applyBorder="1" applyAlignment="1">
      <alignment vertical="center" wrapText="1"/>
    </xf>
    <xf numFmtId="4" fontId="0" fillId="0" borderId="0" xfId="0" applyNumberFormat="1" applyFont="1" applyAlignment="1">
      <alignment vertical="center"/>
    </xf>
    <xf numFmtId="0" fontId="3" fillId="0" borderId="13" xfId="0" applyFont="1" applyBorder="1" applyAlignment="1">
      <alignment vertical="center"/>
    </xf>
    <xf numFmtId="0" fontId="3" fillId="0" borderId="6" xfId="0" applyFont="1" applyBorder="1" applyAlignment="1">
      <alignment vertical="center"/>
    </xf>
    <xf numFmtId="4" fontId="0" fillId="0" borderId="6" xfId="0" applyNumberFormat="1" applyFont="1" applyBorder="1" applyAlignment="1">
      <alignment vertical="center"/>
    </xf>
    <xf numFmtId="4" fontId="0" fillId="0" borderId="4" xfId="0" applyNumberFormat="1" applyFont="1" applyBorder="1" applyAlignment="1">
      <alignment vertical="center"/>
    </xf>
    <xf numFmtId="0" fontId="30" fillId="0" borderId="13" xfId="0" applyFont="1" applyFill="1" applyBorder="1" applyAlignment="1">
      <alignment vertical="center"/>
    </xf>
    <xf numFmtId="0" fontId="30" fillId="0" borderId="6" xfId="0" applyFont="1" applyFill="1" applyBorder="1" applyAlignment="1">
      <alignment vertical="center" wrapText="1"/>
    </xf>
    <xf numFmtId="0" fontId="0" fillId="0" borderId="13" xfId="0" applyFont="1" applyFill="1" applyBorder="1" applyAlignment="1">
      <alignment vertical="center"/>
    </xf>
    <xf numFmtId="0" fontId="0" fillId="0" borderId="6" xfId="0" applyFont="1" applyFill="1" applyBorder="1" applyAlignment="1">
      <alignment vertical="center" wrapText="1"/>
    </xf>
    <xf numFmtId="4" fontId="0" fillId="0" borderId="6" xfId="0" applyNumberFormat="1" applyFont="1" applyFill="1" applyBorder="1" applyAlignment="1">
      <alignment vertical="center"/>
    </xf>
    <xf numFmtId="4" fontId="0" fillId="0" borderId="6" xfId="0" applyNumberFormat="1" applyFont="1" applyBorder="1" applyAlignment="1">
      <alignment vertical="center" shrinkToFit="1"/>
    </xf>
    <xf numFmtId="0" fontId="0" fillId="0" borderId="0" xfId="0" applyFont="1" applyFill="1"/>
    <xf numFmtId="0" fontId="0" fillId="3" borderId="13" xfId="0" applyFont="1" applyFill="1" applyBorder="1" applyAlignment="1">
      <alignment vertical="center"/>
    </xf>
    <xf numFmtId="0" fontId="0" fillId="3" borderId="6" xfId="0" applyFont="1" applyFill="1" applyBorder="1" applyAlignment="1">
      <alignment vertical="center" wrapText="1"/>
    </xf>
    <xf numFmtId="4" fontId="0" fillId="3" borderId="6" xfId="0" applyNumberFormat="1" applyFont="1" applyFill="1" applyBorder="1" applyAlignment="1">
      <alignment vertical="center"/>
    </xf>
    <xf numFmtId="4" fontId="0" fillId="3" borderId="6" xfId="0" applyNumberFormat="1" applyFont="1" applyFill="1" applyBorder="1" applyAlignment="1">
      <alignment vertical="center" shrinkToFit="1"/>
    </xf>
    <xf numFmtId="4" fontId="0" fillId="3" borderId="4" xfId="0" applyNumberFormat="1" applyFont="1" applyFill="1" applyBorder="1" applyAlignment="1">
      <alignment vertical="center"/>
    </xf>
    <xf numFmtId="4" fontId="0" fillId="3" borderId="0" xfId="0" applyNumberFormat="1" applyFont="1" applyFill="1" applyAlignment="1">
      <alignment vertical="center"/>
    </xf>
    <xf numFmtId="0" fontId="0" fillId="3" borderId="0" xfId="0" applyFont="1" applyFill="1"/>
    <xf numFmtId="0" fontId="30" fillId="0" borderId="6" xfId="0" applyFont="1" applyFill="1" applyBorder="1" applyAlignment="1">
      <alignment vertical="center"/>
    </xf>
    <xf numFmtId="4" fontId="4" fillId="0" borderId="6" xfId="0" applyNumberFormat="1" applyFont="1" applyFill="1" applyBorder="1" applyAlignment="1">
      <alignment vertical="center"/>
    </xf>
    <xf numFmtId="0" fontId="3" fillId="0" borderId="13" xfId="0" applyFont="1" applyFill="1" applyBorder="1" applyAlignment="1">
      <alignment vertical="center"/>
    </xf>
    <xf numFmtId="0" fontId="3" fillId="0" borderId="6" xfId="0" applyFont="1" applyFill="1" applyBorder="1" applyAlignment="1">
      <alignment vertical="center"/>
    </xf>
    <xf numFmtId="0" fontId="3" fillId="0" borderId="6" xfId="0" applyFont="1" applyBorder="1" applyAlignment="1">
      <alignment vertical="center" wrapText="1"/>
    </xf>
    <xf numFmtId="0" fontId="3" fillId="3" borderId="13" xfId="0" applyFont="1" applyFill="1" applyBorder="1" applyAlignment="1">
      <alignment vertical="center"/>
    </xf>
    <xf numFmtId="0" fontId="3" fillId="3" borderId="6" xfId="0" applyFont="1" applyFill="1" applyBorder="1" applyAlignment="1">
      <alignment vertical="center"/>
    </xf>
    <xf numFmtId="4" fontId="0" fillId="3" borderId="0" xfId="0" applyNumberFormat="1" applyFont="1" applyFill="1"/>
    <xf numFmtId="0" fontId="3" fillId="3" borderId="0" xfId="0" applyFont="1" applyFill="1"/>
    <xf numFmtId="0" fontId="3" fillId="4" borderId="0" xfId="0" applyFont="1" applyFill="1"/>
    <xf numFmtId="0" fontId="4" fillId="0" borderId="13" xfId="0" applyFont="1" applyBorder="1" applyAlignment="1">
      <alignment vertical="center"/>
    </xf>
    <xf numFmtId="0" fontId="4" fillId="0" borderId="6" xfId="0" applyFont="1" applyBorder="1" applyAlignment="1">
      <alignment vertical="center"/>
    </xf>
    <xf numFmtId="0" fontId="30" fillId="0" borderId="16" xfId="0" applyFont="1" applyBorder="1" applyAlignment="1">
      <alignment vertical="center"/>
    </xf>
    <xf numFmtId="0" fontId="30" fillId="0" borderId="8" xfId="0" applyFont="1" applyBorder="1" applyAlignment="1">
      <alignment vertical="center"/>
    </xf>
    <xf numFmtId="4" fontId="30" fillId="0" borderId="11" xfId="0" applyNumberFormat="1" applyFont="1" applyBorder="1"/>
    <xf numFmtId="4" fontId="4" fillId="0" borderId="11" xfId="0" applyNumberFormat="1" applyFont="1" applyBorder="1"/>
    <xf numFmtId="4" fontId="0" fillId="0" borderId="11" xfId="0" applyNumberFormat="1" applyFont="1" applyBorder="1"/>
    <xf numFmtId="4" fontId="4" fillId="0" borderId="11" xfId="0" applyNumberFormat="1" applyFont="1" applyBorder="1" applyAlignment="1">
      <alignment vertical="center"/>
    </xf>
    <xf numFmtId="0" fontId="30" fillId="0" borderId="17" xfId="0" applyFont="1" applyBorder="1"/>
    <xf numFmtId="0" fontId="5" fillId="0" borderId="2" xfId="0" applyFont="1" applyBorder="1"/>
    <xf numFmtId="4" fontId="24" fillId="0" borderId="2" xfId="0" applyNumberFormat="1" applyFont="1" applyBorder="1"/>
    <xf numFmtId="0" fontId="30" fillId="3" borderId="14" xfId="0" applyFont="1" applyFill="1" applyBorder="1" applyAlignment="1">
      <alignment vertical="center"/>
    </xf>
    <xf numFmtId="0" fontId="30" fillId="3" borderId="4" xfId="0" applyFont="1" applyFill="1" applyBorder="1" applyAlignment="1">
      <alignment vertical="center"/>
    </xf>
    <xf numFmtId="4" fontId="4" fillId="3" borderId="5" xfId="0" applyNumberFormat="1" applyFont="1" applyFill="1" applyBorder="1" applyAlignment="1">
      <alignment vertical="center"/>
    </xf>
    <xf numFmtId="0" fontId="30" fillId="3" borderId="13" xfId="0" applyFont="1" applyFill="1" applyBorder="1" applyAlignment="1">
      <alignment vertical="center"/>
    </xf>
    <xf numFmtId="4" fontId="0" fillId="0" borderId="4" xfId="0" applyNumberFormat="1" applyFont="1" applyFill="1" applyBorder="1" applyAlignment="1">
      <alignment vertical="center"/>
    </xf>
    <xf numFmtId="4" fontId="34" fillId="0" borderId="9" xfId="0" applyNumberFormat="1" applyFont="1" applyBorder="1"/>
    <xf numFmtId="4" fontId="0" fillId="0" borderId="9" xfId="0" applyNumberFormat="1" applyFont="1" applyFill="1" applyBorder="1" applyAlignment="1">
      <alignment vertical="center"/>
    </xf>
    <xf numFmtId="0" fontId="30" fillId="3" borderId="6" xfId="0" applyFont="1" applyFill="1" applyBorder="1" applyAlignment="1">
      <alignment vertical="center"/>
    </xf>
    <xf numFmtId="4" fontId="4" fillId="3" borderId="6" xfId="0" applyNumberFormat="1" applyFont="1" applyFill="1" applyBorder="1" applyAlignment="1">
      <alignment vertical="center"/>
    </xf>
    <xf numFmtId="0" fontId="30" fillId="3" borderId="6" xfId="0" applyFont="1" applyFill="1" applyBorder="1" applyAlignment="1">
      <alignment vertical="center" wrapText="1"/>
    </xf>
    <xf numFmtId="0" fontId="3" fillId="3" borderId="6" xfId="0" applyFont="1" applyFill="1" applyBorder="1" applyAlignment="1">
      <alignment vertical="center" wrapText="1"/>
    </xf>
    <xf numFmtId="4" fontId="0" fillId="0" borderId="18" xfId="0" applyNumberFormat="1" applyFont="1" applyBorder="1" applyAlignment="1">
      <alignment vertical="center"/>
    </xf>
    <xf numFmtId="4" fontId="0" fillId="0" borderId="6" xfId="0" applyNumberFormat="1" applyFont="1" applyFill="1" applyBorder="1" applyAlignment="1">
      <alignment horizontal="right" vertical="center"/>
    </xf>
    <xf numFmtId="4" fontId="30" fillId="0" borderId="6" xfId="0" applyNumberFormat="1" applyFont="1" applyFill="1" applyBorder="1" applyAlignment="1">
      <alignment vertical="center"/>
    </xf>
    <xf numFmtId="4" fontId="0" fillId="0" borderId="0" xfId="0" applyNumberFormat="1" applyFont="1" applyFill="1" applyBorder="1"/>
    <xf numFmtId="0" fontId="29" fillId="0" borderId="0" xfId="0" applyFont="1" applyFill="1" applyAlignment="1">
      <alignment vertical="center"/>
    </xf>
    <xf numFmtId="4" fontId="3" fillId="0" borderId="6" xfId="0" applyNumberFormat="1" applyFont="1" applyFill="1" applyBorder="1" applyAlignment="1">
      <alignment shrinkToFit="1"/>
    </xf>
    <xf numFmtId="4" fontId="0" fillId="0" borderId="6" xfId="0" applyNumberFormat="1" applyFont="1" applyFill="1" applyBorder="1" applyAlignment="1">
      <alignment shrinkToFit="1"/>
    </xf>
    <xf numFmtId="4" fontId="3" fillId="0" borderId="6" xfId="0" applyNumberFormat="1" applyFont="1" applyBorder="1" applyAlignment="1">
      <alignment shrinkToFit="1"/>
    </xf>
    <xf numFmtId="4" fontId="0" fillId="0" borderId="6" xfId="0" applyNumberFormat="1" applyFont="1" applyBorder="1" applyAlignment="1">
      <alignment shrinkToFit="1"/>
    </xf>
    <xf numFmtId="4" fontId="0" fillId="0" borderId="0" xfId="0" applyNumberFormat="1" applyFont="1" applyBorder="1"/>
    <xf numFmtId="0" fontId="29" fillId="0" borderId="0" xfId="0" applyFont="1" applyAlignment="1">
      <alignment vertical="center"/>
    </xf>
    <xf numFmtId="4" fontId="4" fillId="0" borderId="19" xfId="0" applyNumberFormat="1" applyFont="1" applyBorder="1" applyAlignment="1">
      <alignment vertical="center"/>
    </xf>
    <xf numFmtId="4" fontId="7" fillId="3" borderId="6" xfId="0" applyNumberFormat="1" applyFont="1" applyFill="1" applyBorder="1" applyAlignment="1">
      <alignment vertical="center"/>
    </xf>
    <xf numFmtId="0" fontId="0" fillId="3" borderId="6" xfId="0" applyFont="1" applyFill="1" applyBorder="1" applyAlignment="1">
      <alignment vertical="center"/>
    </xf>
    <xf numFmtId="4" fontId="0" fillId="0" borderId="6" xfId="0" applyNumberFormat="1" applyFont="1" applyBorder="1" applyAlignment="1">
      <alignment horizontal="right" vertical="center"/>
    </xf>
    <xf numFmtId="0" fontId="3" fillId="3" borderId="13" xfId="0" applyFont="1" applyFill="1" applyBorder="1"/>
    <xf numFmtId="0" fontId="3" fillId="3" borderId="6" xfId="0" applyFont="1" applyFill="1" applyBorder="1" applyAlignment="1">
      <alignment wrapText="1"/>
    </xf>
    <xf numFmtId="0" fontId="3" fillId="0" borderId="0" xfId="0" applyFont="1" applyAlignment="1">
      <alignment vertical="center"/>
    </xf>
    <xf numFmtId="0" fontId="0" fillId="0" borderId="6" xfId="0" applyFont="1" applyBorder="1" applyAlignment="1">
      <alignment vertical="center"/>
    </xf>
    <xf numFmtId="4" fontId="3" fillId="0" borderId="6" xfId="0" applyNumberFormat="1" applyFont="1" applyBorder="1" applyAlignment="1">
      <alignment vertical="center"/>
    </xf>
    <xf numFmtId="0" fontId="30" fillId="3" borderId="20" xfId="0" applyFont="1" applyFill="1" applyBorder="1"/>
    <xf numFmtId="0" fontId="30" fillId="3" borderId="7" xfId="0" applyFont="1" applyFill="1" applyBorder="1"/>
    <xf numFmtId="4" fontId="4" fillId="3" borderId="8" xfId="0" applyNumberFormat="1" applyFont="1" applyFill="1" applyBorder="1"/>
    <xf numFmtId="4" fontId="3" fillId="0" borderId="7" xfId="0" applyNumberFormat="1" applyFont="1" applyBorder="1" applyAlignment="1">
      <alignment shrinkToFit="1"/>
    </xf>
    <xf numFmtId="4" fontId="0" fillId="0" borderId="7" xfId="0" applyNumberFormat="1" applyFont="1" applyBorder="1" applyAlignment="1">
      <alignment shrinkToFit="1"/>
    </xf>
    <xf numFmtId="4" fontId="0" fillId="0" borderId="11" xfId="0" applyNumberFormat="1" applyFont="1" applyBorder="1" applyAlignment="1">
      <alignment vertical="center"/>
    </xf>
    <xf numFmtId="0" fontId="30" fillId="3" borderId="17" xfId="0" applyFont="1" applyFill="1" applyBorder="1"/>
    <xf numFmtId="0" fontId="5" fillId="3" borderId="2" xfId="0" applyFont="1" applyFill="1" applyBorder="1"/>
    <xf numFmtId="4" fontId="24" fillId="3" borderId="2" xfId="0" applyNumberFormat="1" applyFont="1" applyFill="1" applyBorder="1"/>
    <xf numFmtId="0" fontId="30" fillId="3" borderId="14" xfId="0" applyFont="1" applyFill="1" applyBorder="1" applyAlignment="1">
      <alignment vertical="center" wrapText="1"/>
    </xf>
    <xf numFmtId="4" fontId="4" fillId="0" borderId="18" xfId="0" applyNumberFormat="1" applyFont="1" applyBorder="1" applyAlignment="1">
      <alignment vertical="center"/>
    </xf>
    <xf numFmtId="4" fontId="4" fillId="0" borderId="14" xfId="0" applyNumberFormat="1" applyFont="1" applyBorder="1" applyAlignment="1">
      <alignment vertical="center"/>
    </xf>
    <xf numFmtId="4" fontId="4" fillId="0" borderId="5" xfId="0" applyNumberFormat="1" applyFont="1" applyBorder="1" applyAlignment="1">
      <alignment vertical="center"/>
    </xf>
    <xf numFmtId="4" fontId="4" fillId="3" borderId="21" xfId="0" applyNumberFormat="1" applyFont="1" applyFill="1" applyBorder="1" applyAlignment="1">
      <alignment vertical="center"/>
    </xf>
    <xf numFmtId="4" fontId="4" fillId="3" borderId="13" xfId="0" applyNumberFormat="1" applyFont="1" applyFill="1" applyBorder="1" applyAlignment="1">
      <alignment vertical="center"/>
    </xf>
    <xf numFmtId="0" fontId="3" fillId="3" borderId="20" xfId="0" applyFont="1" applyFill="1" applyBorder="1" applyAlignment="1">
      <alignment vertical="center"/>
    </xf>
    <xf numFmtId="4" fontId="0" fillId="0" borderId="21" xfId="0" applyNumberFormat="1" applyFont="1" applyBorder="1" applyAlignment="1">
      <alignment vertical="center"/>
    </xf>
    <xf numFmtId="4" fontId="0" fillId="0" borderId="13" xfId="0" applyNumberFormat="1" applyFont="1" applyBorder="1" applyAlignment="1">
      <alignment vertical="center"/>
    </xf>
    <xf numFmtId="4" fontId="3" fillId="0" borderId="6" xfId="0" applyNumberFormat="1" applyFont="1" applyFill="1" applyBorder="1" applyAlignment="1">
      <alignment vertical="center"/>
    </xf>
    <xf numFmtId="4" fontId="3" fillId="3" borderId="6" xfId="0" applyNumberFormat="1" applyFont="1" applyFill="1" applyBorder="1" applyAlignment="1">
      <alignment vertical="center"/>
    </xf>
    <xf numFmtId="4" fontId="4" fillId="0" borderId="21" xfId="0" applyNumberFormat="1" applyFont="1" applyBorder="1" applyAlignment="1">
      <alignment vertical="center"/>
    </xf>
    <xf numFmtId="4" fontId="4" fillId="0" borderId="13" xfId="0" applyNumberFormat="1" applyFont="1" applyBorder="1" applyAlignment="1">
      <alignment vertical="center"/>
    </xf>
    <xf numFmtId="0" fontId="30" fillId="3" borderId="13" xfId="0" applyFont="1" applyFill="1" applyBorder="1" applyAlignment="1">
      <alignment vertical="center" wrapText="1"/>
    </xf>
    <xf numFmtId="0" fontId="30" fillId="3" borderId="20" xfId="0" applyFont="1" applyFill="1" applyBorder="1" applyAlignment="1">
      <alignment vertical="center"/>
    </xf>
    <xf numFmtId="4" fontId="0" fillId="0" borderId="22" xfId="0" applyNumberFormat="1" applyFont="1" applyBorder="1" applyAlignment="1">
      <alignment vertical="center"/>
    </xf>
    <xf numFmtId="4" fontId="0" fillId="0" borderId="20" xfId="0" applyNumberFormat="1" applyFont="1" applyBorder="1" applyAlignment="1">
      <alignment vertical="center"/>
    </xf>
    <xf numFmtId="0" fontId="30" fillId="3" borderId="7" xfId="0" applyFont="1" applyFill="1" applyBorder="1" applyAlignment="1">
      <alignment vertical="center"/>
    </xf>
    <xf numFmtId="4" fontId="4" fillId="3" borderId="11" xfId="0" applyNumberFormat="1" applyFont="1" applyFill="1" applyBorder="1" applyAlignment="1">
      <alignment vertical="center"/>
    </xf>
    <xf numFmtId="0" fontId="30" fillId="3" borderId="2" xfId="0" applyFont="1" applyFill="1" applyBorder="1"/>
    <xf numFmtId="4" fontId="24" fillId="3" borderId="17" xfId="0" applyNumberFormat="1" applyFont="1" applyFill="1" applyBorder="1"/>
    <xf numFmtId="0" fontId="30" fillId="3" borderId="4" xfId="0" applyFont="1" applyFill="1" applyBorder="1"/>
    <xf numFmtId="4" fontId="4" fillId="3" borderId="4" xfId="0" applyNumberFormat="1" applyFont="1" applyFill="1" applyBorder="1"/>
    <xf numFmtId="4" fontId="4" fillId="3" borderId="14" xfId="0" applyNumberFormat="1" applyFont="1" applyFill="1" applyBorder="1"/>
    <xf numFmtId="0" fontId="0" fillId="3" borderId="4" xfId="0" applyFont="1" applyFill="1" applyBorder="1"/>
    <xf numFmtId="4" fontId="0" fillId="3" borderId="4" xfId="0" applyNumberFormat="1" applyFont="1" applyFill="1" applyBorder="1"/>
    <xf numFmtId="4" fontId="0" fillId="3" borderId="14" xfId="0" applyNumberFormat="1" applyFont="1" applyFill="1" applyBorder="1"/>
    <xf numFmtId="0" fontId="30" fillId="3" borderId="4" xfId="0" applyFont="1" applyFill="1" applyBorder="1" applyAlignment="1">
      <alignment vertical="center" wrapText="1"/>
    </xf>
    <xf numFmtId="4" fontId="4" fillId="3" borderId="4" xfId="0" applyNumberFormat="1" applyFont="1" applyFill="1" applyBorder="1" applyAlignment="1">
      <alignment vertical="center"/>
    </xf>
    <xf numFmtId="4" fontId="4" fillId="0" borderId="4" xfId="0" applyNumberFormat="1" applyFont="1" applyFill="1" applyBorder="1" applyAlignment="1">
      <alignment vertical="center"/>
    </xf>
    <xf numFmtId="4" fontId="0" fillId="0" borderId="13" xfId="0" applyNumberFormat="1" applyFont="1" applyFill="1" applyBorder="1" applyAlignment="1">
      <alignment vertical="center"/>
    </xf>
    <xf numFmtId="4" fontId="0" fillId="3" borderId="13" xfId="0" applyNumberFormat="1" applyFont="1" applyFill="1" applyBorder="1" applyAlignment="1">
      <alignment vertical="center"/>
    </xf>
    <xf numFmtId="0" fontId="3" fillId="0" borderId="7" xfId="0" applyFont="1" applyBorder="1" applyAlignment="1">
      <alignment vertical="center"/>
    </xf>
    <xf numFmtId="4" fontId="0" fillId="3" borderId="7" xfId="0" applyNumberFormat="1" applyFont="1" applyFill="1" applyBorder="1" applyAlignment="1">
      <alignment vertical="center"/>
    </xf>
    <xf numFmtId="4" fontId="0" fillId="3" borderId="20" xfId="0" applyNumberFormat="1" applyFont="1" applyFill="1" applyBorder="1" applyAlignment="1">
      <alignment vertical="center"/>
    </xf>
    <xf numFmtId="0" fontId="30" fillId="0" borderId="7" xfId="0" applyFont="1" applyBorder="1" applyAlignment="1">
      <alignment vertical="center"/>
    </xf>
    <xf numFmtId="4" fontId="3" fillId="0" borderId="7" xfId="0" applyNumberFormat="1" applyFont="1" applyBorder="1" applyAlignment="1">
      <alignment vertical="center"/>
    </xf>
    <xf numFmtId="4" fontId="3" fillId="0" borderId="20" xfId="0" applyNumberFormat="1" applyFont="1" applyBorder="1" applyAlignment="1">
      <alignment vertical="center"/>
    </xf>
    <xf numFmtId="4" fontId="3" fillId="0" borderId="13" xfId="0" applyNumberFormat="1" applyFont="1" applyBorder="1" applyAlignment="1">
      <alignment vertical="center"/>
    </xf>
    <xf numFmtId="0" fontId="4" fillId="0" borderId="6" xfId="0" applyFont="1" applyBorder="1" applyAlignment="1">
      <alignment vertical="center" wrapText="1"/>
    </xf>
    <xf numFmtId="0" fontId="11" fillId="3" borderId="6" xfId="0" applyFont="1" applyFill="1" applyBorder="1" applyAlignment="1">
      <alignment horizontal="right" vertical="center"/>
    </xf>
    <xf numFmtId="4" fontId="4" fillId="0" borderId="13" xfId="0" applyNumberFormat="1" applyFont="1" applyBorder="1"/>
    <xf numFmtId="4" fontId="0" fillId="0" borderId="13" xfId="0" applyNumberFormat="1" applyFont="1" applyBorder="1"/>
    <xf numFmtId="0" fontId="30" fillId="0" borderId="13" xfId="0" applyFont="1" applyBorder="1" applyAlignment="1">
      <alignment vertical="center" wrapText="1"/>
    </xf>
    <xf numFmtId="4" fontId="4" fillId="0" borderId="6" xfId="2" applyNumberFormat="1" applyFont="1" applyFill="1" applyBorder="1" applyAlignment="1" applyProtection="1">
      <alignment vertical="center"/>
    </xf>
    <xf numFmtId="4" fontId="4" fillId="0" borderId="13" xfId="2" applyNumberFormat="1" applyFont="1" applyFill="1" applyBorder="1" applyAlignment="1" applyProtection="1">
      <alignment vertical="center"/>
    </xf>
    <xf numFmtId="0" fontId="3" fillId="0" borderId="7" xfId="0" applyFont="1" applyFill="1" applyBorder="1" applyAlignment="1">
      <alignment vertical="center"/>
    </xf>
    <xf numFmtId="4" fontId="0" fillId="3" borderId="7" xfId="0" applyNumberFormat="1" applyFont="1" applyFill="1" applyBorder="1"/>
    <xf numFmtId="0" fontId="3" fillId="3" borderId="7" xfId="0" applyFont="1" applyFill="1" applyBorder="1" applyAlignment="1">
      <alignment vertical="center"/>
    </xf>
    <xf numFmtId="4" fontId="3" fillId="3" borderId="7" xfId="0" applyNumberFormat="1" applyFont="1" applyFill="1" applyBorder="1" applyAlignment="1">
      <alignment vertical="center"/>
    </xf>
    <xf numFmtId="4" fontId="3" fillId="3" borderId="20" xfId="0" applyNumberFormat="1" applyFont="1" applyFill="1" applyBorder="1" applyAlignment="1">
      <alignment vertical="center"/>
    </xf>
    <xf numFmtId="4" fontId="4" fillId="3" borderId="6" xfId="2" applyNumberFormat="1" applyFont="1" applyFill="1" applyBorder="1" applyAlignment="1" applyProtection="1">
      <alignment vertical="center"/>
    </xf>
    <xf numFmtId="4" fontId="4" fillId="3" borderId="13" xfId="2" applyNumberFormat="1" applyFont="1" applyFill="1" applyBorder="1" applyAlignment="1" applyProtection="1">
      <alignment vertical="center"/>
    </xf>
    <xf numFmtId="0" fontId="0" fillId="3" borderId="7" xfId="0" applyFont="1" applyFill="1" applyBorder="1" applyAlignment="1">
      <alignment vertical="center"/>
    </xf>
    <xf numFmtId="0" fontId="0" fillId="3" borderId="7" xfId="0" applyFont="1" applyFill="1" applyBorder="1" applyAlignment="1">
      <alignment vertical="center" wrapText="1"/>
    </xf>
    <xf numFmtId="4" fontId="0" fillId="3" borderId="6" xfId="0" applyNumberFormat="1" applyFont="1" applyFill="1" applyBorder="1"/>
    <xf numFmtId="0" fontId="30" fillId="3" borderId="8" xfId="0" applyFont="1" applyFill="1" applyBorder="1" applyAlignment="1">
      <alignment vertical="center"/>
    </xf>
    <xf numFmtId="0" fontId="3" fillId="3" borderId="7" xfId="0" applyFont="1" applyFill="1" applyBorder="1" applyAlignment="1">
      <alignment vertical="center" wrapText="1"/>
    </xf>
    <xf numFmtId="4" fontId="30" fillId="3" borderId="8" xfId="0" applyNumberFormat="1" applyFont="1" applyFill="1" applyBorder="1"/>
    <xf numFmtId="4" fontId="4" fillId="0" borderId="8" xfId="0" applyNumberFormat="1" applyFont="1" applyBorder="1" applyAlignment="1">
      <alignment vertical="center"/>
    </xf>
    <xf numFmtId="4" fontId="0" fillId="0" borderId="16" xfId="0" applyNumberFormat="1" applyFont="1" applyBorder="1" applyAlignment="1">
      <alignment vertical="center"/>
    </xf>
    <xf numFmtId="0" fontId="21" fillId="3" borderId="17" xfId="0" applyFont="1" applyFill="1" applyBorder="1"/>
    <xf numFmtId="4" fontId="6" fillId="3" borderId="2" xfId="0" applyNumberFormat="1" applyFont="1" applyFill="1" applyBorder="1" applyAlignment="1">
      <alignment vertical="center" shrinkToFit="1"/>
    </xf>
    <xf numFmtId="0" fontId="30" fillId="3" borderId="23" xfId="0" applyFont="1" applyFill="1" applyBorder="1"/>
    <xf numFmtId="0" fontId="5" fillId="3" borderId="9" xfId="0" applyFont="1" applyFill="1" applyBorder="1"/>
    <xf numFmtId="4" fontId="3" fillId="3" borderId="2" xfId="0" applyNumberFormat="1" applyFont="1" applyFill="1" applyBorder="1" applyAlignment="1">
      <alignment vertical="center"/>
    </xf>
    <xf numFmtId="4" fontId="0" fillId="3" borderId="2" xfId="0" applyNumberFormat="1" applyFont="1" applyFill="1" applyBorder="1" applyAlignment="1">
      <alignment vertical="center"/>
    </xf>
    <xf numFmtId="4" fontId="0" fillId="0" borderId="2" xfId="0" applyNumberFormat="1" applyFont="1" applyBorder="1" applyAlignment="1">
      <alignment vertical="center"/>
    </xf>
    <xf numFmtId="4" fontId="5" fillId="3" borderId="2" xfId="0" applyNumberFormat="1" applyFont="1" applyFill="1" applyBorder="1" applyAlignment="1">
      <alignment shrinkToFit="1"/>
    </xf>
    <xf numFmtId="0" fontId="30" fillId="3" borderId="12" xfId="0" applyFont="1" applyFill="1" applyBorder="1" applyAlignment="1">
      <alignment horizontal="left" vertical="center" wrapText="1"/>
    </xf>
    <xf numFmtId="4" fontId="30" fillId="3" borderId="5" xfId="0" applyNumberFormat="1" applyFont="1" applyFill="1" applyBorder="1" applyAlignment="1">
      <alignment vertical="center"/>
    </xf>
    <xf numFmtId="0" fontId="30" fillId="0" borderId="14" xfId="0" applyFont="1" applyFill="1" applyBorder="1" applyAlignment="1">
      <alignment vertical="center"/>
    </xf>
    <xf numFmtId="0" fontId="30" fillId="0" borderId="14" xfId="0" applyFont="1" applyFill="1" applyBorder="1" applyAlignment="1">
      <alignment horizontal="left" vertical="center" wrapText="1"/>
    </xf>
    <xf numFmtId="4" fontId="30" fillId="3" borderId="4" xfId="0" applyNumberFormat="1" applyFont="1" applyFill="1" applyBorder="1" applyAlignment="1">
      <alignment vertical="center"/>
    </xf>
    <xf numFmtId="0" fontId="4" fillId="3" borderId="13" xfId="0" applyFont="1" applyFill="1" applyBorder="1" applyAlignment="1">
      <alignment vertical="center"/>
    </xf>
    <xf numFmtId="0" fontId="4" fillId="3" borderId="13" xfId="0" applyFont="1" applyFill="1" applyBorder="1" applyAlignment="1">
      <alignment vertical="center" wrapText="1"/>
    </xf>
    <xf numFmtId="0" fontId="36" fillId="0" borderId="0" xfId="0" applyFont="1" applyBorder="1"/>
    <xf numFmtId="0" fontId="0" fillId="3" borderId="13" xfId="0" applyFont="1" applyFill="1" applyBorder="1" applyAlignment="1">
      <alignment vertical="center" wrapText="1"/>
    </xf>
    <xf numFmtId="0" fontId="37" fillId="0" borderId="0" xfId="0" applyFont="1" applyBorder="1"/>
    <xf numFmtId="0" fontId="3" fillId="3" borderId="23" xfId="0" applyFont="1" applyFill="1" applyBorder="1" applyAlignment="1">
      <alignment vertical="center"/>
    </xf>
    <xf numFmtId="164" fontId="3" fillId="3" borderId="9" xfId="0" applyNumberFormat="1" applyFont="1" applyFill="1" applyBorder="1" applyAlignment="1">
      <alignment vertical="center"/>
    </xf>
    <xf numFmtId="4" fontId="0" fillId="3" borderId="8" xfId="0" applyNumberFormat="1" applyFont="1" applyFill="1" applyBorder="1" applyAlignment="1">
      <alignment vertical="center"/>
    </xf>
    <xf numFmtId="4" fontId="0" fillId="0" borderId="8" xfId="0" applyNumberFormat="1" applyFont="1" applyBorder="1" applyAlignment="1">
      <alignment vertical="center"/>
    </xf>
    <xf numFmtId="0" fontId="36" fillId="3" borderId="17" xfId="0" applyFont="1" applyFill="1" applyBorder="1"/>
    <xf numFmtId="4" fontId="21" fillId="3" borderId="2" xfId="0" applyNumberFormat="1" applyFont="1" applyFill="1" applyBorder="1" applyAlignment="1">
      <alignment shrinkToFit="1"/>
    </xf>
    <xf numFmtId="0" fontId="28" fillId="0" borderId="0" xfId="0" applyFont="1"/>
    <xf numFmtId="0" fontId="36" fillId="3" borderId="3" xfId="0" applyFont="1" applyFill="1" applyBorder="1"/>
    <xf numFmtId="0" fontId="20" fillId="3" borderId="3" xfId="0" applyFont="1" applyFill="1" applyBorder="1"/>
    <xf numFmtId="164" fontId="20" fillId="3" borderId="3" xfId="0" applyNumberFormat="1" applyFont="1" applyFill="1" applyBorder="1" applyAlignment="1">
      <alignment shrinkToFit="1"/>
    </xf>
    <xf numFmtId="4" fontId="0" fillId="3" borderId="3" xfId="0" applyNumberFormat="1" applyFont="1" applyFill="1" applyBorder="1" applyAlignment="1">
      <alignment vertical="center"/>
    </xf>
    <xf numFmtId="4" fontId="0" fillId="0" borderId="3" xfId="0" applyNumberFormat="1" applyFont="1" applyBorder="1" applyAlignment="1">
      <alignment vertical="center"/>
    </xf>
    <xf numFmtId="0" fontId="5" fillId="0" borderId="0" xfId="0" applyFont="1"/>
    <xf numFmtId="0" fontId="3" fillId="3" borderId="17" xfId="0" applyFont="1" applyFill="1" applyBorder="1"/>
    <xf numFmtId="0" fontId="28" fillId="3" borderId="17" xfId="0" applyFont="1" applyFill="1" applyBorder="1"/>
    <xf numFmtId="4" fontId="6" fillId="3" borderId="2" xfId="0" applyNumberFormat="1" applyFont="1" applyFill="1" applyBorder="1"/>
    <xf numFmtId="0" fontId="5" fillId="3" borderId="2" xfId="0" applyFont="1" applyFill="1" applyBorder="1" applyAlignment="1">
      <alignment vertical="center"/>
    </xf>
    <xf numFmtId="4" fontId="5" fillId="3" borderId="2" xfId="0" applyNumberFormat="1" applyFont="1" applyFill="1" applyBorder="1" applyAlignment="1">
      <alignment vertical="center"/>
    </xf>
    <xf numFmtId="0" fontId="30" fillId="3" borderId="5" xfId="0" applyFont="1" applyFill="1" applyBorder="1" applyAlignment="1">
      <alignment vertical="center"/>
    </xf>
    <xf numFmtId="4" fontId="4" fillId="3" borderId="10" xfId="0" applyNumberFormat="1" applyFont="1" applyFill="1" applyBorder="1" applyAlignment="1">
      <alignment vertical="center"/>
    </xf>
    <xf numFmtId="0" fontId="38" fillId="3" borderId="6" xfId="0" applyFont="1" applyFill="1" applyBorder="1" applyAlignment="1">
      <alignment vertical="center"/>
    </xf>
    <xf numFmtId="4" fontId="0" fillId="3" borderId="6" xfId="0" applyNumberFormat="1" applyFont="1" applyFill="1" applyBorder="1" applyAlignment="1">
      <alignment horizontal="right" vertical="center"/>
    </xf>
    <xf numFmtId="4" fontId="24" fillId="3" borderId="2" xfId="0" applyNumberFormat="1" applyFont="1" applyFill="1" applyBorder="1" applyAlignment="1">
      <alignment vertical="center"/>
    </xf>
    <xf numFmtId="0" fontId="30" fillId="3" borderId="9" xfId="0" applyFont="1" applyFill="1" applyBorder="1" applyAlignment="1">
      <alignment vertical="center"/>
    </xf>
    <xf numFmtId="0" fontId="30" fillId="3" borderId="12" xfId="0" applyFont="1" applyFill="1" applyBorder="1" applyAlignment="1">
      <alignment vertical="center"/>
    </xf>
    <xf numFmtId="0" fontId="0" fillId="3" borderId="14" xfId="0" applyFont="1" applyFill="1" applyBorder="1" applyAlignment="1">
      <alignment vertical="center"/>
    </xf>
    <xf numFmtId="0" fontId="3" fillId="3" borderId="14" xfId="0" applyFont="1" applyFill="1" applyBorder="1" applyAlignment="1">
      <alignment vertical="center"/>
    </xf>
    <xf numFmtId="0" fontId="30" fillId="3" borderId="23" xfId="0" applyFont="1" applyFill="1" applyBorder="1" applyAlignment="1">
      <alignment vertical="center"/>
    </xf>
    <xf numFmtId="0" fontId="8" fillId="3" borderId="6" xfId="0" applyFont="1" applyFill="1" applyBorder="1" applyAlignment="1">
      <alignment vertical="center"/>
    </xf>
    <xf numFmtId="0" fontId="8" fillId="3" borderId="11" xfId="0" applyFont="1" applyFill="1" applyBorder="1" applyAlignment="1">
      <alignment vertical="center"/>
    </xf>
    <xf numFmtId="0" fontId="3" fillId="3" borderId="15" xfId="0" applyFont="1" applyFill="1" applyBorder="1" applyAlignment="1">
      <alignment vertical="center"/>
    </xf>
    <xf numFmtId="4" fontId="0" fillId="3" borderId="11" xfId="0" applyNumberFormat="1" applyFont="1" applyFill="1" applyBorder="1" applyAlignment="1">
      <alignment vertical="center"/>
    </xf>
    <xf numFmtId="4" fontId="0" fillId="0" borderId="7" xfId="0" applyNumberFormat="1" applyFont="1" applyBorder="1" applyAlignment="1">
      <alignment vertical="center"/>
    </xf>
    <xf numFmtId="4" fontId="39" fillId="0" borderId="4" xfId="0" applyNumberFormat="1" applyFont="1" applyBorder="1" applyAlignment="1">
      <alignment vertical="center"/>
    </xf>
    <xf numFmtId="0" fontId="8" fillId="3" borderId="9" xfId="0" applyFont="1" applyFill="1" applyBorder="1" applyAlignment="1">
      <alignment vertical="center"/>
    </xf>
    <xf numFmtId="0" fontId="8" fillId="3" borderId="7" xfId="0" applyFont="1" applyFill="1" applyBorder="1" applyAlignment="1">
      <alignment vertical="center"/>
    </xf>
    <xf numFmtId="4" fontId="40" fillId="3" borderId="2" xfId="0" applyNumberFormat="1" applyFont="1" applyFill="1" applyBorder="1"/>
    <xf numFmtId="0" fontId="0" fillId="3" borderId="6" xfId="0" applyFont="1" applyFill="1" applyBorder="1" applyAlignment="1">
      <alignment horizontal="left" vertical="center"/>
    </xf>
    <xf numFmtId="0" fontId="0" fillId="3" borderId="4" xfId="0" applyFont="1" applyFill="1" applyBorder="1" applyAlignment="1">
      <alignment horizontal="left" vertical="center"/>
    </xf>
    <xf numFmtId="0" fontId="8" fillId="3" borderId="4" xfId="0" applyFont="1" applyFill="1" applyBorder="1" applyAlignment="1">
      <alignment vertical="center"/>
    </xf>
    <xf numFmtId="0" fontId="3" fillId="3" borderId="4" xfId="0" applyFont="1" applyFill="1" applyBorder="1" applyAlignment="1">
      <alignment vertical="center"/>
    </xf>
    <xf numFmtId="0" fontId="4" fillId="3" borderId="6" xfId="0" applyFont="1" applyFill="1" applyBorder="1" applyAlignment="1">
      <alignment vertical="center"/>
    </xf>
    <xf numFmtId="4" fontId="0" fillId="3" borderId="21" xfId="0" applyNumberFormat="1" applyFont="1" applyFill="1" applyBorder="1" applyAlignment="1">
      <alignment vertical="center"/>
    </xf>
    <xf numFmtId="4" fontId="0" fillId="0" borderId="21" xfId="0" applyNumberFormat="1" applyFont="1" applyFill="1" applyBorder="1" applyAlignment="1">
      <alignment vertical="center"/>
    </xf>
    <xf numFmtId="0" fontId="3" fillId="3" borderId="9" xfId="0" applyFont="1" applyFill="1" applyBorder="1" applyAlignment="1">
      <alignment vertical="center"/>
    </xf>
    <xf numFmtId="4" fontId="0" fillId="0" borderId="22" xfId="0" applyNumberFormat="1" applyFont="1" applyFill="1" applyBorder="1" applyAlignment="1">
      <alignment vertical="center"/>
    </xf>
    <xf numFmtId="0" fontId="41" fillId="0" borderId="17" xfId="0" applyFont="1" applyBorder="1" applyAlignment="1">
      <alignment vertical="center"/>
    </xf>
    <xf numFmtId="0" fontId="42" fillId="0" borderId="2" xfId="0" applyFont="1" applyBorder="1" applyAlignment="1">
      <alignment vertical="center"/>
    </xf>
    <xf numFmtId="4" fontId="42" fillId="0" borderId="3" xfId="0" applyNumberFormat="1" applyFont="1" applyBorder="1" applyAlignment="1">
      <alignment vertical="center"/>
    </xf>
    <xf numFmtId="4" fontId="42" fillId="0" borderId="17" xfId="0" applyNumberFormat="1" applyFont="1" applyBorder="1" applyAlignment="1">
      <alignment vertical="center"/>
    </xf>
    <xf numFmtId="4" fontId="42" fillId="0" borderId="2" xfId="0" applyNumberFormat="1" applyFont="1" applyBorder="1" applyAlignment="1">
      <alignment vertical="center"/>
    </xf>
    <xf numFmtId="4" fontId="43" fillId="0" borderId="2" xfId="0" applyNumberFormat="1" applyFont="1" applyBorder="1" applyAlignment="1">
      <alignment vertical="center"/>
    </xf>
    <xf numFmtId="0" fontId="44" fillId="0" borderId="17" xfId="0" applyFont="1" applyBorder="1" applyAlignment="1">
      <alignment vertical="center"/>
    </xf>
    <xf numFmtId="0" fontId="45" fillId="0" borderId="2" xfId="0" applyFont="1" applyBorder="1" applyAlignment="1">
      <alignment vertical="center"/>
    </xf>
    <xf numFmtId="4" fontId="45" fillId="0" borderId="24" xfId="0" applyNumberFormat="1" applyFont="1" applyBorder="1" applyAlignment="1">
      <alignment vertical="center"/>
    </xf>
    <xf numFmtId="4" fontId="45" fillId="0" borderId="25" xfId="0" applyNumberFormat="1" applyFont="1" applyBorder="1" applyAlignment="1">
      <alignment vertical="center"/>
    </xf>
    <xf numFmtId="4" fontId="45" fillId="0" borderId="2" xfId="0" applyNumberFormat="1" applyFont="1" applyBorder="1" applyAlignment="1">
      <alignment vertical="center"/>
    </xf>
    <xf numFmtId="4" fontId="45" fillId="0" borderId="3" xfId="0" applyNumberFormat="1" applyFont="1" applyBorder="1" applyAlignment="1">
      <alignment vertical="center"/>
    </xf>
    <xf numFmtId="0" fontId="44" fillId="0" borderId="12" xfId="0" applyFont="1" applyBorder="1" applyAlignment="1">
      <alignment vertical="center"/>
    </xf>
    <xf numFmtId="0" fontId="44" fillId="0" borderId="5" xfId="0" applyFont="1" applyBorder="1" applyAlignment="1">
      <alignment vertical="center"/>
    </xf>
    <xf numFmtId="4" fontId="44" fillId="0" borderId="26" xfId="0" applyNumberFormat="1" applyFont="1" applyBorder="1" applyAlignment="1">
      <alignment vertical="center"/>
    </xf>
    <xf numFmtId="4" fontId="44" fillId="0" borderId="27" xfId="0" applyNumberFormat="1" applyFont="1" applyBorder="1" applyAlignment="1">
      <alignment vertical="center"/>
    </xf>
    <xf numFmtId="4" fontId="44" fillId="0" borderId="5" xfId="0" applyNumberFormat="1" applyFont="1" applyBorder="1" applyAlignment="1">
      <alignment vertical="center"/>
    </xf>
    <xf numFmtId="4" fontId="44" fillId="0" borderId="28" xfId="0" applyNumberFormat="1" applyFont="1" applyBorder="1" applyAlignment="1">
      <alignment vertical="center"/>
    </xf>
    <xf numFmtId="0" fontId="41" fillId="0" borderId="13" xfId="0" applyFont="1" applyBorder="1" applyAlignment="1">
      <alignment vertical="center"/>
    </xf>
    <xf numFmtId="4" fontId="0" fillId="0" borderId="29" xfId="0" applyNumberFormat="1" applyBorder="1" applyAlignment="1">
      <alignment vertical="center"/>
    </xf>
    <xf numFmtId="4" fontId="0" fillId="0" borderId="30" xfId="0" applyNumberFormat="1" applyBorder="1" applyAlignment="1">
      <alignment vertical="center"/>
    </xf>
    <xf numFmtId="4" fontId="0" fillId="0" borderId="6" xfId="0" applyNumberFormat="1" applyBorder="1" applyAlignment="1">
      <alignment vertical="center"/>
    </xf>
    <xf numFmtId="4" fontId="0" fillId="0" borderId="19" xfId="0" applyNumberFormat="1" applyBorder="1" applyAlignment="1">
      <alignment vertical="center"/>
    </xf>
    <xf numFmtId="4" fontId="0" fillId="0" borderId="31" xfId="0" applyNumberFormat="1" applyBorder="1" applyAlignment="1">
      <alignment vertical="center"/>
    </xf>
    <xf numFmtId="4" fontId="0" fillId="0" borderId="32" xfId="0" applyNumberFormat="1" applyBorder="1" applyAlignment="1">
      <alignment vertical="center"/>
    </xf>
    <xf numFmtId="0" fontId="44" fillId="0" borderId="13" xfId="0" applyFont="1" applyBorder="1" applyAlignment="1">
      <alignment vertical="center"/>
    </xf>
    <xf numFmtId="0" fontId="44" fillId="0" borderId="6" xfId="0" applyFont="1" applyBorder="1" applyAlignment="1">
      <alignment vertical="center"/>
    </xf>
    <xf numFmtId="4" fontId="44" fillId="0" borderId="29" xfId="0" applyNumberFormat="1" applyFont="1" applyBorder="1" applyAlignment="1">
      <alignment vertical="center"/>
    </xf>
    <xf numFmtId="4" fontId="44" fillId="0" borderId="33" xfId="0" applyNumberFormat="1" applyFont="1" applyBorder="1" applyAlignment="1">
      <alignment vertical="center"/>
    </xf>
    <xf numFmtId="4" fontId="44" fillId="0" borderId="6" xfId="0" applyNumberFormat="1" applyFont="1" applyBorder="1" applyAlignment="1">
      <alignment vertical="center"/>
    </xf>
    <xf numFmtId="4" fontId="44" fillId="0" borderId="34" xfId="0" applyNumberFormat="1" applyFont="1" applyBorder="1" applyAlignment="1">
      <alignment vertical="center"/>
    </xf>
    <xf numFmtId="4" fontId="44" fillId="0" borderId="4" xfId="0" applyNumberFormat="1" applyFont="1" applyBorder="1" applyAlignment="1">
      <alignment vertical="center"/>
    </xf>
    <xf numFmtId="4" fontId="0" fillId="0" borderId="35" xfId="0" applyNumberFormat="1" applyBorder="1" applyAlignment="1">
      <alignment vertical="center"/>
    </xf>
    <xf numFmtId="4" fontId="0" fillId="0" borderId="33" xfId="0" applyNumberFormat="1" applyBorder="1" applyAlignment="1">
      <alignment vertical="center"/>
    </xf>
    <xf numFmtId="4" fontId="0" fillId="0" borderId="34" xfId="0" applyNumberFormat="1" applyBorder="1" applyAlignment="1">
      <alignment vertical="center"/>
    </xf>
    <xf numFmtId="0" fontId="0" fillId="0" borderId="4" xfId="0" applyFont="1" applyBorder="1" applyAlignment="1">
      <alignment vertical="center"/>
    </xf>
    <xf numFmtId="4" fontId="0" fillId="0" borderId="4" xfId="0" applyNumberFormat="1" applyBorder="1" applyAlignment="1">
      <alignment vertical="center"/>
    </xf>
    <xf numFmtId="0" fontId="41" fillId="0" borderId="20" xfId="0" applyFont="1" applyBorder="1" applyAlignment="1">
      <alignment vertical="center"/>
    </xf>
    <xf numFmtId="0" fontId="0" fillId="0" borderId="9" xfId="0" applyFont="1" applyBorder="1" applyAlignment="1">
      <alignment vertical="center"/>
    </xf>
    <xf numFmtId="4" fontId="0" fillId="0" borderId="36" xfId="0" applyNumberFormat="1" applyBorder="1" applyAlignment="1">
      <alignment vertical="center"/>
    </xf>
    <xf numFmtId="4" fontId="0" fillId="0" borderId="37" xfId="0" applyNumberFormat="1" applyBorder="1" applyAlignment="1">
      <alignment vertical="center"/>
    </xf>
    <xf numFmtId="4" fontId="0" fillId="0" borderId="9" xfId="0" applyNumberFormat="1" applyBorder="1" applyAlignment="1">
      <alignment vertical="center"/>
    </xf>
    <xf numFmtId="4" fontId="0" fillId="0" borderId="38" xfId="0" applyNumberFormat="1" applyBorder="1" applyAlignment="1">
      <alignment vertical="center"/>
    </xf>
    <xf numFmtId="0" fontId="45" fillId="0" borderId="17" xfId="0" applyFont="1" applyBorder="1"/>
    <xf numFmtId="0" fontId="45" fillId="0" borderId="2" xfId="0" applyFont="1" applyBorder="1"/>
    <xf numFmtId="4" fontId="0" fillId="0" borderId="6" xfId="0" applyNumberFormat="1" applyFill="1" applyBorder="1" applyAlignment="1">
      <alignment vertical="center"/>
    </xf>
    <xf numFmtId="4" fontId="44" fillId="0" borderId="30" xfId="0" applyNumberFormat="1" applyFont="1" applyBorder="1" applyAlignment="1">
      <alignment vertical="center"/>
    </xf>
    <xf numFmtId="4" fontId="44" fillId="0" borderId="19" xfId="0" applyNumberFormat="1" applyFont="1" applyBorder="1" applyAlignment="1">
      <alignment vertical="center"/>
    </xf>
    <xf numFmtId="0" fontId="41" fillId="0" borderId="13" xfId="0" applyFont="1" applyFill="1" applyBorder="1" applyAlignment="1">
      <alignment vertical="center"/>
    </xf>
    <xf numFmtId="0" fontId="0" fillId="0" borderId="6" xfId="0" applyFont="1" applyFill="1" applyBorder="1" applyAlignment="1">
      <alignment vertical="center"/>
    </xf>
    <xf numFmtId="0" fontId="0" fillId="0" borderId="8" xfId="0" applyFont="1" applyBorder="1" applyAlignment="1">
      <alignment vertical="center"/>
    </xf>
    <xf numFmtId="4" fontId="0" fillId="0" borderId="39" xfId="0" applyNumberFormat="1" applyBorder="1" applyAlignment="1">
      <alignment vertical="center"/>
    </xf>
    <xf numFmtId="4" fontId="0" fillId="0" borderId="40" xfId="0" applyNumberFormat="1" applyBorder="1" applyAlignment="1">
      <alignment vertical="center"/>
    </xf>
    <xf numFmtId="4" fontId="0" fillId="0" borderId="8" xfId="0" applyNumberFormat="1" applyBorder="1" applyAlignment="1">
      <alignment vertical="center"/>
    </xf>
    <xf numFmtId="4" fontId="0" fillId="0" borderId="41" xfId="0" applyNumberFormat="1" applyBorder="1" applyAlignment="1">
      <alignment vertical="center"/>
    </xf>
    <xf numFmtId="0" fontId="11" fillId="0" borderId="6" xfId="0" applyFont="1" applyBorder="1" applyAlignment="1">
      <alignment vertical="center" wrapText="1"/>
    </xf>
    <xf numFmtId="4" fontId="45" fillId="0" borderId="24" xfId="0" applyNumberFormat="1" applyFont="1" applyBorder="1"/>
    <xf numFmtId="4" fontId="45" fillId="0" borderId="25" xfId="0" applyNumberFormat="1" applyFont="1" applyBorder="1"/>
    <xf numFmtId="4" fontId="45" fillId="0" borderId="2" xfId="0" applyNumberFormat="1" applyFont="1" applyBorder="1"/>
    <xf numFmtId="4" fontId="45" fillId="0" borderId="3" xfId="0" applyNumberFormat="1" applyFont="1" applyBorder="1"/>
    <xf numFmtId="0" fontId="0" fillId="0" borderId="7" xfId="0" applyFont="1" applyBorder="1" applyAlignment="1">
      <alignment vertical="center"/>
    </xf>
    <xf numFmtId="4" fontId="0" fillId="0" borderId="42" xfId="0" applyNumberFormat="1" applyBorder="1" applyAlignment="1">
      <alignment vertical="center"/>
    </xf>
    <xf numFmtId="4" fontId="0" fillId="0" borderId="43" xfId="0" applyNumberFormat="1" applyBorder="1" applyAlignment="1">
      <alignment vertical="center"/>
    </xf>
    <xf numFmtId="4" fontId="0" fillId="0" borderId="7" xfId="0" applyNumberFormat="1" applyBorder="1" applyAlignment="1">
      <alignment vertical="center"/>
    </xf>
    <xf numFmtId="4" fontId="0" fillId="0" borderId="44" xfId="0" applyNumberFormat="1" applyBorder="1" applyAlignment="1">
      <alignment vertical="center"/>
    </xf>
    <xf numFmtId="0" fontId="41" fillId="0" borderId="14" xfId="0" applyFont="1" applyBorder="1" applyAlignment="1">
      <alignment vertical="center"/>
    </xf>
    <xf numFmtId="4" fontId="0" fillId="0" borderId="45" xfId="0" applyNumberFormat="1" applyBorder="1" applyAlignment="1">
      <alignment vertical="center"/>
    </xf>
    <xf numFmtId="4" fontId="0" fillId="0" borderId="46" xfId="0" applyNumberFormat="1" applyBorder="1" applyAlignment="1">
      <alignment vertical="center"/>
    </xf>
    <xf numFmtId="0" fontId="41" fillId="0" borderId="16" xfId="0" applyFont="1" applyBorder="1" applyAlignment="1">
      <alignment vertical="center"/>
    </xf>
    <xf numFmtId="0" fontId="30" fillId="3" borderId="2" xfId="0" applyFont="1" applyFill="1" applyBorder="1" applyAlignment="1">
      <alignment vertical="center"/>
    </xf>
    <xf numFmtId="0" fontId="21" fillId="3" borderId="2" xfId="0" applyFont="1" applyFill="1" applyBorder="1" applyAlignment="1">
      <alignment vertical="center"/>
    </xf>
    <xf numFmtId="4" fontId="18" fillId="3" borderId="2" xfId="0" applyNumberFormat="1" applyFont="1" applyFill="1" applyBorder="1" applyAlignment="1">
      <alignment vertical="center"/>
    </xf>
    <xf numFmtId="4" fontId="4" fillId="3" borderId="4" xfId="0" applyNumberFormat="1" applyFont="1" applyFill="1" applyBorder="1" applyAlignment="1">
      <alignment vertical="center" wrapText="1"/>
    </xf>
    <xf numFmtId="4" fontId="4" fillId="0" borderId="0" xfId="0" applyNumberFormat="1" applyFont="1" applyBorder="1" applyAlignment="1">
      <alignment horizontal="right" vertical="center"/>
    </xf>
    <xf numFmtId="4" fontId="4" fillId="0" borderId="23" xfId="0" applyNumberFormat="1" applyFont="1" applyBorder="1" applyAlignment="1">
      <alignment horizontal="right" vertical="center"/>
    </xf>
    <xf numFmtId="4" fontId="4" fillId="0" borderId="19" xfId="0" applyNumberFormat="1" applyFont="1" applyBorder="1" applyAlignment="1">
      <alignment horizontal="right" vertical="center"/>
    </xf>
    <xf numFmtId="4" fontId="4" fillId="0" borderId="13" xfId="0" applyNumberFormat="1" applyFont="1" applyBorder="1" applyAlignment="1">
      <alignment horizontal="right" vertical="center"/>
    </xf>
    <xf numFmtId="0" fontId="30" fillId="3" borderId="13" xfId="0" applyFont="1" applyFill="1" applyBorder="1"/>
    <xf numFmtId="4" fontId="4" fillId="3" borderId="0" xfId="0" applyNumberFormat="1" applyFont="1" applyFill="1" applyBorder="1" applyAlignment="1">
      <alignment vertical="center"/>
    </xf>
    <xf numFmtId="4" fontId="0" fillId="3" borderId="23" xfId="0" applyNumberFormat="1" applyFont="1" applyFill="1" applyBorder="1" applyAlignment="1">
      <alignment vertical="center"/>
    </xf>
    <xf numFmtId="0" fontId="5" fillId="0" borderId="15" xfId="0" applyFont="1" applyBorder="1"/>
    <xf numFmtId="0" fontId="30" fillId="3" borderId="6" xfId="0" applyFont="1" applyFill="1" applyBorder="1"/>
    <xf numFmtId="0" fontId="4" fillId="3" borderId="6" xfId="0" applyFont="1" applyFill="1" applyBorder="1"/>
    <xf numFmtId="4" fontId="0" fillId="0" borderId="44" xfId="0" applyNumberFormat="1" applyFont="1" applyFill="1" applyBorder="1" applyAlignment="1">
      <alignment vertical="center"/>
    </xf>
    <xf numFmtId="4" fontId="0" fillId="0" borderId="20" xfId="0" applyNumberFormat="1" applyFont="1" applyFill="1" applyBorder="1" applyAlignment="1">
      <alignment vertical="center"/>
    </xf>
    <xf numFmtId="0" fontId="5" fillId="3" borderId="17" xfId="0" applyFont="1" applyFill="1" applyBorder="1"/>
    <xf numFmtId="4" fontId="29" fillId="3" borderId="2" xfId="0" applyNumberFormat="1" applyFont="1" applyFill="1" applyBorder="1" applyAlignment="1">
      <alignment vertical="center"/>
    </xf>
    <xf numFmtId="4" fontId="29" fillId="3" borderId="17" xfId="0" applyNumberFormat="1" applyFont="1" applyFill="1" applyBorder="1" applyAlignment="1">
      <alignment vertical="center"/>
    </xf>
    <xf numFmtId="0" fontId="30" fillId="3" borderId="0" xfId="0" applyFont="1" applyFill="1"/>
    <xf numFmtId="4" fontId="4" fillId="3" borderId="46" xfId="0" applyNumberFormat="1" applyFont="1" applyFill="1" applyBorder="1" applyAlignment="1">
      <alignment vertical="center"/>
    </xf>
    <xf numFmtId="4" fontId="4" fillId="3" borderId="14" xfId="0" applyNumberFormat="1" applyFont="1" applyFill="1" applyBorder="1" applyAlignment="1">
      <alignment vertical="center"/>
    </xf>
    <xf numFmtId="0" fontId="4" fillId="3" borderId="6" xfId="0" applyFont="1" applyFill="1" applyBorder="1" applyAlignment="1">
      <alignment vertical="center" wrapText="1"/>
    </xf>
    <xf numFmtId="4" fontId="4" fillId="3" borderId="19" xfId="0" applyNumberFormat="1" applyFont="1" applyFill="1" applyBorder="1" applyAlignment="1">
      <alignment vertical="center"/>
    </xf>
    <xf numFmtId="0" fontId="30" fillId="3" borderId="16" xfId="0" applyFont="1" applyFill="1" applyBorder="1"/>
    <xf numFmtId="0" fontId="30" fillId="3" borderId="8" xfId="0" applyFont="1" applyFill="1" applyBorder="1"/>
    <xf numFmtId="4" fontId="30" fillId="3" borderId="11" xfId="0" applyNumberFormat="1" applyFont="1" applyFill="1" applyBorder="1"/>
    <xf numFmtId="4" fontId="0" fillId="0" borderId="7" xfId="0" applyNumberFormat="1" applyFont="1" applyFill="1" applyBorder="1" applyAlignment="1">
      <alignment vertical="center"/>
    </xf>
    <xf numFmtId="0" fontId="5" fillId="3" borderId="17" xfId="0" applyFont="1" applyFill="1" applyBorder="1" applyAlignment="1">
      <alignment vertical="center"/>
    </xf>
    <xf numFmtId="4" fontId="29" fillId="0" borderId="2" xfId="0" applyNumberFormat="1" applyFont="1" applyFill="1" applyBorder="1" applyAlignment="1">
      <alignment vertical="center"/>
    </xf>
    <xf numFmtId="4" fontId="4" fillId="0" borderId="18" xfId="0" applyNumberFormat="1" applyFont="1" applyFill="1" applyBorder="1" applyAlignment="1">
      <alignment vertical="center"/>
    </xf>
    <xf numFmtId="0" fontId="32" fillId="3" borderId="13" xfId="0" applyFont="1" applyFill="1" applyBorder="1" applyAlignment="1">
      <alignment vertical="center"/>
    </xf>
    <xf numFmtId="4" fontId="4" fillId="0" borderId="21" xfId="0" applyNumberFormat="1" applyFont="1" applyFill="1" applyBorder="1" applyAlignment="1">
      <alignment vertical="center"/>
    </xf>
    <xf numFmtId="0" fontId="3" fillId="3" borderId="13" xfId="0" applyFont="1" applyFill="1" applyBorder="1" applyAlignment="1">
      <alignment vertical="center" wrapText="1"/>
    </xf>
    <xf numFmtId="0" fontId="4" fillId="0" borderId="0" xfId="0" applyFont="1"/>
    <xf numFmtId="0" fontId="32" fillId="3" borderId="13" xfId="0" applyFont="1" applyFill="1" applyBorder="1"/>
    <xf numFmtId="0" fontId="32" fillId="3" borderId="23" xfId="0" applyFont="1" applyFill="1" applyBorder="1"/>
    <xf numFmtId="4" fontId="0" fillId="3" borderId="11" xfId="0" applyNumberFormat="1" applyFont="1" applyFill="1" applyBorder="1"/>
    <xf numFmtId="4" fontId="0" fillId="0" borderId="47" xfId="0" applyNumberFormat="1" applyFont="1" applyFill="1" applyBorder="1" applyAlignment="1">
      <alignment vertical="center"/>
    </xf>
    <xf numFmtId="4" fontId="0" fillId="0" borderId="9" xfId="0" applyNumberFormat="1" applyFont="1" applyBorder="1" applyAlignment="1">
      <alignment vertical="center"/>
    </xf>
    <xf numFmtId="0" fontId="30" fillId="3" borderId="15" xfId="0" applyFont="1" applyFill="1" applyBorder="1" applyAlignment="1">
      <alignment vertical="center"/>
    </xf>
    <xf numFmtId="0" fontId="4" fillId="3" borderId="11" xfId="0" applyFont="1" applyFill="1" applyBorder="1" applyAlignment="1">
      <alignment vertical="center"/>
    </xf>
    <xf numFmtId="0" fontId="21" fillId="0" borderId="2" xfId="0" applyFont="1" applyFill="1" applyBorder="1"/>
    <xf numFmtId="4" fontId="18" fillId="0" borderId="11" xfId="0" applyNumberFormat="1" applyFont="1" applyFill="1" applyBorder="1"/>
    <xf numFmtId="4" fontId="18" fillId="0" borderId="2" xfId="0" applyNumberFormat="1" applyFont="1" applyFill="1" applyBorder="1"/>
    <xf numFmtId="4" fontId="18" fillId="0" borderId="17" xfId="0" applyNumberFormat="1" applyFont="1" applyFill="1" applyBorder="1"/>
    <xf numFmtId="4" fontId="4" fillId="0" borderId="14" xfId="0" applyNumberFormat="1" applyFont="1" applyFill="1" applyBorder="1" applyAlignment="1">
      <alignment vertical="center"/>
    </xf>
    <xf numFmtId="4" fontId="4" fillId="0" borderId="13" xfId="0" applyNumberFormat="1" applyFont="1" applyFill="1" applyBorder="1" applyAlignment="1">
      <alignment vertical="center"/>
    </xf>
    <xf numFmtId="0" fontId="30" fillId="3" borderId="11" xfId="0" applyFont="1" applyFill="1" applyBorder="1" applyAlignment="1">
      <alignment vertical="center"/>
    </xf>
    <xf numFmtId="0" fontId="30" fillId="0" borderId="9" xfId="0" applyFont="1" applyFill="1" applyBorder="1" applyAlignment="1">
      <alignment vertical="center"/>
    </xf>
    <xf numFmtId="4" fontId="4" fillId="0" borderId="9" xfId="0" applyNumberFormat="1" applyFont="1" applyFill="1" applyBorder="1" applyAlignment="1">
      <alignment vertical="center"/>
    </xf>
    <xf numFmtId="4" fontId="4" fillId="0" borderId="23" xfId="0" applyNumberFormat="1" applyFont="1" applyFill="1" applyBorder="1" applyAlignment="1">
      <alignment vertical="center"/>
    </xf>
    <xf numFmtId="4" fontId="4" fillId="0" borderId="11" xfId="0" applyNumberFormat="1" applyFont="1" applyFill="1" applyBorder="1" applyAlignment="1">
      <alignment vertical="center"/>
    </xf>
    <xf numFmtId="0" fontId="30" fillId="0" borderId="17" xfId="0" applyFont="1" applyBorder="1" applyAlignment="1">
      <alignment vertical="center"/>
    </xf>
    <xf numFmtId="0" fontId="21" fillId="0" borderId="2" xfId="0" applyFont="1" applyBorder="1" applyAlignment="1">
      <alignment wrapText="1"/>
    </xf>
    <xf numFmtId="0" fontId="5" fillId="0" borderId="17" xfId="0" applyFont="1" applyBorder="1"/>
    <xf numFmtId="0" fontId="5" fillId="0" borderId="2" xfId="0" applyFont="1" applyBorder="1" applyAlignment="1">
      <alignment wrapText="1"/>
    </xf>
    <xf numFmtId="4" fontId="24" fillId="0" borderId="2" xfId="0" applyNumberFormat="1" applyFont="1" applyFill="1" applyBorder="1"/>
    <xf numFmtId="0" fontId="30" fillId="0" borderId="4" xfId="0" applyFont="1" applyBorder="1" applyAlignment="1">
      <alignment vertical="center" wrapText="1"/>
    </xf>
    <xf numFmtId="4" fontId="4" fillId="0" borderId="5" xfId="0" applyNumberFormat="1" applyFont="1" applyFill="1" applyBorder="1" applyAlignment="1">
      <alignment vertical="center"/>
    </xf>
    <xf numFmtId="0" fontId="48" fillId="0" borderId="6" xfId="0" applyFont="1" applyBorder="1" applyAlignment="1">
      <alignment vertical="center" wrapText="1"/>
    </xf>
    <xf numFmtId="4" fontId="48" fillId="3" borderId="6" xfId="0" applyNumberFormat="1" applyFont="1" applyFill="1" applyBorder="1" applyAlignment="1">
      <alignment vertical="center"/>
    </xf>
    <xf numFmtId="4" fontId="48" fillId="0" borderId="6" xfId="0" applyNumberFormat="1" applyFont="1" applyFill="1" applyBorder="1" applyAlignment="1">
      <alignment vertical="center"/>
    </xf>
    <xf numFmtId="4" fontId="50" fillId="0" borderId="6" xfId="0" applyNumberFormat="1" applyFont="1" applyBorder="1" applyAlignment="1">
      <alignment vertical="center"/>
    </xf>
    <xf numFmtId="4" fontId="50" fillId="0" borderId="6" xfId="0" applyNumberFormat="1" applyFont="1" applyFill="1" applyBorder="1" applyAlignment="1">
      <alignment vertical="center"/>
    </xf>
    <xf numFmtId="4" fontId="0" fillId="0" borderId="19" xfId="0" applyNumberFormat="1" applyFont="1" applyFill="1" applyBorder="1" applyAlignment="1">
      <alignment vertical="center"/>
    </xf>
    <xf numFmtId="0" fontId="51" fillId="0" borderId="13" xfId="0" applyFont="1" applyBorder="1" applyAlignment="1">
      <alignment vertical="center"/>
    </xf>
    <xf numFmtId="0" fontId="52" fillId="0" borderId="6" xfId="0" applyFont="1" applyBorder="1" applyAlignment="1">
      <alignment vertical="center" wrapText="1"/>
    </xf>
    <xf numFmtId="4" fontId="3" fillId="0" borderId="6" xfId="0" applyNumberFormat="1" applyFont="1" applyBorder="1" applyAlignment="1">
      <alignment vertical="center" wrapText="1"/>
    </xf>
    <xf numFmtId="4" fontId="3" fillId="0" borderId="6" xfId="0" applyNumberFormat="1" applyFont="1" applyFill="1" applyBorder="1" applyAlignment="1">
      <alignment vertical="center" wrapText="1"/>
    </xf>
    <xf numFmtId="0" fontId="49" fillId="0" borderId="6" xfId="0" applyFont="1" applyBorder="1" applyAlignment="1">
      <alignment vertical="center" wrapText="1"/>
    </xf>
    <xf numFmtId="0" fontId="51" fillId="0" borderId="0" xfId="0" applyFont="1"/>
    <xf numFmtId="4" fontId="50" fillId="0" borderId="7" xfId="0" applyNumberFormat="1" applyFont="1" applyBorder="1" applyAlignment="1">
      <alignment vertical="center" wrapText="1"/>
    </xf>
    <xf numFmtId="4" fontId="50" fillId="0" borderId="7" xfId="0" applyNumberFormat="1" applyFont="1" applyFill="1" applyBorder="1" applyAlignment="1">
      <alignment vertical="center" wrapText="1"/>
    </xf>
    <xf numFmtId="4" fontId="4" fillId="3" borderId="7" xfId="0" applyNumberFormat="1" applyFont="1" applyFill="1" applyBorder="1" applyAlignment="1">
      <alignment vertical="center"/>
    </xf>
    <xf numFmtId="4" fontId="4" fillId="0" borderId="7" xfId="0" applyNumberFormat="1" applyFont="1" applyFill="1" applyBorder="1" applyAlignment="1">
      <alignment vertical="center"/>
    </xf>
    <xf numFmtId="4" fontId="50" fillId="0" borderId="6" xfId="0" applyNumberFormat="1" applyFont="1" applyBorder="1" applyAlignment="1">
      <alignment vertical="center" wrapText="1"/>
    </xf>
    <xf numFmtId="4" fontId="50" fillId="0" borderId="6" xfId="0" applyNumberFormat="1" applyFont="1" applyFill="1" applyBorder="1" applyAlignment="1">
      <alignment vertical="center" wrapText="1"/>
    </xf>
    <xf numFmtId="4" fontId="0" fillId="0" borderId="14" xfId="0" applyNumberFormat="1" applyFont="1" applyBorder="1" applyAlignment="1">
      <alignment vertical="center"/>
    </xf>
    <xf numFmtId="4" fontId="50" fillId="3" borderId="6" xfId="0" applyNumberFormat="1" applyFont="1" applyFill="1" applyBorder="1" applyAlignment="1">
      <alignment vertical="center"/>
    </xf>
    <xf numFmtId="4" fontId="0" fillId="0" borderId="23" xfId="0" applyNumberFormat="1" applyFont="1" applyBorder="1"/>
    <xf numFmtId="4" fontId="30" fillId="3" borderId="6" xfId="0" applyNumberFormat="1" applyFont="1" applyFill="1" applyBorder="1" applyAlignment="1">
      <alignment vertical="center"/>
    </xf>
    <xf numFmtId="4" fontId="0" fillId="0" borderId="23" xfId="0" applyNumberFormat="1" applyFont="1" applyBorder="1" applyAlignment="1">
      <alignment vertical="center"/>
    </xf>
    <xf numFmtId="4" fontId="0" fillId="0" borderId="6" xfId="0" applyNumberFormat="1" applyFont="1" applyBorder="1"/>
    <xf numFmtId="4" fontId="0" fillId="0" borderId="6" xfId="0" applyNumberFormat="1" applyFont="1" applyFill="1" applyBorder="1"/>
    <xf numFmtId="4" fontId="4" fillId="0" borderId="7" xfId="0" applyNumberFormat="1" applyFont="1" applyBorder="1" applyAlignment="1">
      <alignment vertical="center"/>
    </xf>
    <xf numFmtId="49" fontId="30" fillId="0" borderId="14" xfId="0" applyNumberFormat="1" applyFont="1" applyBorder="1" applyAlignment="1">
      <alignment horizontal="right" vertical="center"/>
    </xf>
    <xf numFmtId="2" fontId="30" fillId="0" borderId="4" xfId="0" applyNumberFormat="1" applyFont="1" applyBorder="1" applyAlignment="1">
      <alignment vertical="center" wrapText="1"/>
    </xf>
    <xf numFmtId="49" fontId="3" fillId="0" borderId="13" xfId="0" applyNumberFormat="1" applyFont="1" applyBorder="1" applyAlignment="1">
      <alignment horizontal="right" vertical="center"/>
    </xf>
    <xf numFmtId="2" fontId="3" fillId="0" borderId="6" xfId="0" applyNumberFormat="1" applyFont="1" applyBorder="1" applyAlignment="1">
      <alignment vertical="center" wrapText="1"/>
    </xf>
    <xf numFmtId="2" fontId="3" fillId="0" borderId="6" xfId="0" applyNumberFormat="1" applyFont="1" applyFill="1" applyBorder="1" applyAlignment="1">
      <alignment vertical="center" wrapText="1"/>
    </xf>
    <xf numFmtId="4" fontId="50" fillId="0" borderId="4" xfId="0" applyNumberFormat="1" applyFont="1" applyBorder="1" applyAlignment="1">
      <alignment vertical="center"/>
    </xf>
    <xf numFmtId="4" fontId="50" fillId="0" borderId="4" xfId="0" applyNumberFormat="1" applyFont="1" applyFill="1" applyBorder="1" applyAlignment="1">
      <alignment vertical="center"/>
    </xf>
    <xf numFmtId="49" fontId="30" fillId="0" borderId="13" xfId="0" applyNumberFormat="1" applyFont="1" applyBorder="1" applyAlignment="1">
      <alignment horizontal="right" vertical="center"/>
    </xf>
    <xf numFmtId="2" fontId="30" fillId="3" borderId="6" xfId="0" applyNumberFormat="1" applyFont="1" applyFill="1" applyBorder="1" applyAlignment="1">
      <alignment vertical="center" wrapText="1"/>
    </xf>
    <xf numFmtId="2" fontId="3" fillId="3" borderId="6" xfId="0" applyNumberFormat="1" applyFont="1" applyFill="1" applyBorder="1" applyAlignment="1">
      <alignment vertical="center" wrapText="1"/>
    </xf>
    <xf numFmtId="2" fontId="32" fillId="3" borderId="6" xfId="0" applyNumberFormat="1" applyFont="1" applyFill="1" applyBorder="1" applyAlignment="1">
      <alignment vertical="center" wrapText="1"/>
    </xf>
    <xf numFmtId="2" fontId="30" fillId="0" borderId="6" xfId="0" applyNumberFormat="1" applyFont="1" applyBorder="1" applyAlignment="1">
      <alignment vertical="center" wrapText="1"/>
    </xf>
    <xf numFmtId="4" fontId="50" fillId="0" borderId="8" xfId="0" applyNumberFormat="1" applyFont="1" applyBorder="1" applyAlignment="1">
      <alignment vertical="center"/>
    </xf>
    <xf numFmtId="4" fontId="50" fillId="0" borderId="8" xfId="0" applyNumberFormat="1" applyFont="1" applyFill="1" applyBorder="1" applyAlignment="1">
      <alignment vertical="center"/>
    </xf>
    <xf numFmtId="4" fontId="24" fillId="0" borderId="2" xfId="0" applyNumberFormat="1" applyFont="1" applyBorder="1" applyAlignment="1">
      <alignment vertical="center" shrinkToFit="1"/>
    </xf>
    <xf numFmtId="4" fontId="24" fillId="0" borderId="2" xfId="0" applyNumberFormat="1" applyFont="1" applyFill="1" applyBorder="1" applyAlignment="1">
      <alignment vertical="center" shrinkToFit="1"/>
    </xf>
    <xf numFmtId="4" fontId="4" fillId="0" borderId="4" xfId="0" applyNumberFormat="1" applyFont="1" applyFill="1" applyBorder="1" applyAlignment="1">
      <alignment vertical="center" shrinkToFit="1"/>
    </xf>
    <xf numFmtId="4" fontId="18" fillId="3" borderId="2" xfId="1" applyNumberFormat="1" applyFont="1" applyFill="1" applyBorder="1" applyAlignment="1" applyProtection="1">
      <alignment horizontal="right"/>
    </xf>
    <xf numFmtId="4" fontId="29" fillId="3" borderId="2" xfId="1" applyNumberFormat="1" applyFont="1" applyFill="1" applyBorder="1" applyAlignment="1" applyProtection="1">
      <alignment horizontal="right"/>
    </xf>
    <xf numFmtId="4" fontId="29" fillId="0" borderId="2" xfId="0" applyNumberFormat="1" applyFont="1" applyBorder="1" applyAlignment="1">
      <alignment vertical="center"/>
    </xf>
    <xf numFmtId="4" fontId="4" fillId="3" borderId="4" xfId="1" applyNumberFormat="1" applyFont="1" applyFill="1" applyBorder="1" applyAlignment="1" applyProtection="1">
      <alignment vertical="center"/>
    </xf>
    <xf numFmtId="4" fontId="0" fillId="3" borderId="6" xfId="1" applyNumberFormat="1" applyFont="1" applyFill="1" applyBorder="1" applyAlignment="1" applyProtection="1">
      <alignment vertical="center"/>
    </xf>
    <xf numFmtId="0" fontId="30" fillId="0" borderId="15" xfId="0" applyFont="1" applyBorder="1" applyAlignment="1">
      <alignment vertical="center"/>
    </xf>
    <xf numFmtId="0" fontId="3" fillId="3" borderId="15" xfId="0" applyFont="1" applyFill="1" applyBorder="1" applyAlignment="1">
      <alignment vertical="center" wrapText="1"/>
    </xf>
    <xf numFmtId="4" fontId="11" fillId="3" borderId="11" xfId="0" applyNumberFormat="1" applyFont="1" applyFill="1" applyBorder="1" applyAlignment="1">
      <alignment horizontal="right"/>
    </xf>
    <xf numFmtId="0" fontId="11" fillId="3" borderId="6" xfId="0" applyFont="1" applyFill="1" applyBorder="1" applyAlignment="1">
      <alignment vertical="center" wrapText="1"/>
    </xf>
    <xf numFmtId="0" fontId="32" fillId="3" borderId="6" xfId="0" applyFont="1" applyFill="1" applyBorder="1" applyAlignment="1">
      <alignment vertical="center" wrapText="1"/>
    </xf>
    <xf numFmtId="0" fontId="54" fillId="3" borderId="6" xfId="0" applyFont="1" applyFill="1" applyBorder="1" applyAlignment="1">
      <alignment vertical="center" wrapText="1"/>
    </xf>
    <xf numFmtId="4" fontId="0" fillId="0" borderId="0" xfId="0" applyNumberFormat="1" applyFont="1" applyAlignment="1">
      <alignment horizontal="right" vertical="center"/>
    </xf>
    <xf numFmtId="0" fontId="30" fillId="0" borderId="16" xfId="0" applyFont="1" applyBorder="1"/>
    <xf numFmtId="4" fontId="18" fillId="3" borderId="2" xfId="0" applyNumberFormat="1" applyFont="1" applyFill="1" applyBorder="1" applyAlignment="1">
      <alignment shrinkToFit="1"/>
    </xf>
    <xf numFmtId="0" fontId="11" fillId="3" borderId="4" xfId="0" applyFont="1" applyFill="1" applyBorder="1" applyAlignment="1">
      <alignment vertical="center" wrapText="1"/>
    </xf>
    <xf numFmtId="0" fontId="5" fillId="0" borderId="14" xfId="0" applyFont="1" applyBorder="1"/>
    <xf numFmtId="4" fontId="0" fillId="3" borderId="4" xfId="0" applyNumberFormat="1" applyFont="1" applyFill="1" applyBorder="1" applyAlignment="1">
      <alignment vertical="center" shrinkToFit="1"/>
    </xf>
    <xf numFmtId="0" fontId="30" fillId="0" borderId="15" xfId="0" applyFont="1" applyBorder="1"/>
    <xf numFmtId="0" fontId="30" fillId="3" borderId="11" xfId="0" applyFont="1" applyFill="1" applyBorder="1"/>
    <xf numFmtId="4" fontId="4" fillId="3" borderId="11" xfId="0" applyNumberFormat="1" applyFont="1" applyFill="1" applyBorder="1"/>
    <xf numFmtId="4" fontId="24" fillId="3" borderId="2" xfId="0" applyNumberFormat="1" applyFont="1" applyFill="1" applyBorder="1" applyAlignment="1">
      <alignment shrinkToFit="1"/>
    </xf>
    <xf numFmtId="166" fontId="30" fillId="3" borderId="6" xfId="0" applyNumberFormat="1" applyFont="1" applyFill="1" applyBorder="1" applyAlignment="1">
      <alignment vertical="center"/>
    </xf>
    <xf numFmtId="166" fontId="30" fillId="0" borderId="0" xfId="0" applyNumberFormat="1" applyFont="1"/>
    <xf numFmtId="0" fontId="4" fillId="3" borderId="8" xfId="0" applyFont="1" applyFill="1" applyBorder="1" applyAlignment="1">
      <alignment vertical="center"/>
    </xf>
    <xf numFmtId="4" fontId="4" fillId="3" borderId="8" xfId="0" applyNumberFormat="1" applyFont="1" applyFill="1" applyBorder="1" applyAlignment="1">
      <alignment vertical="center"/>
    </xf>
    <xf numFmtId="0" fontId="30" fillId="0" borderId="20" xfId="0" applyFont="1" applyBorder="1" applyAlignment="1">
      <alignment vertical="center"/>
    </xf>
    <xf numFmtId="0" fontId="3" fillId="3" borderId="8" xfId="0" applyFont="1" applyFill="1" applyBorder="1" applyAlignment="1">
      <alignment vertical="center"/>
    </xf>
    <xf numFmtId="0" fontId="29" fillId="3" borderId="11" xfId="0" applyFont="1" applyFill="1" applyBorder="1" applyAlignment="1">
      <alignment vertical="center"/>
    </xf>
    <xf numFmtId="0" fontId="30" fillId="0" borderId="23" xfId="0" applyFont="1" applyBorder="1" applyAlignment="1">
      <alignment vertical="center"/>
    </xf>
    <xf numFmtId="0" fontId="4" fillId="3" borderId="4" xfId="0" applyFont="1" applyFill="1" applyBorder="1" applyAlignment="1">
      <alignment vertical="center"/>
    </xf>
    <xf numFmtId="4" fontId="4" fillId="3" borderId="5" xfId="0" applyNumberFormat="1" applyFont="1" applyFill="1" applyBorder="1" applyAlignment="1">
      <alignment horizontal="right" vertical="center"/>
    </xf>
    <xf numFmtId="4" fontId="0" fillId="3" borderId="4" xfId="0" applyNumberFormat="1" applyFont="1" applyFill="1" applyBorder="1" applyAlignment="1">
      <alignment horizontal="right" vertical="center"/>
    </xf>
    <xf numFmtId="0" fontId="3" fillId="3" borderId="11" xfId="0" applyFont="1" applyFill="1" applyBorder="1" applyAlignment="1">
      <alignment vertical="center"/>
    </xf>
    <xf numFmtId="4" fontId="44" fillId="5" borderId="4" xfId="0" applyNumberFormat="1" applyFont="1" applyFill="1" applyBorder="1" applyAlignment="1">
      <alignment vertical="center"/>
    </xf>
    <xf numFmtId="4" fontId="44" fillId="5" borderId="6" xfId="0" applyNumberFormat="1" applyFont="1" applyFill="1" applyBorder="1" applyAlignment="1">
      <alignment vertical="center"/>
    </xf>
    <xf numFmtId="4" fontId="0" fillId="5" borderId="6" xfId="0" applyNumberFormat="1" applyFill="1" applyBorder="1" applyAlignment="1">
      <alignment vertical="center"/>
    </xf>
    <xf numFmtId="4" fontId="0" fillId="5" borderId="7" xfId="0" applyNumberFormat="1" applyFill="1" applyBorder="1" applyAlignment="1">
      <alignment vertical="center"/>
    </xf>
    <xf numFmtId="4" fontId="4" fillId="0" borderId="6" xfId="0" applyNumberFormat="1" applyFont="1" applyBorder="1"/>
    <xf numFmtId="4" fontId="0" fillId="5" borderId="6" xfId="0" applyNumberFormat="1" applyFill="1" applyBorder="1"/>
    <xf numFmtId="4" fontId="0" fillId="5" borderId="4" xfId="0" applyNumberFormat="1" applyFill="1" applyBorder="1" applyAlignment="1">
      <alignment vertical="center"/>
    </xf>
    <xf numFmtId="4" fontId="4" fillId="5" borderId="6" xfId="0" applyNumberFormat="1" applyFont="1" applyFill="1" applyBorder="1" applyAlignment="1">
      <alignment vertical="center"/>
    </xf>
    <xf numFmtId="4" fontId="0" fillId="5" borderId="6" xfId="0" applyNumberFormat="1" applyFont="1" applyFill="1" applyBorder="1" applyAlignment="1">
      <alignment vertical="center"/>
    </xf>
    <xf numFmtId="4" fontId="44" fillId="5" borderId="7" xfId="0" applyNumberFormat="1" applyFont="1" applyFill="1" applyBorder="1" applyAlignment="1">
      <alignment vertical="center"/>
    </xf>
    <xf numFmtId="4" fontId="0" fillId="5" borderId="4" xfId="0" applyNumberFormat="1" applyFont="1" applyFill="1" applyBorder="1" applyAlignment="1">
      <alignment vertical="center"/>
    </xf>
    <xf numFmtId="4" fontId="0" fillId="0" borderId="0" xfId="0" applyNumberFormat="1" applyFont="1" applyFill="1" applyAlignment="1">
      <alignment vertical="center"/>
    </xf>
    <xf numFmtId="4" fontId="4" fillId="3" borderId="9" xfId="0" applyNumberFormat="1" applyFont="1" applyFill="1" applyBorder="1" applyAlignment="1">
      <alignment vertical="center"/>
    </xf>
    <xf numFmtId="0" fontId="6" fillId="0" borderId="17" xfId="0" applyFont="1" applyFill="1" applyBorder="1" applyAlignment="1">
      <alignment horizontal="center" vertical="center"/>
    </xf>
    <xf numFmtId="0" fontId="21" fillId="0" borderId="2" xfId="0" applyFont="1" applyFill="1" applyBorder="1" applyAlignment="1">
      <alignment vertical="center"/>
    </xf>
    <xf numFmtId="4" fontId="21" fillId="0" borderId="2" xfId="0" applyNumberFormat="1" applyFont="1" applyFill="1" applyBorder="1" applyAlignment="1">
      <alignment vertical="center"/>
    </xf>
    <xf numFmtId="4" fontId="21" fillId="0" borderId="17" xfId="0" applyNumberFormat="1" applyFont="1" applyFill="1" applyBorder="1" applyAlignment="1">
      <alignment vertical="center"/>
    </xf>
    <xf numFmtId="0" fontId="55" fillId="0" borderId="10" xfId="0" applyFont="1" applyFill="1" applyBorder="1" applyAlignment="1">
      <alignment horizontal="right" vertical="center"/>
    </xf>
    <xf numFmtId="49" fontId="55" fillId="0" borderId="5" xfId="0" applyNumberFormat="1" applyFont="1" applyFill="1" applyBorder="1" applyAlignment="1">
      <alignment vertical="center" wrapText="1"/>
    </xf>
    <xf numFmtId="4" fontId="55" fillId="0" borderId="5" xfId="0" applyNumberFormat="1" applyFont="1" applyFill="1" applyBorder="1" applyAlignment="1">
      <alignment vertical="center"/>
    </xf>
    <xf numFmtId="4" fontId="55" fillId="0" borderId="48" xfId="0" applyNumberFormat="1" applyFont="1" applyFill="1" applyBorder="1" applyAlignment="1">
      <alignment vertical="center"/>
    </xf>
    <xf numFmtId="4" fontId="55" fillId="0" borderId="49" xfId="0" applyNumberFormat="1" applyFont="1" applyFill="1" applyBorder="1" applyAlignment="1">
      <alignment vertical="center"/>
    </xf>
    <xf numFmtId="4" fontId="4" fillId="0" borderId="27" xfId="0" applyNumberFormat="1" applyFont="1" applyFill="1" applyBorder="1" applyAlignment="1">
      <alignment vertical="center"/>
    </xf>
    <xf numFmtId="0" fontId="55" fillId="0" borderId="6" xfId="0" applyFont="1" applyFill="1" applyBorder="1" applyAlignment="1">
      <alignment horizontal="right" vertical="center"/>
    </xf>
    <xf numFmtId="0" fontId="55" fillId="0" borderId="6" xfId="0" applyFont="1" applyFill="1" applyBorder="1" applyAlignment="1">
      <alignment vertical="center"/>
    </xf>
    <xf numFmtId="4" fontId="55" fillId="0" borderId="4" xfId="0" applyNumberFormat="1" applyFont="1" applyFill="1" applyBorder="1" applyAlignment="1">
      <alignment vertical="center"/>
    </xf>
    <xf numFmtId="4" fontId="55" fillId="0" borderId="30" xfId="0" applyNumberFormat="1" applyFont="1" applyFill="1" applyBorder="1" applyAlignment="1">
      <alignment vertical="center"/>
    </xf>
    <xf numFmtId="4" fontId="55" fillId="0" borderId="6" xfId="0" applyNumberFormat="1" applyFont="1" applyFill="1" applyBorder="1" applyAlignment="1">
      <alignment vertical="center"/>
    </xf>
    <xf numFmtId="0" fontId="57" fillId="0" borderId="6" xfId="0" applyFont="1" applyFill="1" applyBorder="1" applyAlignment="1">
      <alignment vertical="center" wrapText="1"/>
    </xf>
    <xf numFmtId="0" fontId="56" fillId="0" borderId="6" xfId="0" applyFont="1" applyFill="1" applyBorder="1" applyAlignment="1">
      <alignment vertical="center"/>
    </xf>
    <xf numFmtId="4" fontId="56" fillId="0" borderId="4" xfId="0" applyNumberFormat="1" applyFont="1" applyFill="1" applyBorder="1" applyAlignment="1">
      <alignment vertical="center"/>
    </xf>
    <xf numFmtId="4" fontId="56" fillId="0" borderId="30" xfId="0" applyNumberFormat="1" applyFont="1" applyFill="1" applyBorder="1" applyAlignment="1">
      <alignment vertical="center"/>
    </xf>
    <xf numFmtId="4" fontId="56" fillId="0" borderId="6" xfId="0" applyNumberFormat="1" applyFont="1" applyFill="1" applyBorder="1" applyAlignment="1">
      <alignment vertical="center"/>
    </xf>
    <xf numFmtId="0" fontId="56" fillId="0" borderId="6" xfId="0" applyFont="1" applyFill="1" applyBorder="1" applyAlignment="1">
      <alignment vertical="center" wrapText="1"/>
    </xf>
    <xf numFmtId="4" fontId="56" fillId="0" borderId="50" xfId="0" applyNumberFormat="1" applyFont="1" applyFill="1" applyBorder="1" applyAlignment="1">
      <alignment vertical="center"/>
    </xf>
    <xf numFmtId="4" fontId="0" fillId="0" borderId="30" xfId="0" applyNumberFormat="1" applyFont="1" applyFill="1" applyBorder="1" applyAlignment="1">
      <alignment vertical="center"/>
    </xf>
    <xf numFmtId="4" fontId="56" fillId="0" borderId="51" xfId="0" applyNumberFormat="1" applyFont="1" applyFill="1" applyBorder="1" applyAlignment="1">
      <alignment vertical="center"/>
    </xf>
    <xf numFmtId="49" fontId="56" fillId="0" borderId="6" xfId="0" applyNumberFormat="1" applyFont="1" applyFill="1" applyBorder="1" applyAlignment="1">
      <alignment vertical="center" wrapText="1"/>
    </xf>
    <xf numFmtId="4" fontId="56" fillId="0" borderId="52" xfId="0" applyNumberFormat="1" applyFont="1" applyFill="1" applyBorder="1" applyAlignment="1">
      <alignment vertical="center"/>
    </xf>
    <xf numFmtId="4" fontId="0" fillId="0" borderId="0" xfId="0" applyNumberFormat="1" applyFont="1" applyFill="1" applyBorder="1" applyAlignment="1">
      <alignment horizontal="right" vertical="center"/>
    </xf>
    <xf numFmtId="4" fontId="0" fillId="0" borderId="9" xfId="0" applyNumberFormat="1" applyFont="1" applyFill="1" applyBorder="1" applyAlignment="1">
      <alignment horizontal="right" vertical="center"/>
    </xf>
    <xf numFmtId="4" fontId="56" fillId="0" borderId="53" xfId="0" applyNumberFormat="1" applyFont="1" applyFill="1" applyBorder="1" applyAlignment="1">
      <alignment vertical="center"/>
    </xf>
    <xf numFmtId="4" fontId="56" fillId="0" borderId="34" xfId="0" applyNumberFormat="1" applyFont="1" applyFill="1" applyBorder="1" applyAlignment="1">
      <alignment vertical="center"/>
    </xf>
    <xf numFmtId="4" fontId="56" fillId="0" borderId="54" xfId="0" applyNumberFormat="1" applyFont="1" applyFill="1" applyBorder="1" applyAlignment="1">
      <alignment vertical="center"/>
    </xf>
    <xf numFmtId="4" fontId="0" fillId="0" borderId="30" xfId="0" applyNumberFormat="1" applyFont="1" applyFill="1" applyBorder="1" applyAlignment="1">
      <alignment horizontal="right" vertical="center"/>
    </xf>
    <xf numFmtId="4" fontId="55" fillId="0" borderId="55" xfId="0" applyNumberFormat="1" applyFont="1" applyFill="1" applyBorder="1" applyAlignment="1">
      <alignment vertical="center"/>
    </xf>
    <xf numFmtId="4" fontId="55" fillId="0" borderId="34" xfId="0" applyNumberFormat="1" applyFont="1" applyFill="1" applyBorder="1" applyAlignment="1">
      <alignment vertical="center"/>
    </xf>
    <xf numFmtId="4" fontId="56" fillId="0" borderId="56" xfId="0" applyNumberFormat="1" applyFont="1" applyFill="1" applyBorder="1" applyAlignment="1">
      <alignment vertical="center"/>
    </xf>
    <xf numFmtId="4" fontId="0" fillId="0" borderId="57" xfId="0" applyNumberFormat="1" applyFont="1" applyFill="1" applyBorder="1" applyAlignment="1">
      <alignment vertical="center"/>
    </xf>
    <xf numFmtId="4" fontId="0" fillId="0" borderId="31" xfId="0" applyNumberFormat="1" applyFont="1" applyFill="1" applyBorder="1" applyAlignment="1">
      <alignment vertical="center"/>
    </xf>
    <xf numFmtId="0" fontId="56" fillId="0" borderId="4" xfId="0" applyFont="1" applyFill="1" applyBorder="1" applyAlignment="1">
      <alignment vertical="center" wrapText="1"/>
    </xf>
    <xf numFmtId="4" fontId="56" fillId="0" borderId="58" xfId="0" applyNumberFormat="1" applyFont="1" applyFill="1" applyBorder="1" applyAlignment="1">
      <alignment vertical="center"/>
    </xf>
    <xf numFmtId="4" fontId="0" fillId="0" borderId="33" xfId="0" applyNumberFormat="1" applyFont="1" applyFill="1" applyBorder="1" applyAlignment="1">
      <alignment vertical="center"/>
    </xf>
    <xf numFmtId="4" fontId="55" fillId="0" borderId="50" xfId="0" applyNumberFormat="1" applyFont="1" applyFill="1" applyBorder="1" applyAlignment="1">
      <alignment vertical="center"/>
    </xf>
    <xf numFmtId="4" fontId="55" fillId="0" borderId="33" xfId="0" applyNumberFormat="1" applyFont="1" applyFill="1" applyBorder="1" applyAlignment="1">
      <alignment vertical="center"/>
    </xf>
    <xf numFmtId="0" fontId="56" fillId="0" borderId="6" xfId="0" applyFont="1" applyFill="1" applyBorder="1" applyAlignment="1">
      <alignment horizontal="right" vertical="center"/>
    </xf>
    <xf numFmtId="0" fontId="56" fillId="0" borderId="4" xfId="0" applyFont="1" applyFill="1" applyBorder="1" applyAlignment="1">
      <alignment vertical="center"/>
    </xf>
    <xf numFmtId="0" fontId="57" fillId="0" borderId="6" xfId="0" applyFont="1" applyFill="1" applyBorder="1" applyAlignment="1">
      <alignment vertical="center"/>
    </xf>
    <xf numFmtId="49" fontId="56" fillId="0" borderId="4" xfId="0" applyNumberFormat="1" applyFont="1" applyFill="1" applyBorder="1" applyAlignment="1">
      <alignment vertical="center"/>
    </xf>
    <xf numFmtId="0" fontId="61" fillId="0" borderId="6" xfId="0" applyFont="1" applyFill="1" applyBorder="1" applyAlignment="1">
      <alignment horizontal="right" vertical="center"/>
    </xf>
    <xf numFmtId="0" fontId="0" fillId="0" borderId="0" xfId="0" applyFill="1"/>
    <xf numFmtId="4" fontId="0" fillId="0" borderId="33" xfId="0" applyNumberFormat="1" applyFont="1" applyFill="1" applyBorder="1"/>
    <xf numFmtId="4" fontId="0" fillId="0" borderId="4" xfId="0" applyNumberFormat="1" applyFont="1" applyFill="1" applyBorder="1"/>
    <xf numFmtId="4" fontId="34" fillId="0" borderId="50" xfId="0" applyNumberFormat="1" applyFont="1" applyFill="1" applyBorder="1" applyAlignment="1">
      <alignment vertical="center"/>
    </xf>
    <xf numFmtId="4" fontId="34" fillId="0" borderId="51" xfId="0" applyNumberFormat="1" applyFont="1" applyFill="1" applyBorder="1" applyAlignment="1">
      <alignment vertical="center"/>
    </xf>
    <xf numFmtId="4" fontId="34" fillId="0" borderId="58" xfId="0" applyNumberFormat="1" applyFont="1" applyFill="1" applyBorder="1" applyAlignment="1">
      <alignment vertical="center"/>
    </xf>
    <xf numFmtId="0" fontId="62" fillId="0" borderId="6" xfId="0" applyFont="1" applyFill="1" applyBorder="1" applyAlignment="1">
      <alignment horizontal="right" vertical="center"/>
    </xf>
    <xf numFmtId="4" fontId="61" fillId="0" borderId="50" xfId="0" applyNumberFormat="1" applyFont="1" applyFill="1" applyBorder="1" applyAlignment="1">
      <alignment vertical="center"/>
    </xf>
    <xf numFmtId="4" fontId="61" fillId="0" borderId="58" xfId="0" applyNumberFormat="1" applyFont="1" applyFill="1" applyBorder="1" applyAlignment="1">
      <alignment vertical="center"/>
    </xf>
    <xf numFmtId="4" fontId="56" fillId="0" borderId="33" xfId="0" applyNumberFormat="1" applyFont="1" applyFill="1" applyBorder="1"/>
    <xf numFmtId="4" fontId="56" fillId="0" borderId="6" xfId="0" applyNumberFormat="1" applyFont="1" applyFill="1" applyBorder="1"/>
    <xf numFmtId="4" fontId="61" fillId="0" borderId="51" xfId="0" applyNumberFormat="1" applyFont="1" applyFill="1" applyBorder="1" applyAlignment="1">
      <alignment vertical="center"/>
    </xf>
    <xf numFmtId="4" fontId="56" fillId="0" borderId="4" xfId="0" applyNumberFormat="1" applyFont="1" applyFill="1" applyBorder="1"/>
    <xf numFmtId="0" fontId="59" fillId="0" borderId="6" xfId="0" applyFont="1" applyFill="1" applyBorder="1" applyAlignment="1">
      <alignment horizontal="right" vertical="center"/>
    </xf>
    <xf numFmtId="4" fontId="59" fillId="0" borderId="4" xfId="0" applyNumberFormat="1" applyFont="1" applyFill="1" applyBorder="1" applyAlignment="1">
      <alignment vertical="center"/>
    </xf>
    <xf numFmtId="4" fontId="59" fillId="0" borderId="50" xfId="0" applyNumberFormat="1" applyFont="1" applyFill="1" applyBorder="1" applyAlignment="1">
      <alignment vertical="center"/>
    </xf>
    <xf numFmtId="4" fontId="59" fillId="0" borderId="51" xfId="0" applyNumberFormat="1" applyFont="1" applyFill="1" applyBorder="1" applyAlignment="1">
      <alignment vertical="center"/>
    </xf>
    <xf numFmtId="4" fontId="63" fillId="0" borderId="33" xfId="0" applyNumberFormat="1" applyFont="1" applyFill="1" applyBorder="1" applyAlignment="1">
      <alignment horizontal="right" vertical="center"/>
    </xf>
    <xf numFmtId="4" fontId="50" fillId="0" borderId="4" xfId="0" applyNumberFormat="1" applyFont="1" applyFill="1" applyBorder="1" applyAlignment="1">
      <alignment horizontal="right" vertical="center"/>
    </xf>
    <xf numFmtId="0" fontId="64" fillId="0" borderId="0" xfId="0" applyFont="1"/>
    <xf numFmtId="4" fontId="0" fillId="0" borderId="50" xfId="0" applyNumberFormat="1" applyFont="1" applyFill="1" applyBorder="1" applyAlignment="1">
      <alignment vertical="center"/>
    </xf>
    <xf numFmtId="4" fontId="59" fillId="0" borderId="33" xfId="0" applyNumberFormat="1" applyFont="1" applyFill="1" applyBorder="1" applyAlignment="1">
      <alignment vertical="center"/>
    </xf>
    <xf numFmtId="4" fontId="59" fillId="0" borderId="6" xfId="0" applyNumberFormat="1" applyFont="1" applyFill="1" applyBorder="1" applyAlignment="1">
      <alignment vertical="center"/>
    </xf>
    <xf numFmtId="4" fontId="56" fillId="0" borderId="33" xfId="0" applyNumberFormat="1" applyFont="1" applyFill="1" applyBorder="1" applyAlignment="1">
      <alignment vertical="center"/>
    </xf>
    <xf numFmtId="49" fontId="56" fillId="0" borderId="4" xfId="0" applyNumberFormat="1" applyFont="1" applyFill="1" applyBorder="1" applyAlignment="1">
      <alignment vertical="center" wrapText="1"/>
    </xf>
    <xf numFmtId="4" fontId="59" fillId="0" borderId="58" xfId="0" applyNumberFormat="1" applyFont="1" applyFill="1" applyBorder="1" applyAlignment="1">
      <alignment vertical="center"/>
    </xf>
    <xf numFmtId="4" fontId="63" fillId="0" borderId="33" xfId="0" applyNumberFormat="1" applyFont="1" applyFill="1" applyBorder="1" applyAlignment="1">
      <alignment vertical="center"/>
    </xf>
    <xf numFmtId="4" fontId="63" fillId="0" borderId="6" xfId="0" applyNumberFormat="1" applyFont="1" applyFill="1" applyBorder="1" applyAlignment="1">
      <alignment vertical="center"/>
    </xf>
    <xf numFmtId="4" fontId="50" fillId="0" borderId="33" xfId="0" applyNumberFormat="1" applyFont="1" applyFill="1" applyBorder="1" applyAlignment="1">
      <alignment horizontal="right" vertical="center"/>
    </xf>
    <xf numFmtId="4" fontId="50" fillId="0" borderId="6" xfId="0" applyNumberFormat="1" applyFont="1" applyFill="1" applyBorder="1" applyAlignment="1">
      <alignment horizontal="right" vertical="center"/>
    </xf>
    <xf numFmtId="0" fontId="56" fillId="0" borderId="32" xfId="0" applyFont="1" applyFill="1" applyBorder="1" applyAlignment="1">
      <alignment vertical="center"/>
    </xf>
    <xf numFmtId="4" fontId="34" fillId="0" borderId="59" xfId="0" applyNumberFormat="1" applyFont="1" applyFill="1" applyBorder="1" applyAlignment="1">
      <alignment vertical="center"/>
    </xf>
    <xf numFmtId="4" fontId="0" fillId="0" borderId="53" xfId="0" applyNumberFormat="1" applyFont="1" applyFill="1" applyBorder="1" applyAlignment="1">
      <alignment vertical="center"/>
    </xf>
    <xf numFmtId="0" fontId="56" fillId="0" borderId="55" xfId="0" applyFont="1" applyFill="1" applyBorder="1" applyAlignment="1">
      <alignment vertical="center"/>
    </xf>
    <xf numFmtId="4" fontId="56" fillId="0" borderId="55" xfId="0" applyNumberFormat="1" applyFont="1" applyFill="1" applyBorder="1" applyAlignment="1">
      <alignment vertical="center"/>
    </xf>
    <xf numFmtId="4" fontId="50" fillId="0" borderId="33" xfId="0" applyNumberFormat="1" applyFont="1" applyFill="1" applyBorder="1" applyAlignment="1">
      <alignment vertical="center"/>
    </xf>
    <xf numFmtId="49" fontId="56" fillId="0" borderId="6" xfId="0" applyNumberFormat="1" applyFont="1" applyFill="1" applyBorder="1" applyAlignment="1">
      <alignment vertical="center"/>
    </xf>
    <xf numFmtId="4" fontId="64" fillId="0" borderId="33" xfId="0" applyNumberFormat="1" applyFont="1" applyFill="1" applyBorder="1" applyAlignment="1">
      <alignment vertical="center"/>
    </xf>
    <xf numFmtId="4" fontId="64" fillId="0" borderId="4" xfId="0" applyNumberFormat="1" applyFont="1" applyFill="1" applyBorder="1" applyAlignment="1">
      <alignment vertical="center"/>
    </xf>
    <xf numFmtId="0" fontId="56" fillId="0" borderId="6" xfId="4" applyFont="1" applyFill="1" applyBorder="1" applyAlignment="1">
      <alignment vertical="center"/>
    </xf>
    <xf numFmtId="0" fontId="56" fillId="0" borderId="6" xfId="4" applyFont="1" applyFill="1" applyBorder="1" applyAlignment="1">
      <alignment vertical="center" wrapText="1"/>
    </xf>
    <xf numFmtId="0" fontId="56" fillId="0" borderId="4" xfId="4" applyFont="1" applyFill="1" applyBorder="1" applyAlignment="1">
      <alignment vertical="center" wrapText="1"/>
    </xf>
    <xf numFmtId="49" fontId="56" fillId="0" borderId="6" xfId="4" applyNumberFormat="1" applyFont="1" applyFill="1" applyBorder="1" applyAlignment="1">
      <alignment vertical="center" wrapText="1"/>
    </xf>
    <xf numFmtId="0" fontId="56" fillId="0" borderId="4" xfId="0" applyFont="1" applyFill="1" applyBorder="1" applyAlignment="1">
      <alignment horizontal="right" vertical="center"/>
    </xf>
    <xf numFmtId="0" fontId="55" fillId="0" borderId="4" xfId="0" applyFont="1" applyFill="1" applyBorder="1" applyAlignment="1">
      <alignment horizontal="right" vertical="center"/>
    </xf>
    <xf numFmtId="4" fontId="4" fillId="0" borderId="33" xfId="0" applyNumberFormat="1" applyFont="1" applyFill="1" applyBorder="1" applyAlignment="1">
      <alignment vertical="center"/>
    </xf>
    <xf numFmtId="0" fontId="57" fillId="0" borderId="6" xfId="0" applyFont="1" applyFill="1" applyBorder="1" applyAlignment="1">
      <alignment horizontal="right" vertical="center"/>
    </xf>
    <xf numFmtId="4" fontId="57" fillId="0" borderId="33" xfId="0" applyNumberFormat="1" applyFont="1" applyFill="1" applyBorder="1" applyAlignment="1">
      <alignment vertical="center"/>
    </xf>
    <xf numFmtId="4" fontId="56" fillId="0" borderId="33" xfId="0" applyNumberFormat="1" applyFont="1" applyFill="1" applyBorder="1" applyAlignment="1">
      <alignment horizontal="right" vertical="center"/>
    </xf>
    <xf numFmtId="4" fontId="56" fillId="0" borderId="6" xfId="0" applyNumberFormat="1" applyFont="1" applyFill="1" applyBorder="1" applyAlignment="1">
      <alignment horizontal="right" vertical="center"/>
    </xf>
    <xf numFmtId="2" fontId="56" fillId="0" borderId="6" xfId="0" applyNumberFormat="1" applyFont="1" applyFill="1" applyBorder="1" applyAlignment="1">
      <alignment vertical="center" wrapText="1"/>
    </xf>
    <xf numFmtId="0" fontId="56" fillId="0" borderId="6" xfId="5" applyFont="1" applyFill="1" applyBorder="1" applyAlignment="1">
      <alignment vertical="center" wrapText="1"/>
    </xf>
    <xf numFmtId="0" fontId="59" fillId="0" borderId="6" xfId="0" applyFont="1" applyFill="1" applyBorder="1" applyAlignment="1">
      <alignment vertical="center"/>
    </xf>
    <xf numFmtId="2" fontId="56" fillId="0" borderId="32" xfId="0" applyNumberFormat="1" applyFont="1" applyFill="1" applyBorder="1" applyAlignment="1">
      <alignment vertical="center" wrapText="1"/>
    </xf>
    <xf numFmtId="4" fontId="56" fillId="0" borderId="59" xfId="0" applyNumberFormat="1" applyFont="1" applyFill="1" applyBorder="1" applyAlignment="1">
      <alignment vertical="center"/>
    </xf>
    <xf numFmtId="4" fontId="56" fillId="0" borderId="60" xfId="0" applyNumberFormat="1" applyFont="1" applyFill="1" applyBorder="1" applyAlignment="1">
      <alignment vertical="center"/>
    </xf>
    <xf numFmtId="4" fontId="64" fillId="0" borderId="6" xfId="0" applyNumberFormat="1" applyFont="1" applyFill="1" applyBorder="1" applyAlignment="1">
      <alignment vertical="center"/>
    </xf>
    <xf numFmtId="4" fontId="64" fillId="0" borderId="50" xfId="0" applyNumberFormat="1" applyFont="1" applyFill="1" applyBorder="1" applyAlignment="1">
      <alignment vertical="center"/>
    </xf>
    <xf numFmtId="49" fontId="56" fillId="0" borderId="4" xfId="4" applyNumberFormat="1" applyFont="1" applyFill="1" applyBorder="1" applyAlignment="1">
      <alignment vertical="center" wrapText="1"/>
    </xf>
    <xf numFmtId="4" fontId="0" fillId="0" borderId="33" xfId="0" applyNumberFormat="1" applyFont="1" applyFill="1" applyBorder="1" applyAlignment="1">
      <alignment horizontal="right" vertical="center"/>
    </xf>
    <xf numFmtId="0" fontId="57" fillId="0" borderId="6" xfId="4" applyFont="1" applyFill="1" applyBorder="1" applyAlignment="1">
      <alignment vertical="center"/>
    </xf>
    <xf numFmtId="4" fontId="56" fillId="0" borderId="61" xfId="0" applyNumberFormat="1" applyFont="1" applyFill="1" applyBorder="1" applyAlignment="1">
      <alignment vertical="center"/>
    </xf>
    <xf numFmtId="4" fontId="56" fillId="0" borderId="37" xfId="0" applyNumberFormat="1" applyFont="1" applyFill="1" applyBorder="1" applyAlignment="1">
      <alignment vertical="center"/>
    </xf>
    <xf numFmtId="0" fontId="55" fillId="0" borderId="4" xfId="0" applyFont="1" applyFill="1" applyBorder="1" applyAlignment="1">
      <alignment vertical="center"/>
    </xf>
    <xf numFmtId="0" fontId="0" fillId="0" borderId="0" xfId="0" applyBorder="1"/>
    <xf numFmtId="0" fontId="0" fillId="0" borderId="34" xfId="0" applyBorder="1"/>
    <xf numFmtId="49" fontId="56" fillId="0" borderId="6" xfId="5" applyNumberFormat="1" applyFont="1" applyFill="1" applyBorder="1" applyAlignment="1">
      <alignment vertical="center" wrapText="1"/>
    </xf>
    <xf numFmtId="49" fontId="56" fillId="0" borderId="4" xfId="5" applyNumberFormat="1" applyFont="1" applyFill="1" applyBorder="1" applyAlignment="1">
      <alignment vertical="center" wrapText="1"/>
    </xf>
    <xf numFmtId="0" fontId="56" fillId="0" borderId="4" xfId="5" applyFont="1" applyFill="1" applyBorder="1" applyAlignment="1">
      <alignment vertical="center" wrapText="1"/>
    </xf>
    <xf numFmtId="0" fontId="56" fillId="0" borderId="7" xfId="0" applyFont="1" applyFill="1" applyBorder="1" applyAlignment="1">
      <alignment horizontal="right" vertical="center"/>
    </xf>
    <xf numFmtId="49" fontId="56" fillId="0" borderId="4" xfId="4" applyNumberFormat="1" applyFont="1" applyFill="1" applyBorder="1" applyAlignment="1">
      <alignment vertical="center"/>
    </xf>
    <xf numFmtId="0" fontId="56" fillId="0" borderId="11" xfId="0" applyFont="1" applyFill="1" applyBorder="1" applyAlignment="1">
      <alignment horizontal="right" vertical="center"/>
    </xf>
    <xf numFmtId="4" fontId="0" fillId="0" borderId="11" xfId="0" applyNumberFormat="1" applyFont="1" applyFill="1" applyBorder="1" applyAlignment="1">
      <alignment vertical="center"/>
    </xf>
    <xf numFmtId="0" fontId="29" fillId="0" borderId="3" xfId="0" applyFont="1" applyFill="1" applyBorder="1"/>
    <xf numFmtId="4" fontId="29" fillId="0" borderId="62" xfId="0" applyNumberFormat="1" applyFont="1" applyFill="1" applyBorder="1" applyAlignment="1">
      <alignment vertical="center"/>
    </xf>
    <xf numFmtId="4" fontId="29" fillId="0" borderId="17" xfId="0" applyNumberFormat="1" applyFont="1" applyFill="1" applyBorder="1" applyAlignment="1">
      <alignment vertical="center"/>
    </xf>
    <xf numFmtId="0" fontId="56" fillId="0" borderId="0" xfId="0" applyFont="1" applyAlignment="1">
      <alignment vertical="center"/>
    </xf>
    <xf numFmtId="0" fontId="30" fillId="0" borderId="4" xfId="0" applyFont="1" applyFill="1" applyBorder="1" applyAlignment="1">
      <alignment vertical="center"/>
    </xf>
    <xf numFmtId="0" fontId="0" fillId="0" borderId="4" xfId="0" applyFont="1" applyFill="1" applyBorder="1" applyAlignment="1">
      <alignment vertical="center"/>
    </xf>
    <xf numFmtId="0" fontId="3" fillId="0" borderId="20" xfId="0" applyFont="1" applyFill="1" applyBorder="1" applyAlignment="1">
      <alignment vertical="center"/>
    </xf>
    <xf numFmtId="0" fontId="3" fillId="0" borderId="17" xfId="0" applyFont="1" applyFill="1" applyBorder="1" applyAlignment="1">
      <alignment vertical="center"/>
    </xf>
    <xf numFmtId="4" fontId="24" fillId="0" borderId="2" xfId="0" applyNumberFormat="1" applyFont="1" applyFill="1" applyBorder="1" applyAlignment="1">
      <alignment vertical="center"/>
    </xf>
    <xf numFmtId="4" fontId="0" fillId="0" borderId="2" xfId="0" applyNumberFormat="1" applyFont="1" applyFill="1" applyBorder="1" applyAlignment="1">
      <alignment vertical="center"/>
    </xf>
    <xf numFmtId="0" fontId="4" fillId="0" borderId="23" xfId="0" applyFont="1" applyFill="1" applyBorder="1" applyAlignment="1">
      <alignment vertical="center"/>
    </xf>
    <xf numFmtId="0" fontId="4" fillId="0" borderId="20" xfId="0" applyFont="1" applyFill="1" applyBorder="1" applyAlignment="1">
      <alignment vertical="center"/>
    </xf>
    <xf numFmtId="0" fontId="4" fillId="0" borderId="6" xfId="0" applyFont="1" applyFill="1" applyBorder="1" applyAlignment="1">
      <alignment vertical="center"/>
    </xf>
    <xf numFmtId="0" fontId="55" fillId="0" borderId="0" xfId="0" applyFont="1" applyAlignment="1">
      <alignment vertical="center"/>
    </xf>
    <xf numFmtId="0" fontId="5" fillId="0" borderId="17" xfId="0" applyFont="1" applyFill="1" applyBorder="1"/>
    <xf numFmtId="0" fontId="29" fillId="0" borderId="2" xfId="0" applyFont="1" applyFill="1" applyBorder="1"/>
    <xf numFmtId="4" fontId="29" fillId="0" borderId="2" xfId="0" applyNumberFormat="1" applyFont="1" applyFill="1" applyBorder="1"/>
    <xf numFmtId="4" fontId="65" fillId="0" borderId="2" xfId="0" applyNumberFormat="1" applyFont="1" applyFill="1" applyBorder="1"/>
    <xf numFmtId="0" fontId="11" fillId="0" borderId="14" xfId="0" applyFont="1" applyFill="1" applyBorder="1" applyAlignment="1">
      <alignment horizontal="right" vertical="center"/>
    </xf>
    <xf numFmtId="2" fontId="30" fillId="0" borderId="4" xfId="0" applyNumberFormat="1" applyFont="1" applyFill="1" applyBorder="1" applyAlignment="1">
      <alignment vertical="center" wrapText="1"/>
    </xf>
    <xf numFmtId="4" fontId="30" fillId="0" borderId="4" xfId="0" applyNumberFormat="1" applyFont="1" applyFill="1" applyBorder="1" applyAlignment="1">
      <alignment vertical="center" wrapText="1"/>
    </xf>
    <xf numFmtId="0" fontId="5" fillId="0" borderId="0" xfId="0" applyFont="1" applyAlignment="1">
      <alignment vertical="center"/>
    </xf>
    <xf numFmtId="0" fontId="11" fillId="0" borderId="14" xfId="0" applyFont="1" applyFill="1" applyBorder="1" applyAlignment="1">
      <alignment horizontal="right" vertical="center" wrapText="1"/>
    </xf>
    <xf numFmtId="0" fontId="30" fillId="0" borderId="4" xfId="0" applyFont="1" applyFill="1" applyBorder="1" applyAlignment="1">
      <alignment vertical="center" wrapText="1"/>
    </xf>
    <xf numFmtId="0" fontId="29" fillId="0" borderId="0" xfId="0" applyFont="1" applyAlignment="1">
      <alignment wrapText="1"/>
    </xf>
    <xf numFmtId="0" fontId="29" fillId="0" borderId="0" xfId="0" applyFont="1" applyAlignment="1"/>
    <xf numFmtId="0" fontId="30" fillId="0" borderId="4" xfId="0" applyFont="1" applyFill="1" applyBorder="1" applyAlignment="1">
      <alignment vertical="top" wrapText="1"/>
    </xf>
    <xf numFmtId="0" fontId="3" fillId="0" borderId="16" xfId="0" applyFont="1" applyFill="1" applyBorder="1" applyAlignment="1">
      <alignment vertical="center"/>
    </xf>
    <xf numFmtId="0" fontId="3" fillId="0" borderId="8" xfId="0" applyFont="1" applyFill="1" applyBorder="1" applyAlignment="1">
      <alignment vertical="center" wrapText="1"/>
    </xf>
    <xf numFmtId="4" fontId="0" fillId="0" borderId="8" xfId="0" applyNumberFormat="1" applyFont="1" applyFill="1" applyBorder="1" applyAlignment="1">
      <alignment vertical="center"/>
    </xf>
    <xf numFmtId="0" fontId="20" fillId="0" borderId="17" xfId="0" applyFont="1" applyFill="1" applyBorder="1"/>
    <xf numFmtId="0" fontId="20" fillId="0" borderId="2" xfId="0" applyFont="1" applyFill="1" applyBorder="1"/>
    <xf numFmtId="4" fontId="6" fillId="0" borderId="2" xfId="0" applyNumberFormat="1" applyFont="1" applyFill="1" applyBorder="1"/>
    <xf numFmtId="0" fontId="56" fillId="0" borderId="0" xfId="0" applyFont="1" applyAlignment="1">
      <alignment horizontal="left"/>
    </xf>
    <xf numFmtId="0" fontId="3" fillId="0" borderId="0" xfId="0" applyFont="1" applyFill="1" applyBorder="1"/>
    <xf numFmtId="4" fontId="5" fillId="0" borderId="17" xfId="0" applyNumberFormat="1" applyFont="1" applyBorder="1" applyAlignment="1">
      <alignment horizontal="center" vertical="center" wrapText="1"/>
    </xf>
    <xf numFmtId="4" fontId="24" fillId="0" borderId="0" xfId="0" applyNumberFormat="1" applyFont="1" applyBorder="1" applyAlignment="1">
      <alignment horizontal="center" vertical="center" wrapText="1"/>
    </xf>
    <xf numFmtId="4" fontId="4" fillId="0" borderId="0" xfId="0" applyNumberFormat="1" applyFont="1" applyBorder="1"/>
    <xf numFmtId="4" fontId="4" fillId="0" borderId="19" xfId="0" applyNumberFormat="1" applyFont="1" applyFill="1" applyBorder="1" applyAlignment="1">
      <alignment vertical="center"/>
    </xf>
    <xf numFmtId="4" fontId="30" fillId="0" borderId="11" xfId="0" applyNumberFormat="1" applyFont="1" applyFill="1" applyBorder="1"/>
    <xf numFmtId="0" fontId="68" fillId="0" borderId="0" xfId="0" applyFont="1" applyAlignment="1">
      <alignment horizontal="right"/>
    </xf>
    <xf numFmtId="0" fontId="3" fillId="0" borderId="0" xfId="0" applyFont="1" applyBorder="1"/>
    <xf numFmtId="0" fontId="68" fillId="0" borderId="0" xfId="0" applyFont="1"/>
    <xf numFmtId="0" fontId="70" fillId="0" borderId="0" xfId="0" applyFont="1"/>
    <xf numFmtId="4" fontId="0" fillId="0" borderId="19" xfId="0" applyNumberFormat="1" applyFont="1" applyFill="1" applyBorder="1"/>
    <xf numFmtId="0" fontId="71" fillId="0" borderId="0" xfId="0" applyFont="1"/>
    <xf numFmtId="4" fontId="0" fillId="0" borderId="23" xfId="0" applyNumberFormat="1" applyFont="1" applyFill="1" applyBorder="1" applyAlignment="1">
      <alignment vertical="center"/>
    </xf>
    <xf numFmtId="4" fontId="0" fillId="0" borderId="63" xfId="0" applyNumberFormat="1" applyFont="1" applyFill="1" applyBorder="1"/>
    <xf numFmtId="4" fontId="4" fillId="0" borderId="2" xfId="0" applyNumberFormat="1" applyFont="1" applyFill="1" applyBorder="1" applyAlignment="1">
      <alignment vertical="center" shrinkToFit="1"/>
    </xf>
    <xf numFmtId="4" fontId="24" fillId="0" borderId="15" xfId="0" applyNumberFormat="1" applyFont="1" applyFill="1" applyBorder="1" applyAlignment="1">
      <alignment horizontal="center" vertical="center" wrapText="1"/>
    </xf>
    <xf numFmtId="4" fontId="24" fillId="0" borderId="15" xfId="0" applyNumberFormat="1" applyFont="1" applyFill="1" applyBorder="1" applyAlignment="1">
      <alignment shrinkToFit="1"/>
    </xf>
    <xf numFmtId="4" fontId="4" fillId="0" borderId="13" xfId="0" applyNumberFormat="1" applyFont="1" applyFill="1" applyBorder="1" applyAlignment="1">
      <alignment vertical="center" shrinkToFit="1"/>
    </xf>
    <xf numFmtId="4" fontId="4" fillId="0" borderId="11" xfId="0" applyNumberFormat="1" applyFont="1" applyFill="1" applyBorder="1"/>
    <xf numFmtId="4" fontId="0" fillId="0" borderId="15" xfId="0" applyNumberFormat="1" applyFont="1" applyFill="1" applyBorder="1"/>
    <xf numFmtId="4" fontId="4" fillId="0" borderId="8" xfId="0" applyNumberFormat="1" applyFont="1" applyFill="1" applyBorder="1"/>
    <xf numFmtId="4" fontId="24" fillId="0" borderId="64" xfId="0" applyNumberFormat="1" applyFont="1" applyFill="1" applyBorder="1"/>
    <xf numFmtId="0" fontId="30" fillId="0" borderId="63" xfId="0" applyFont="1" applyFill="1" applyBorder="1"/>
    <xf numFmtId="4" fontId="4" fillId="0" borderId="63" xfId="0" applyNumberFormat="1" applyFont="1" applyFill="1" applyBorder="1" applyAlignment="1">
      <alignment vertical="center"/>
    </xf>
    <xf numFmtId="4" fontId="4" fillId="0" borderId="63" xfId="2" applyNumberFormat="1" applyFont="1" applyFill="1" applyBorder="1" applyAlignment="1" applyProtection="1">
      <alignment vertical="center"/>
    </xf>
    <xf numFmtId="4" fontId="0" fillId="0" borderId="16" xfId="0" applyNumberFormat="1" applyFont="1" applyFill="1" applyBorder="1" applyAlignment="1">
      <alignment vertical="center"/>
    </xf>
    <xf numFmtId="4" fontId="21" fillId="0" borderId="2" xfId="0" applyNumberFormat="1" applyFont="1" applyFill="1" applyBorder="1" applyAlignment="1">
      <alignment shrinkToFit="1"/>
    </xf>
    <xf numFmtId="4" fontId="18" fillId="0" borderId="2" xfId="0" applyNumberFormat="1" applyFont="1" applyFill="1" applyBorder="1" applyAlignment="1">
      <alignment vertical="center"/>
    </xf>
    <xf numFmtId="4" fontId="4" fillId="0" borderId="0" xfId="0" applyNumberFormat="1" applyFont="1" applyFill="1" applyBorder="1" applyAlignment="1">
      <alignment horizontal="right" vertical="center"/>
    </xf>
    <xf numFmtId="4" fontId="18" fillId="0" borderId="64" xfId="0" applyNumberFormat="1" applyFont="1" applyFill="1" applyBorder="1"/>
    <xf numFmtId="0" fontId="30" fillId="0" borderId="66" xfId="0" applyFont="1" applyFill="1" applyBorder="1"/>
    <xf numFmtId="4" fontId="0" fillId="0" borderId="69" xfId="0" applyNumberFormat="1" applyFont="1" applyFill="1" applyBorder="1" applyAlignment="1">
      <alignment vertical="center"/>
    </xf>
    <xf numFmtId="4" fontId="18" fillId="0" borderId="11" xfId="0" applyNumberFormat="1" applyFont="1" applyFill="1" applyBorder="1" applyAlignment="1">
      <alignment shrinkToFit="1"/>
    </xf>
    <xf numFmtId="4" fontId="18" fillId="0" borderId="2" xfId="0" applyNumberFormat="1" applyFont="1" applyFill="1" applyBorder="1" applyAlignment="1">
      <alignment shrinkToFit="1"/>
    </xf>
    <xf numFmtId="0" fontId="56" fillId="0" borderId="0" xfId="0" applyFont="1" applyFill="1" applyAlignment="1">
      <alignment horizontal="left"/>
    </xf>
    <xf numFmtId="4" fontId="24" fillId="0" borderId="62" xfId="0" applyNumberFormat="1" applyFont="1" applyFill="1" applyBorder="1"/>
    <xf numFmtId="4" fontId="24" fillId="0" borderId="10" xfId="0" applyNumberFormat="1" applyFont="1" applyFill="1" applyBorder="1" applyAlignment="1">
      <alignment vertical="center"/>
    </xf>
    <xf numFmtId="4" fontId="4" fillId="0" borderId="65" xfId="0" applyNumberFormat="1" applyFont="1" applyFill="1" applyBorder="1" applyAlignment="1">
      <alignment vertical="center"/>
    </xf>
    <xf numFmtId="4" fontId="0" fillId="0" borderId="63" xfId="0" applyNumberFormat="1" applyFont="1" applyFill="1" applyBorder="1" applyAlignment="1">
      <alignment vertical="center"/>
    </xf>
    <xf numFmtId="4" fontId="0" fillId="0" borderId="70" xfId="0" applyNumberFormat="1" applyFont="1" applyFill="1" applyBorder="1" applyAlignment="1">
      <alignment vertical="center"/>
    </xf>
    <xf numFmtId="4" fontId="0" fillId="0" borderId="66" xfId="0" applyNumberFormat="1" applyFont="1" applyFill="1" applyBorder="1" applyAlignment="1">
      <alignment vertical="center"/>
    </xf>
    <xf numFmtId="4" fontId="0" fillId="0" borderId="79" xfId="0" applyNumberFormat="1" applyFont="1" applyFill="1" applyBorder="1" applyAlignment="1">
      <alignment vertical="center"/>
    </xf>
    <xf numFmtId="4" fontId="44" fillId="0" borderId="63" xfId="0" applyNumberFormat="1" applyFont="1" applyFill="1" applyBorder="1" applyAlignment="1">
      <alignment vertical="center"/>
    </xf>
    <xf numFmtId="4" fontId="0" fillId="0" borderId="34" xfId="0" applyNumberFormat="1" applyFont="1" applyFill="1" applyBorder="1" applyAlignment="1">
      <alignment vertical="center"/>
    </xf>
    <xf numFmtId="4" fontId="0" fillId="0" borderId="81" xfId="0" applyNumberFormat="1" applyFont="1" applyFill="1" applyBorder="1" applyAlignment="1">
      <alignment vertical="center"/>
    </xf>
    <xf numFmtId="4" fontId="4" fillId="0" borderId="66" xfId="0" applyNumberFormat="1" applyFont="1" applyFill="1" applyBorder="1" applyAlignment="1">
      <alignment vertical="center"/>
    </xf>
    <xf numFmtId="4" fontId="45" fillId="0" borderId="64" xfId="0" applyNumberFormat="1" applyFont="1" applyFill="1" applyBorder="1"/>
    <xf numFmtId="0" fontId="3" fillId="0" borderId="67" xfId="0" applyFont="1" applyFill="1" applyBorder="1"/>
    <xf numFmtId="4" fontId="0" fillId="0" borderId="67" xfId="0" applyNumberFormat="1" applyFont="1" applyFill="1" applyBorder="1" applyAlignment="1">
      <alignment vertical="center"/>
    </xf>
    <xf numFmtId="0" fontId="0" fillId="0" borderId="63" xfId="0" applyFont="1" applyFill="1" applyBorder="1" applyAlignment="1">
      <alignment vertical="center"/>
    </xf>
    <xf numFmtId="0" fontId="30" fillId="0" borderId="63" xfId="0" applyFont="1" applyFill="1" applyBorder="1" applyAlignment="1">
      <alignment vertical="center"/>
    </xf>
    <xf numFmtId="4" fontId="0" fillId="0" borderId="17" xfId="0" applyNumberFormat="1" applyFont="1" applyFill="1" applyBorder="1" applyAlignment="1">
      <alignment vertical="center" shrinkToFit="1"/>
    </xf>
    <xf numFmtId="4" fontId="18" fillId="0" borderId="15" xfId="0" applyNumberFormat="1" applyFont="1" applyFill="1" applyBorder="1" applyAlignment="1">
      <alignment shrinkToFit="1"/>
    </xf>
    <xf numFmtId="4" fontId="4" fillId="0" borderId="20" xfId="0" applyNumberFormat="1" applyFont="1" applyFill="1" applyBorder="1" applyAlignment="1">
      <alignment vertical="center"/>
    </xf>
    <xf numFmtId="4" fontId="24" fillId="0" borderId="96" xfId="0" applyNumberFormat="1" applyFont="1" applyFill="1" applyBorder="1" applyAlignment="1">
      <alignment horizontal="center" vertical="center" wrapText="1"/>
    </xf>
    <xf numFmtId="4" fontId="24" fillId="0" borderId="97" xfId="0" applyNumberFormat="1" applyFont="1" applyFill="1" applyBorder="1" applyAlignment="1">
      <alignment horizontal="center" vertical="center" wrapText="1"/>
    </xf>
    <xf numFmtId="4" fontId="24" fillId="0" borderId="98" xfId="0" applyNumberFormat="1" applyFont="1" applyFill="1" applyBorder="1" applyAlignment="1">
      <alignment shrinkToFit="1"/>
    </xf>
    <xf numFmtId="4" fontId="4" fillId="0" borderId="99" xfId="0" applyNumberFormat="1" applyFont="1" applyFill="1" applyBorder="1" applyAlignment="1">
      <alignment vertical="center"/>
    </xf>
    <xf numFmtId="4" fontId="24" fillId="0" borderId="101" xfId="0" applyNumberFormat="1" applyFont="1" applyFill="1" applyBorder="1"/>
    <xf numFmtId="4" fontId="24" fillId="0" borderId="97" xfId="0" applyNumberFormat="1" applyFont="1" applyFill="1" applyBorder="1"/>
    <xf numFmtId="4" fontId="6" fillId="0" borderId="101" xfId="0" applyNumberFormat="1" applyFont="1" applyFill="1" applyBorder="1" applyAlignment="1">
      <alignment vertical="center" shrinkToFit="1"/>
    </xf>
    <xf numFmtId="0" fontId="30" fillId="0" borderId="97" xfId="0" applyFont="1" applyFill="1" applyBorder="1"/>
    <xf numFmtId="4" fontId="5" fillId="0" borderId="97" xfId="0" applyNumberFormat="1" applyFont="1" applyFill="1" applyBorder="1" applyAlignment="1">
      <alignment shrinkToFit="1"/>
    </xf>
    <xf numFmtId="4" fontId="21" fillId="0" borderId="97" xfId="0" applyNumberFormat="1" applyFont="1" applyFill="1" applyBorder="1" applyAlignment="1">
      <alignment shrinkToFit="1"/>
    </xf>
    <xf numFmtId="4" fontId="6" fillId="0" borderId="97" xfId="0" applyNumberFormat="1" applyFont="1" applyFill="1" applyBorder="1"/>
    <xf numFmtId="4" fontId="6" fillId="0" borderId="104" xfId="0" applyNumberFormat="1" applyFont="1" applyFill="1" applyBorder="1"/>
    <xf numFmtId="4" fontId="18" fillId="0" borderId="101" xfId="0" applyNumberFormat="1" applyFont="1" applyFill="1" applyBorder="1" applyAlignment="1">
      <alignment vertical="center"/>
    </xf>
    <xf numFmtId="4" fontId="29" fillId="0" borderId="97" xfId="0" applyNumberFormat="1" applyFont="1" applyFill="1" applyBorder="1" applyAlignment="1">
      <alignment vertical="center"/>
    </xf>
    <xf numFmtId="4" fontId="18" fillId="0" borderId="97" xfId="0" applyNumberFormat="1" applyFont="1" applyFill="1" applyBorder="1"/>
    <xf numFmtId="4" fontId="29" fillId="0" borderId="104" xfId="0" applyNumberFormat="1" applyFont="1" applyFill="1" applyBorder="1"/>
    <xf numFmtId="4" fontId="18" fillId="0" borderId="101" xfId="0" applyNumberFormat="1" applyFont="1" applyFill="1" applyBorder="1" applyAlignment="1">
      <alignment shrinkToFit="1"/>
    </xf>
    <xf numFmtId="4" fontId="18" fillId="0" borderId="97" xfId="0" applyNumberFormat="1" applyFont="1" applyFill="1" applyBorder="1" applyAlignment="1">
      <alignment shrinkToFit="1"/>
    </xf>
    <xf numFmtId="4" fontId="18" fillId="0" borderId="97" xfId="0" applyNumberFormat="1" applyFont="1" applyFill="1" applyBorder="1" applyAlignment="1">
      <alignment vertical="center"/>
    </xf>
    <xf numFmtId="4" fontId="18" fillId="0" borderId="104" xfId="0" applyNumberFormat="1" applyFont="1" applyFill="1" applyBorder="1" applyAlignment="1">
      <alignment vertical="center"/>
    </xf>
    <xf numFmtId="4" fontId="21" fillId="0" borderId="97" xfId="0" applyNumberFormat="1" applyFont="1" applyFill="1" applyBorder="1" applyAlignment="1">
      <alignment vertical="center"/>
    </xf>
    <xf numFmtId="4" fontId="29" fillId="0" borderId="97" xfId="0" applyNumberFormat="1" applyFont="1" applyFill="1" applyBorder="1"/>
    <xf numFmtId="4" fontId="21" fillId="0" borderId="106" xfId="0" applyNumberFormat="1" applyFont="1" applyFill="1" applyBorder="1"/>
    <xf numFmtId="4" fontId="21" fillId="0" borderId="107" xfId="0" applyNumberFormat="1" applyFont="1" applyFill="1" applyBorder="1"/>
    <xf numFmtId="4" fontId="5" fillId="0" borderId="94" xfId="0" applyNumberFormat="1" applyFont="1" applyBorder="1" applyAlignment="1">
      <alignment horizontal="center" vertical="center" wrapText="1"/>
    </xf>
    <xf numFmtId="4" fontId="5" fillId="0" borderId="95" xfId="0" applyNumberFormat="1" applyFont="1" applyBorder="1" applyAlignment="1">
      <alignment horizontal="center" vertical="center" wrapText="1"/>
    </xf>
    <xf numFmtId="4" fontId="4" fillId="0" borderId="65" xfId="0" applyNumberFormat="1" applyFont="1" applyFill="1" applyBorder="1"/>
    <xf numFmtId="4" fontId="4" fillId="0" borderId="63" xfId="0" applyNumberFormat="1" applyFont="1" applyFill="1" applyBorder="1"/>
    <xf numFmtId="4" fontId="4" fillId="0" borderId="66" xfId="0" applyNumberFormat="1" applyFont="1" applyFill="1" applyBorder="1"/>
    <xf numFmtId="4" fontId="4" fillId="0" borderId="63" xfId="0" applyNumberFormat="1" applyFont="1" applyFill="1" applyBorder="1" applyAlignment="1">
      <alignment vertical="center" shrinkToFit="1"/>
    </xf>
    <xf numFmtId="4" fontId="4" fillId="0" borderId="67" xfId="0" applyNumberFormat="1" applyFont="1" applyFill="1" applyBorder="1" applyAlignment="1">
      <alignment vertical="center"/>
    </xf>
    <xf numFmtId="4" fontId="24" fillId="0" borderId="3" xfId="0" applyNumberFormat="1" applyFont="1" applyFill="1" applyBorder="1"/>
    <xf numFmtId="4" fontId="30" fillId="0" borderId="63" xfId="0" applyNumberFormat="1" applyFont="1" applyFill="1" applyBorder="1" applyAlignment="1">
      <alignment vertical="center"/>
    </xf>
    <xf numFmtId="4" fontId="6" fillId="0" borderId="62" xfId="0" applyNumberFormat="1" applyFont="1" applyFill="1" applyBorder="1" applyAlignment="1">
      <alignment vertical="center" shrinkToFit="1"/>
    </xf>
    <xf numFmtId="4" fontId="5" fillId="0" borderId="62" xfId="0" applyNumberFormat="1" applyFont="1" applyFill="1" applyBorder="1" applyAlignment="1">
      <alignment shrinkToFit="1"/>
    </xf>
    <xf numFmtId="0" fontId="3" fillId="0" borderId="88" xfId="0" applyFont="1" applyFill="1" applyBorder="1" applyAlignment="1">
      <alignment vertical="center"/>
    </xf>
    <xf numFmtId="0" fontId="0" fillId="0" borderId="88" xfId="0" applyFont="1" applyFill="1" applyBorder="1" applyAlignment="1">
      <alignment vertical="center"/>
    </xf>
    <xf numFmtId="0" fontId="44" fillId="0" borderId="89" xfId="0" applyFont="1" applyFill="1" applyBorder="1" applyAlignment="1">
      <alignment vertical="center"/>
    </xf>
    <xf numFmtId="0" fontId="3" fillId="0" borderId="110" xfId="0" applyFont="1" applyFill="1" applyBorder="1" applyAlignment="1">
      <alignment vertical="center"/>
    </xf>
    <xf numFmtId="0" fontId="30" fillId="0" borderId="111" xfId="0" applyFont="1" applyFill="1" applyBorder="1" applyAlignment="1">
      <alignment vertical="center" wrapText="1"/>
    </xf>
    <xf numFmtId="0" fontId="4" fillId="0" borderId="89" xfId="0" applyFont="1" applyFill="1" applyBorder="1" applyAlignment="1">
      <alignment vertical="center" wrapText="1"/>
    </xf>
    <xf numFmtId="0" fontId="30" fillId="0" borderId="89" xfId="0" applyFont="1" applyFill="1" applyBorder="1" applyAlignment="1">
      <alignment vertical="center" wrapText="1"/>
    </xf>
    <xf numFmtId="0" fontId="0" fillId="0" borderId="84" xfId="0" applyFont="1" applyFill="1" applyBorder="1" applyAlignment="1" applyProtection="1">
      <alignment vertical="center"/>
      <protection locked="0"/>
    </xf>
    <xf numFmtId="0" fontId="0" fillId="0" borderId="85" xfId="0" applyFont="1" applyFill="1" applyBorder="1" applyAlignment="1" applyProtection="1">
      <alignment vertical="center"/>
      <protection locked="0"/>
    </xf>
    <xf numFmtId="0" fontId="30" fillId="0" borderId="85" xfId="0" applyFont="1" applyFill="1" applyBorder="1" applyAlignment="1">
      <alignment vertical="center"/>
    </xf>
    <xf numFmtId="0" fontId="7" fillId="0" borderId="78" xfId="0" applyFont="1" applyBorder="1" applyAlignment="1">
      <alignment horizontal="center" vertical="center" wrapText="1"/>
    </xf>
    <xf numFmtId="0" fontId="3" fillId="0" borderId="80" xfId="0" applyFont="1" applyBorder="1"/>
    <xf numFmtId="0" fontId="6" fillId="0" borderId="80" xfId="0" applyFont="1" applyBorder="1"/>
    <xf numFmtId="0" fontId="30" fillId="0" borderId="63" xfId="0" applyFont="1" applyFill="1" applyBorder="1" applyAlignment="1">
      <alignment horizontal="right" vertical="center"/>
    </xf>
    <xf numFmtId="0" fontId="0" fillId="0" borderId="63" xfId="0" applyFont="1" applyFill="1" applyBorder="1" applyAlignment="1">
      <alignment horizontal="right" vertical="center"/>
    </xf>
    <xf numFmtId="0" fontId="3" fillId="0" borderId="63" xfId="0" applyFont="1" applyFill="1" applyBorder="1" applyAlignment="1">
      <alignment horizontal="right" vertical="center"/>
    </xf>
    <xf numFmtId="0" fontId="30" fillId="0" borderId="80" xfId="0" applyFont="1" applyBorder="1"/>
    <xf numFmtId="0" fontId="3" fillId="0" borderId="63" xfId="0" applyFont="1" applyFill="1" applyBorder="1" applyAlignment="1">
      <alignment vertical="center"/>
    </xf>
    <xf numFmtId="0" fontId="30" fillId="3" borderId="80" xfId="0" applyFont="1" applyFill="1" applyBorder="1"/>
    <xf numFmtId="0" fontId="21" fillId="3" borderId="80" xfId="0" applyFont="1" applyFill="1" applyBorder="1"/>
    <xf numFmtId="0" fontId="36" fillId="3" borderId="80" xfId="0" applyFont="1" applyFill="1" applyBorder="1"/>
    <xf numFmtId="0" fontId="3" fillId="3" borderId="80" xfId="0" applyFont="1" applyFill="1" applyBorder="1"/>
    <xf numFmtId="0" fontId="28" fillId="3" borderId="80" xfId="0" applyFont="1" applyFill="1" applyBorder="1"/>
    <xf numFmtId="0" fontId="5" fillId="3" borderId="80" xfId="0" applyFont="1" applyFill="1" applyBorder="1" applyAlignment="1">
      <alignment vertical="center"/>
    </xf>
    <xf numFmtId="0" fontId="5" fillId="3" borderId="80" xfId="0" applyFont="1" applyFill="1" applyBorder="1"/>
    <xf numFmtId="0" fontId="38" fillId="0" borderId="79" xfId="0" applyFont="1" applyFill="1" applyBorder="1" applyAlignment="1">
      <alignment vertical="center"/>
    </xf>
    <xf numFmtId="0" fontId="38" fillId="0" borderId="66" xfId="0" applyFont="1" applyFill="1" applyBorder="1" applyAlignment="1">
      <alignment vertical="center"/>
    </xf>
    <xf numFmtId="0" fontId="8" fillId="0" borderId="79" xfId="0" applyFont="1" applyFill="1" applyBorder="1" applyAlignment="1">
      <alignment vertical="center"/>
    </xf>
    <xf numFmtId="0" fontId="38" fillId="0" borderId="81" xfId="0" applyFont="1" applyFill="1" applyBorder="1" applyAlignment="1">
      <alignment vertical="center"/>
    </xf>
    <xf numFmtId="0" fontId="30" fillId="3" borderId="80" xfId="0" applyFont="1" applyFill="1" applyBorder="1" applyAlignment="1">
      <alignment vertical="center"/>
    </xf>
    <xf numFmtId="0" fontId="5" fillId="0" borderId="80" xfId="0" applyFont="1" applyFill="1" applyBorder="1"/>
    <xf numFmtId="0" fontId="30" fillId="0" borderId="91" xfId="0" applyFont="1" applyFill="1" applyBorder="1"/>
    <xf numFmtId="0" fontId="30" fillId="0" borderId="64" xfId="0" applyFont="1" applyBorder="1" applyAlignment="1">
      <alignment vertical="center"/>
    </xf>
    <xf numFmtId="0" fontId="5" fillId="0" borderId="80" xfId="0" applyFont="1" applyBorder="1"/>
    <xf numFmtId="0" fontId="30" fillId="0" borderId="109" xfId="0" applyFont="1" applyBorder="1" applyAlignment="1">
      <alignment vertical="center"/>
    </xf>
    <xf numFmtId="0" fontId="11" fillId="0" borderId="73" xfId="0" applyFont="1" applyFill="1" applyBorder="1" applyAlignment="1" applyProtection="1">
      <alignment horizontal="right" vertical="center"/>
      <protection locked="0"/>
    </xf>
    <xf numFmtId="0" fontId="11" fillId="0" borderId="67" xfId="0" applyFont="1" applyFill="1" applyBorder="1" applyAlignment="1" applyProtection="1">
      <alignment horizontal="right" vertical="center"/>
      <protection locked="0"/>
    </xf>
    <xf numFmtId="0" fontId="6" fillId="0" borderId="80" xfId="0" applyFont="1" applyFill="1" applyBorder="1" applyAlignment="1">
      <alignment horizontal="center" vertical="center"/>
    </xf>
    <xf numFmtId="0" fontId="4" fillId="0" borderId="66" xfId="0" applyFont="1" applyFill="1" applyBorder="1" applyAlignment="1">
      <alignment vertical="center"/>
    </xf>
    <xf numFmtId="0" fontId="4" fillId="0" borderId="70" xfId="0" applyFont="1" applyFill="1" applyBorder="1" applyAlignment="1">
      <alignment vertical="center"/>
    </xf>
    <xf numFmtId="0" fontId="20" fillId="0" borderId="71" xfId="0" applyFont="1" applyFill="1" applyBorder="1"/>
    <xf numFmtId="4" fontId="0" fillId="0" borderId="114" xfId="0" applyNumberFormat="1" applyFont="1" applyFill="1" applyBorder="1" applyAlignment="1">
      <alignment vertical="center"/>
    </xf>
    <xf numFmtId="4" fontId="18" fillId="0" borderId="108" xfId="0" applyNumberFormat="1" applyFont="1" applyFill="1" applyBorder="1"/>
    <xf numFmtId="4" fontId="18" fillId="0" borderId="62" xfId="0" applyNumberFormat="1" applyFont="1" applyFill="1" applyBorder="1" applyAlignment="1">
      <alignment vertical="center"/>
    </xf>
    <xf numFmtId="4" fontId="6" fillId="0" borderId="62" xfId="0" applyNumberFormat="1" applyFont="1" applyFill="1" applyBorder="1"/>
    <xf numFmtId="4" fontId="29" fillId="0" borderId="113" xfId="0" applyNumberFormat="1" applyFont="1" applyFill="1" applyBorder="1"/>
    <xf numFmtId="0" fontId="24" fillId="0" borderId="0" xfId="0" applyFont="1" applyAlignment="1">
      <alignment horizontal="right"/>
    </xf>
    <xf numFmtId="4" fontId="5" fillId="0" borderId="62" xfId="0" applyNumberFormat="1" applyFont="1" applyBorder="1" applyAlignment="1">
      <alignment horizontal="center" vertical="center" wrapText="1"/>
    </xf>
    <xf numFmtId="4" fontId="4" fillId="0" borderId="62" xfId="0" applyNumberFormat="1" applyFont="1" applyFill="1" applyBorder="1" applyAlignment="1">
      <alignment vertical="center"/>
    </xf>
    <xf numFmtId="0" fontId="6" fillId="0" borderId="78" xfId="0" applyFont="1" applyBorder="1" applyAlignment="1">
      <alignment horizontal="center" vertical="center" wrapText="1"/>
    </xf>
    <xf numFmtId="0" fontId="21" fillId="0" borderId="80" xfId="0" applyFont="1" applyFill="1" applyBorder="1"/>
    <xf numFmtId="0" fontId="6" fillId="0" borderId="80" xfId="0" applyFont="1" applyFill="1" applyBorder="1" applyAlignment="1">
      <alignment vertical="center" wrapText="1"/>
    </xf>
    <xf numFmtId="0" fontId="6" fillId="0" borderId="80" xfId="0" applyFont="1" applyFill="1" applyBorder="1"/>
    <xf numFmtId="0" fontId="20" fillId="0" borderId="80" xfId="0" applyFont="1" applyFill="1" applyBorder="1"/>
    <xf numFmtId="0" fontId="21" fillId="0" borderId="80" xfId="0" applyFont="1" applyFill="1" applyBorder="1" applyAlignment="1">
      <alignment vertical="center"/>
    </xf>
    <xf numFmtId="0" fontId="21" fillId="0" borderId="109" xfId="0" applyFont="1" applyFill="1" applyBorder="1" applyAlignment="1">
      <alignment vertical="center"/>
    </xf>
    <xf numFmtId="0" fontId="21" fillId="0" borderId="64" xfId="0" applyFont="1" applyBorder="1" applyAlignment="1">
      <alignment wrapText="1"/>
    </xf>
    <xf numFmtId="0" fontId="29" fillId="0" borderId="109" xfId="0" applyFont="1" applyFill="1" applyBorder="1" applyAlignment="1">
      <alignment vertical="center"/>
    </xf>
    <xf numFmtId="0" fontId="29" fillId="0" borderId="80" xfId="0" applyFont="1" applyFill="1" applyBorder="1"/>
    <xf numFmtId="0" fontId="16" fillId="0" borderId="0" xfId="0" applyFont="1"/>
    <xf numFmtId="0" fontId="40" fillId="0" borderId="0" xfId="0" applyFont="1"/>
    <xf numFmtId="0" fontId="24" fillId="0" borderId="0" xfId="0" applyFont="1"/>
    <xf numFmtId="0" fontId="16" fillId="0" borderId="0" xfId="0" applyFont="1" applyFill="1"/>
    <xf numFmtId="0" fontId="23" fillId="0" borderId="0" xfId="0" applyFont="1"/>
    <xf numFmtId="0" fontId="16" fillId="0" borderId="0" xfId="0" applyFont="1" applyFill="1" applyBorder="1"/>
    <xf numFmtId="0" fontId="3" fillId="7" borderId="0" xfId="0" applyFont="1" applyFill="1"/>
    <xf numFmtId="0" fontId="30" fillId="7" borderId="0" xfId="0" applyFont="1" applyFill="1"/>
    <xf numFmtId="0" fontId="4" fillId="0" borderId="63" xfId="0" applyFont="1" applyFill="1" applyBorder="1" applyAlignment="1">
      <alignment horizontal="right" vertical="center"/>
    </xf>
    <xf numFmtId="4" fontId="64" fillId="0" borderId="63" xfId="0" applyNumberFormat="1" applyFont="1" applyFill="1" applyBorder="1" applyAlignment="1">
      <alignment vertical="center"/>
    </xf>
    <xf numFmtId="0" fontId="64" fillId="0" borderId="63" xfId="0" applyFont="1" applyFill="1" applyBorder="1" applyAlignment="1">
      <alignment horizontal="right" vertical="center"/>
    </xf>
    <xf numFmtId="0" fontId="49" fillId="0" borderId="63" xfId="0" applyFont="1" applyFill="1" applyBorder="1" applyAlignment="1">
      <alignment horizontal="right" vertical="center"/>
    </xf>
    <xf numFmtId="0" fontId="0" fillId="0" borderId="70" xfId="0" applyFont="1" applyFill="1" applyBorder="1" applyAlignment="1">
      <alignment horizontal="right" vertical="center"/>
    </xf>
    <xf numFmtId="4" fontId="0" fillId="0" borderId="74" xfId="0" applyNumberFormat="1" applyFont="1" applyFill="1" applyBorder="1" applyAlignment="1">
      <alignment vertical="center"/>
    </xf>
    <xf numFmtId="4" fontId="0" fillId="0" borderId="121" xfId="0" applyNumberFormat="1" applyFont="1" applyFill="1" applyBorder="1" applyAlignment="1">
      <alignment vertical="center"/>
    </xf>
    <xf numFmtId="4" fontId="0" fillId="0" borderId="115" xfId="0" applyNumberFormat="1" applyFont="1" applyFill="1" applyBorder="1" applyAlignment="1">
      <alignment vertical="center"/>
    </xf>
    <xf numFmtId="9" fontId="3" fillId="0" borderId="0" xfId="0" applyNumberFormat="1" applyFont="1"/>
    <xf numFmtId="0" fontId="3" fillId="0" borderId="70" xfId="0" applyFont="1" applyFill="1" applyBorder="1" applyAlignment="1">
      <alignment vertical="center"/>
    </xf>
    <xf numFmtId="0" fontId="3" fillId="0" borderId="66" xfId="0" applyFont="1" applyFill="1" applyBorder="1" applyAlignment="1">
      <alignment vertical="center"/>
    </xf>
    <xf numFmtId="4" fontId="21" fillId="0" borderId="67" xfId="0" applyNumberFormat="1" applyFont="1" applyFill="1" applyBorder="1"/>
    <xf numFmtId="4" fontId="0" fillId="0" borderId="123" xfId="0" applyNumberFormat="1" applyFont="1" applyFill="1" applyBorder="1"/>
    <xf numFmtId="0" fontId="8" fillId="0" borderId="81" xfId="0" applyFont="1" applyFill="1" applyBorder="1" applyAlignment="1">
      <alignment vertical="center"/>
    </xf>
    <xf numFmtId="0" fontId="0" fillId="0" borderId="110" xfId="0" applyFont="1" applyFill="1" applyBorder="1" applyAlignment="1">
      <alignment vertical="center"/>
    </xf>
    <xf numFmtId="4" fontId="0" fillId="0" borderId="38" xfId="0" applyNumberFormat="1" applyFont="1" applyFill="1" applyBorder="1" applyAlignment="1">
      <alignment vertical="center"/>
    </xf>
    <xf numFmtId="4" fontId="0" fillId="0" borderId="126" xfId="0" applyNumberFormat="1" applyFont="1" applyFill="1" applyBorder="1" applyAlignment="1">
      <alignment vertical="center"/>
    </xf>
    <xf numFmtId="0" fontId="8" fillId="0" borderId="124" xfId="0" applyFont="1" applyFill="1" applyBorder="1" applyAlignment="1">
      <alignment vertical="center"/>
    </xf>
    <xf numFmtId="0" fontId="3" fillId="0" borderId="127" xfId="0" applyFont="1" applyFill="1" applyBorder="1" applyAlignment="1">
      <alignment vertical="center"/>
    </xf>
    <xf numFmtId="4" fontId="0" fillId="0" borderId="128" xfId="0" applyNumberFormat="1" applyFont="1" applyFill="1" applyBorder="1" applyAlignment="1">
      <alignment vertical="center"/>
    </xf>
    <xf numFmtId="4" fontId="0" fillId="0" borderId="124" xfId="0" applyNumberFormat="1" applyFont="1" applyFill="1" applyBorder="1" applyAlignment="1">
      <alignment vertical="center"/>
    </xf>
    <xf numFmtId="4" fontId="0" fillId="0" borderId="129" xfId="0" applyNumberFormat="1" applyFont="1" applyFill="1" applyBorder="1" applyAlignment="1">
      <alignment vertical="center"/>
    </xf>
    <xf numFmtId="4" fontId="0" fillId="0" borderId="125" xfId="0" applyNumberFormat="1" applyFont="1" applyFill="1" applyBorder="1" applyAlignment="1">
      <alignment vertical="center"/>
    </xf>
    <xf numFmtId="4" fontId="18" fillId="0" borderId="116" xfId="0" applyNumberFormat="1" applyFont="1" applyFill="1" applyBorder="1" applyAlignment="1">
      <alignment vertical="center"/>
    </xf>
    <xf numFmtId="4" fontId="18" fillId="0" borderId="117" xfId="0" applyNumberFormat="1" applyFont="1" applyFill="1" applyBorder="1" applyAlignment="1">
      <alignment vertical="center"/>
    </xf>
    <xf numFmtId="4" fontId="18" fillId="0" borderId="64" xfId="0" applyNumberFormat="1" applyFont="1" applyFill="1" applyBorder="1" applyAlignment="1">
      <alignment vertical="center"/>
    </xf>
    <xf numFmtId="4" fontId="0" fillId="0" borderId="132" xfId="0" applyNumberFormat="1" applyFont="1" applyFill="1" applyBorder="1" applyAlignment="1">
      <alignment vertical="center"/>
    </xf>
    <xf numFmtId="0" fontId="30" fillId="0" borderId="133" xfId="0" applyFont="1" applyFill="1" applyBorder="1"/>
    <xf numFmtId="4" fontId="0" fillId="0" borderId="76" xfId="0" applyNumberFormat="1" applyFont="1" applyFill="1" applyBorder="1" applyAlignment="1">
      <alignment vertical="center"/>
    </xf>
    <xf numFmtId="4" fontId="4" fillId="0" borderId="74" xfId="0" applyNumberFormat="1" applyFont="1" applyFill="1" applyBorder="1" applyAlignment="1">
      <alignment vertical="center"/>
    </xf>
    <xf numFmtId="4" fontId="3" fillId="0" borderId="0" xfId="0" applyNumberFormat="1" applyFont="1"/>
    <xf numFmtId="0" fontId="44" fillId="0" borderId="63" xfId="0" applyFont="1" applyFill="1" applyBorder="1" applyAlignment="1">
      <alignment vertical="center"/>
    </xf>
    <xf numFmtId="0" fontId="3" fillId="0" borderId="115" xfId="0" applyFont="1" applyFill="1" applyBorder="1" applyAlignment="1">
      <alignment vertical="center"/>
    </xf>
    <xf numFmtId="4" fontId="4" fillId="0" borderId="89" xfId="0" applyNumberFormat="1" applyFont="1" applyFill="1" applyBorder="1" applyAlignment="1">
      <alignment vertical="center"/>
    </xf>
    <xf numFmtId="4" fontId="4" fillId="0" borderId="138" xfId="0" applyNumberFormat="1" applyFont="1" applyFill="1" applyBorder="1" applyAlignment="1">
      <alignment vertical="center"/>
    </xf>
    <xf numFmtId="4" fontId="0" fillId="0" borderId="138" xfId="0" applyNumberFormat="1" applyFont="1" applyFill="1" applyBorder="1" applyAlignment="1">
      <alignment vertical="center"/>
    </xf>
    <xf numFmtId="0" fontId="16" fillId="0" borderId="0" xfId="0" applyFont="1" applyBorder="1"/>
    <xf numFmtId="0" fontId="56" fillId="0" borderId="0" xfId="0" applyFont="1" applyBorder="1" applyAlignment="1">
      <alignment vertical="center"/>
    </xf>
    <xf numFmtId="0" fontId="23" fillId="0" borderId="0" xfId="0" applyFont="1" applyBorder="1"/>
    <xf numFmtId="0" fontId="24" fillId="0" borderId="0" xfId="0" applyFont="1" applyBorder="1"/>
    <xf numFmtId="0" fontId="55" fillId="0" borderId="0" xfId="0" applyFont="1" applyBorder="1" applyAlignment="1">
      <alignment vertical="center"/>
    </xf>
    <xf numFmtId="0" fontId="5" fillId="0" borderId="0" xfId="0" applyFont="1" applyBorder="1"/>
    <xf numFmtId="0" fontId="5" fillId="0" borderId="0" xfId="0" applyFont="1" applyBorder="1" applyAlignment="1">
      <alignment vertical="center"/>
    </xf>
    <xf numFmtId="0" fontId="30" fillId="0" borderId="0" xfId="0" applyFont="1" applyBorder="1"/>
    <xf numFmtId="4" fontId="5" fillId="6" borderId="0" xfId="0" applyNumberFormat="1" applyFont="1" applyFill="1" applyBorder="1" applyAlignment="1">
      <alignment vertical="center"/>
    </xf>
    <xf numFmtId="4" fontId="4" fillId="0" borderId="139" xfId="0" applyNumberFormat="1" applyFont="1" applyFill="1" applyBorder="1" applyAlignment="1">
      <alignment vertical="center"/>
    </xf>
    <xf numFmtId="4" fontId="4" fillId="0" borderId="123" xfId="0" applyNumberFormat="1" applyFont="1" applyFill="1" applyBorder="1" applyAlignment="1">
      <alignment vertical="center"/>
    </xf>
    <xf numFmtId="4" fontId="44" fillId="0" borderId="0" xfId="0" applyNumberFormat="1" applyFont="1" applyFill="1" applyBorder="1" applyAlignment="1">
      <alignment vertical="center"/>
    </xf>
    <xf numFmtId="4" fontId="44" fillId="0" borderId="66" xfId="0" applyNumberFormat="1" applyFont="1" applyFill="1" applyBorder="1" applyAlignment="1">
      <alignment vertical="center"/>
    </xf>
    <xf numFmtId="4" fontId="0" fillId="0" borderId="124" xfId="0" applyNumberFormat="1" applyFont="1" applyFill="1" applyBorder="1"/>
    <xf numFmtId="4" fontId="0" fillId="0" borderId="128" xfId="0" applyNumberFormat="1" applyFont="1" applyFill="1" applyBorder="1"/>
    <xf numFmtId="4" fontId="44" fillId="0" borderId="142" xfId="0" applyNumberFormat="1" applyFont="1" applyFill="1" applyBorder="1" applyAlignment="1">
      <alignment vertical="center"/>
    </xf>
    <xf numFmtId="0" fontId="20" fillId="0" borderId="0" xfId="0" applyFont="1" applyFill="1" applyBorder="1"/>
    <xf numFmtId="4" fontId="0" fillId="0" borderId="123" xfId="0" applyNumberFormat="1" applyFont="1" applyFill="1" applyBorder="1" applyAlignment="1">
      <alignment vertical="center"/>
    </xf>
    <xf numFmtId="4" fontId="0" fillId="0" borderId="141" xfId="0" applyNumberFormat="1" applyFont="1" applyFill="1" applyBorder="1" applyAlignment="1">
      <alignment vertical="center"/>
    </xf>
    <xf numFmtId="4" fontId="0" fillId="0" borderId="120" xfId="0" applyNumberFormat="1" applyFont="1" applyFill="1" applyBorder="1" applyAlignment="1">
      <alignment vertical="center"/>
    </xf>
    <xf numFmtId="4" fontId="0" fillId="0" borderId="153" xfId="0" applyNumberFormat="1" applyFont="1" applyFill="1" applyBorder="1" applyAlignment="1">
      <alignment vertical="center"/>
    </xf>
    <xf numFmtId="4" fontId="18" fillId="0" borderId="154" xfId="0" applyNumberFormat="1" applyFont="1" applyFill="1" applyBorder="1" applyAlignment="1">
      <alignment vertical="center"/>
    </xf>
    <xf numFmtId="4" fontId="4" fillId="0" borderId="46" xfId="0" applyNumberFormat="1" applyFont="1" applyFill="1" applyBorder="1" applyAlignment="1">
      <alignment vertical="center" wrapText="1"/>
    </xf>
    <xf numFmtId="0" fontId="4" fillId="0" borderId="19" xfId="0" applyFont="1" applyFill="1" applyBorder="1"/>
    <xf numFmtId="4" fontId="18" fillId="0" borderId="155" xfId="0" applyNumberFormat="1" applyFont="1" applyFill="1" applyBorder="1" applyAlignment="1">
      <alignment vertical="center"/>
    </xf>
    <xf numFmtId="4" fontId="0" fillId="0" borderId="41" xfId="0" applyNumberFormat="1" applyFont="1" applyFill="1" applyBorder="1" applyAlignment="1">
      <alignment vertical="center"/>
    </xf>
    <xf numFmtId="4" fontId="4" fillId="0" borderId="66" xfId="0" applyNumberFormat="1" applyFont="1" applyFill="1" applyBorder="1" applyAlignment="1">
      <alignment horizontal="right" vertical="center"/>
    </xf>
    <xf numFmtId="0" fontId="8" fillId="0" borderId="66" xfId="0" applyFont="1" applyFill="1" applyBorder="1" applyAlignment="1">
      <alignment vertical="center"/>
    </xf>
    <xf numFmtId="0" fontId="3" fillId="0" borderId="133" xfId="0" applyFont="1" applyFill="1" applyBorder="1" applyAlignment="1">
      <alignment vertical="center"/>
    </xf>
    <xf numFmtId="4" fontId="4" fillId="0" borderId="0" xfId="0" applyNumberFormat="1" applyFont="1" applyFill="1" applyBorder="1" applyAlignment="1">
      <alignment vertical="center"/>
    </xf>
    <xf numFmtId="4" fontId="0" fillId="0" borderId="19" xfId="0" applyNumberFormat="1" applyFont="1" applyFill="1" applyBorder="1" applyAlignment="1">
      <alignment shrinkToFit="1"/>
    </xf>
    <xf numFmtId="4" fontId="0" fillId="0" borderId="63" xfId="0" applyNumberFormat="1" applyFont="1" applyFill="1" applyBorder="1" applyAlignment="1">
      <alignment vertical="center" shrinkToFit="1"/>
    </xf>
    <xf numFmtId="4" fontId="4" fillId="0" borderId="158" xfId="0" applyNumberFormat="1" applyFont="1" applyFill="1" applyBorder="1"/>
    <xf numFmtId="4" fontId="4" fillId="0" borderId="130" xfId="0" applyNumberFormat="1" applyFont="1" applyFill="1" applyBorder="1"/>
    <xf numFmtId="0" fontId="30" fillId="0" borderId="89" xfId="0" applyFont="1" applyFill="1" applyBorder="1" applyAlignment="1">
      <alignment vertical="center"/>
    </xf>
    <xf numFmtId="0" fontId="3" fillId="0" borderId="89" xfId="0" applyFont="1" applyFill="1" applyBorder="1" applyAlignment="1">
      <alignment vertical="center"/>
    </xf>
    <xf numFmtId="0" fontId="0" fillId="0" borderId="89" xfId="0" applyFont="1" applyFill="1" applyBorder="1" applyAlignment="1">
      <alignment vertical="center"/>
    </xf>
    <xf numFmtId="0" fontId="3" fillId="0" borderId="89" xfId="0" applyFont="1" applyFill="1" applyBorder="1" applyAlignment="1">
      <alignment vertical="center" wrapText="1"/>
    </xf>
    <xf numFmtId="0" fontId="3" fillId="0" borderId="136" xfId="0" applyFont="1" applyFill="1" applyBorder="1" applyAlignment="1">
      <alignment vertical="center"/>
    </xf>
    <xf numFmtId="0" fontId="64" fillId="0" borderId="89" xfId="0" applyFont="1" applyFill="1" applyBorder="1" applyAlignment="1">
      <alignment vertical="center"/>
    </xf>
    <xf numFmtId="0" fontId="3" fillId="0" borderId="77" xfId="0" applyFont="1" applyFill="1" applyBorder="1" applyAlignment="1">
      <alignment vertical="center" wrapText="1"/>
    </xf>
    <xf numFmtId="0" fontId="45" fillId="0" borderId="160" xfId="0" applyFont="1" applyFill="1" applyBorder="1"/>
    <xf numFmtId="0" fontId="3" fillId="0" borderId="161" xfId="0" applyFont="1" applyFill="1" applyBorder="1" applyAlignment="1">
      <alignment vertical="center"/>
    </xf>
    <xf numFmtId="0" fontId="44" fillId="0" borderId="135" xfId="0" applyFont="1" applyFill="1" applyBorder="1" applyAlignment="1">
      <alignment vertical="center"/>
    </xf>
    <xf numFmtId="0" fontId="4" fillId="0" borderId="89" xfId="0" applyFont="1" applyFill="1" applyBorder="1" applyAlignment="1">
      <alignment vertical="center"/>
    </xf>
    <xf numFmtId="0" fontId="30" fillId="0" borderId="162" xfId="0" applyFont="1" applyFill="1" applyBorder="1" applyAlignment="1">
      <alignment vertical="center" wrapText="1"/>
    </xf>
    <xf numFmtId="0" fontId="7" fillId="0" borderId="146" xfId="0" applyFont="1" applyBorder="1" applyAlignment="1">
      <alignment horizontal="center" vertical="center" wrapText="1"/>
    </xf>
    <xf numFmtId="0" fontId="3" fillId="0" borderId="148" xfId="0" applyFont="1" applyBorder="1"/>
    <xf numFmtId="0" fontId="3" fillId="3" borderId="148" xfId="0" applyFont="1" applyFill="1" applyBorder="1"/>
    <xf numFmtId="0" fontId="8" fillId="0" borderId="125" xfId="0" applyFont="1" applyFill="1" applyBorder="1" applyAlignment="1">
      <alignment vertical="center"/>
    </xf>
    <xf numFmtId="0" fontId="5" fillId="0" borderId="148" xfId="0" applyFont="1" applyFill="1" applyBorder="1"/>
    <xf numFmtId="0" fontId="30" fillId="0" borderId="138" xfId="0" applyFont="1" applyFill="1" applyBorder="1" applyAlignment="1">
      <alignment vertical="center"/>
    </xf>
    <xf numFmtId="0" fontId="3" fillId="0" borderId="145" xfId="0" applyFont="1" applyFill="1" applyBorder="1" applyAlignment="1">
      <alignment vertical="center"/>
    </xf>
    <xf numFmtId="0" fontId="3" fillId="0" borderId="148" xfId="0" applyFont="1" applyFill="1" applyBorder="1" applyAlignment="1">
      <alignment vertical="center"/>
    </xf>
    <xf numFmtId="0" fontId="5" fillId="0" borderId="146" xfId="0" applyFont="1" applyFill="1" applyBorder="1"/>
    <xf numFmtId="0" fontId="11" fillId="0" borderId="138" xfId="0" applyFont="1" applyFill="1" applyBorder="1" applyAlignment="1">
      <alignment horizontal="right" vertical="center" wrapText="1"/>
    </xf>
    <xf numFmtId="0" fontId="20" fillId="0" borderId="150" xfId="0" applyFont="1" applyFill="1" applyBorder="1"/>
    <xf numFmtId="4" fontId="18" fillId="0" borderId="119" xfId="0" applyNumberFormat="1" applyFont="1" applyFill="1" applyBorder="1"/>
    <xf numFmtId="4" fontId="18" fillId="0" borderId="156" xfId="0" applyNumberFormat="1" applyFont="1" applyFill="1" applyBorder="1" applyAlignment="1">
      <alignment shrinkToFit="1"/>
    </xf>
    <xf numFmtId="4" fontId="4" fillId="0" borderId="114" xfId="0" applyNumberFormat="1" applyFont="1" applyFill="1" applyBorder="1" applyAlignment="1">
      <alignment vertical="center"/>
    </xf>
    <xf numFmtId="4" fontId="18" fillId="0" borderId="109" xfId="0" applyNumberFormat="1" applyFont="1" applyFill="1" applyBorder="1" applyAlignment="1">
      <alignment shrinkToFit="1"/>
    </xf>
    <xf numFmtId="4" fontId="4" fillId="0" borderId="138" xfId="0" applyNumberFormat="1" applyFont="1" applyFill="1" applyBorder="1" applyAlignment="1">
      <alignment horizontal="right" vertical="center"/>
    </xf>
    <xf numFmtId="0" fontId="30" fillId="0" borderId="109" xfId="0" applyFont="1" applyFill="1" applyBorder="1" applyAlignment="1">
      <alignment vertical="center"/>
    </xf>
    <xf numFmtId="4" fontId="0" fillId="0" borderId="63" xfId="0" applyNumberFormat="1" applyFont="1" applyFill="1" applyBorder="1" applyAlignment="1">
      <alignment horizontal="right" vertical="center"/>
    </xf>
    <xf numFmtId="4" fontId="5" fillId="0" borderId="156" xfId="0" applyNumberFormat="1" applyFont="1" applyBorder="1" applyAlignment="1">
      <alignment horizontal="center" vertical="center" wrapText="1"/>
    </xf>
    <xf numFmtId="4" fontId="4" fillId="0" borderId="156" xfId="0" applyNumberFormat="1" applyFont="1" applyFill="1" applyBorder="1" applyAlignment="1">
      <alignment vertical="center"/>
    </xf>
    <xf numFmtId="0" fontId="6" fillId="0" borderId="160" xfId="0" applyFont="1" applyBorder="1" applyAlignment="1">
      <alignment horizontal="center" vertical="center" wrapText="1"/>
    </xf>
    <xf numFmtId="0" fontId="21" fillId="0" borderId="149" xfId="0" applyFont="1" applyFill="1" applyBorder="1"/>
    <xf numFmtId="0" fontId="5" fillId="0" borderId="149" xfId="0" applyFont="1" applyFill="1" applyBorder="1" applyAlignment="1">
      <alignment vertical="center" wrapText="1"/>
    </xf>
    <xf numFmtId="0" fontId="30" fillId="0" borderId="111" xfId="0" applyFont="1" applyFill="1" applyBorder="1" applyAlignment="1">
      <alignment vertical="center"/>
    </xf>
    <xf numFmtId="0" fontId="30" fillId="0" borderId="167" xfId="0" applyFont="1" applyFill="1" applyBorder="1" applyAlignment="1">
      <alignment vertical="center"/>
    </xf>
    <xf numFmtId="0" fontId="5" fillId="0" borderId="149" xfId="0" applyFont="1" applyFill="1" applyBorder="1"/>
    <xf numFmtId="0" fontId="0" fillId="0" borderId="111" xfId="0" applyFont="1" applyFill="1" applyBorder="1" applyAlignment="1">
      <alignment vertical="center"/>
    </xf>
    <xf numFmtId="0" fontId="5" fillId="0" borderId="133" xfId="0" applyFont="1" applyFill="1" applyBorder="1"/>
    <xf numFmtId="0" fontId="0" fillId="0" borderId="89" xfId="0" applyFont="1" applyFill="1" applyBorder="1" applyAlignment="1">
      <alignment vertical="center" wrapText="1"/>
    </xf>
    <xf numFmtId="0" fontId="3" fillId="0" borderId="168" xfId="0" applyFont="1" applyFill="1" applyBorder="1" applyAlignment="1">
      <alignment vertical="center"/>
    </xf>
    <xf numFmtId="0" fontId="0" fillId="0" borderId="89" xfId="0" applyFont="1" applyFill="1" applyBorder="1" applyAlignment="1">
      <alignment horizontal="left" vertical="center"/>
    </xf>
    <xf numFmtId="0" fontId="45" fillId="0" borderId="165" xfId="0" applyFont="1" applyFill="1" applyBorder="1"/>
    <xf numFmtId="0" fontId="24" fillId="0" borderId="165" xfId="0" applyFont="1" applyFill="1" applyBorder="1" applyAlignment="1">
      <alignment horizontal="left" vertical="center"/>
    </xf>
    <xf numFmtId="0" fontId="24" fillId="0" borderId="165" xfId="0" applyFont="1" applyFill="1" applyBorder="1" applyAlignment="1">
      <alignment vertical="center"/>
    </xf>
    <xf numFmtId="0" fontId="44" fillId="0" borderId="169" xfId="0" applyFont="1" applyFill="1" applyBorder="1"/>
    <xf numFmtId="0" fontId="0" fillId="0" borderId="127" xfId="0" applyFont="1" applyFill="1" applyBorder="1"/>
    <xf numFmtId="0" fontId="0" fillId="0" borderId="127" xfId="0" applyFont="1" applyFill="1" applyBorder="1" applyAlignment="1">
      <alignment vertical="center"/>
    </xf>
    <xf numFmtId="0" fontId="44" fillId="0" borderId="166" xfId="0" applyFont="1" applyFill="1" applyBorder="1" applyAlignment="1">
      <alignment vertical="center"/>
    </xf>
    <xf numFmtId="0" fontId="21" fillId="0" borderId="144" xfId="0" applyFont="1" applyFill="1" applyBorder="1" applyAlignment="1">
      <alignment vertical="center"/>
    </xf>
    <xf numFmtId="0" fontId="21" fillId="0" borderId="168" xfId="0" applyFont="1" applyFill="1" applyBorder="1" applyAlignment="1">
      <alignment vertical="center"/>
    </xf>
    <xf numFmtId="0" fontId="3" fillId="0" borderId="89" xfId="0" applyFont="1" applyFill="1" applyBorder="1"/>
    <xf numFmtId="0" fontId="3" fillId="0" borderId="137" xfId="0" applyFont="1" applyFill="1" applyBorder="1"/>
    <xf numFmtId="0" fontId="3" fillId="0" borderId="168" xfId="0" applyFont="1" applyFill="1" applyBorder="1" applyAlignment="1">
      <alignment vertical="center" wrapText="1"/>
    </xf>
    <xf numFmtId="0" fontId="11" fillId="0" borderId="89" xfId="0" applyFont="1" applyFill="1" applyBorder="1" applyAlignment="1">
      <alignment vertical="center" wrapText="1"/>
    </xf>
    <xf numFmtId="0" fontId="32" fillId="0" borderId="89" xfId="0" applyFont="1" applyFill="1" applyBorder="1" applyAlignment="1">
      <alignment vertical="center" wrapText="1"/>
    </xf>
    <xf numFmtId="0" fontId="54" fillId="0" borderId="89" xfId="0" applyFont="1" applyFill="1" applyBorder="1" applyAlignment="1">
      <alignment vertical="center" wrapText="1"/>
    </xf>
    <xf numFmtId="0" fontId="30" fillId="0" borderId="167" xfId="0" applyFont="1" applyFill="1" applyBorder="1"/>
    <xf numFmtId="0" fontId="11" fillId="0" borderId="111" xfId="0" applyFont="1" applyFill="1" applyBorder="1" applyAlignment="1">
      <alignment vertical="center" wrapText="1"/>
    </xf>
    <xf numFmtId="0" fontId="30" fillId="0" borderId="133" xfId="0" applyFont="1" applyFill="1" applyBorder="1" applyAlignment="1">
      <alignment vertical="center"/>
    </xf>
    <xf numFmtId="0" fontId="3" fillId="0" borderId="136" xfId="0" applyFont="1" applyFill="1" applyBorder="1" applyAlignment="1">
      <alignment vertical="center" wrapText="1"/>
    </xf>
    <xf numFmtId="0" fontId="29" fillId="0" borderId="144" xfId="0" applyFont="1" applyFill="1" applyBorder="1" applyAlignment="1">
      <alignment vertical="center"/>
    </xf>
    <xf numFmtId="0" fontId="4" fillId="0" borderId="111" xfId="0" applyFont="1" applyFill="1" applyBorder="1" applyAlignment="1">
      <alignment vertical="center"/>
    </xf>
    <xf numFmtId="0" fontId="11" fillId="0" borderId="137" xfId="0" applyFont="1" applyFill="1" applyBorder="1" applyAlignment="1">
      <alignment vertical="center" wrapText="1"/>
    </xf>
    <xf numFmtId="0" fontId="5" fillId="0" borderId="171" xfId="0" applyFont="1" applyFill="1" applyBorder="1"/>
    <xf numFmtId="0" fontId="49" fillId="0" borderId="89" xfId="0" applyFont="1" applyFill="1" applyBorder="1" applyAlignment="1">
      <alignment vertical="center" wrapText="1"/>
    </xf>
    <xf numFmtId="49" fontId="0" fillId="0" borderId="89" xfId="0" applyNumberFormat="1" applyFont="1" applyFill="1" applyBorder="1" applyAlignment="1">
      <alignment vertical="center" wrapText="1"/>
    </xf>
    <xf numFmtId="0" fontId="29" fillId="0" borderId="149" xfId="0" applyFont="1" applyFill="1" applyBorder="1"/>
    <xf numFmtId="0" fontId="4" fillId="0" borderId="136" xfId="0" applyFont="1" applyFill="1" applyBorder="1" applyAlignment="1">
      <alignment vertical="center"/>
    </xf>
    <xf numFmtId="0" fontId="29" fillId="0" borderId="160" xfId="0" applyFont="1" applyFill="1" applyBorder="1"/>
    <xf numFmtId="0" fontId="30" fillId="0" borderId="111" xfId="0" applyFont="1" applyFill="1" applyBorder="1" applyAlignment="1">
      <alignment vertical="top" wrapText="1"/>
    </xf>
    <xf numFmtId="0" fontId="11" fillId="0" borderId="89" xfId="0" applyFont="1" applyFill="1" applyBorder="1" applyAlignment="1">
      <alignment vertical="center"/>
    </xf>
    <xf numFmtId="0" fontId="3" fillId="0" borderId="75" xfId="0" applyFont="1" applyFill="1" applyBorder="1" applyAlignment="1">
      <alignment vertical="center" wrapText="1"/>
    </xf>
    <xf numFmtId="4" fontId="55" fillId="0" borderId="63" xfId="0" applyNumberFormat="1" applyFont="1" applyFill="1" applyBorder="1"/>
    <xf numFmtId="4" fontId="64" fillId="0" borderId="63" xfId="0" applyNumberFormat="1" applyFont="1" applyFill="1" applyBorder="1" applyAlignment="1">
      <alignment horizontal="right" vertical="center"/>
    </xf>
    <xf numFmtId="0" fontId="6" fillId="0" borderId="148" xfId="0" applyFont="1" applyFill="1" applyBorder="1"/>
    <xf numFmtId="0" fontId="30" fillId="0" borderId="138" xfId="0" applyFont="1" applyFill="1" applyBorder="1" applyAlignment="1">
      <alignment horizontal="right" vertical="center"/>
    </xf>
    <xf numFmtId="4" fontId="4" fillId="0" borderId="73" xfId="0" applyNumberFormat="1" applyFont="1" applyFill="1" applyBorder="1" applyAlignment="1">
      <alignment vertical="center" shrinkToFit="1"/>
    </xf>
    <xf numFmtId="4" fontId="4" fillId="0" borderId="115" xfId="0" applyNumberFormat="1" applyFont="1" applyFill="1" applyBorder="1" applyAlignment="1">
      <alignment vertical="center" shrinkToFit="1"/>
    </xf>
    <xf numFmtId="4" fontId="4" fillId="0" borderId="140" xfId="0" applyNumberFormat="1" applyFont="1" applyFill="1" applyBorder="1" applyAlignment="1">
      <alignment vertical="center" shrinkToFit="1"/>
    </xf>
    <xf numFmtId="0" fontId="32" fillId="0" borderId="63" xfId="0" applyFont="1" applyFill="1" applyBorder="1" applyAlignment="1">
      <alignment horizontal="right" vertical="center"/>
    </xf>
    <xf numFmtId="0" fontId="4" fillId="0" borderId="63" xfId="0" applyFont="1" applyFill="1" applyBorder="1" applyAlignment="1">
      <alignment horizontal="right" vertical="center" wrapText="1"/>
    </xf>
    <xf numFmtId="0" fontId="11" fillId="0" borderId="63" xfId="0" applyFont="1" applyFill="1" applyBorder="1" applyAlignment="1">
      <alignment horizontal="right" vertical="center"/>
    </xf>
    <xf numFmtId="0" fontId="30" fillId="0" borderId="91" xfId="0" applyFont="1" applyFill="1" applyBorder="1" applyAlignment="1">
      <alignment horizontal="right" vertical="center"/>
    </xf>
    <xf numFmtId="0" fontId="30" fillId="0" borderId="148" xfId="0" applyFont="1" applyFill="1" applyBorder="1"/>
    <xf numFmtId="0" fontId="30" fillId="0" borderId="70" xfId="0" applyFont="1" applyFill="1" applyBorder="1" applyAlignment="1">
      <alignment vertical="center"/>
    </xf>
    <xf numFmtId="0" fontId="30" fillId="0" borderId="66" xfId="0" applyFont="1" applyFill="1" applyBorder="1" applyAlignment="1">
      <alignment vertical="center"/>
    </xf>
    <xf numFmtId="0" fontId="30" fillId="0" borderId="115" xfId="0" applyFont="1" applyFill="1" applyBorder="1" applyAlignment="1">
      <alignment vertical="center"/>
    </xf>
    <xf numFmtId="0" fontId="4" fillId="0" borderId="63" xfId="0" applyFont="1" applyFill="1" applyBorder="1" applyAlignment="1">
      <alignment vertical="center"/>
    </xf>
    <xf numFmtId="0" fontId="5" fillId="0" borderId="148" xfId="0" applyFont="1" applyFill="1" applyBorder="1" applyAlignment="1">
      <alignment vertical="center"/>
    </xf>
    <xf numFmtId="0" fontId="38" fillId="0" borderId="63" xfId="0" applyFont="1" applyFill="1" applyBorder="1" applyAlignment="1">
      <alignment vertical="center"/>
    </xf>
    <xf numFmtId="0" fontId="8" fillId="0" borderId="63" xfId="0" applyFont="1" applyFill="1" applyBorder="1" applyAlignment="1">
      <alignment vertical="center"/>
    </xf>
    <xf numFmtId="0" fontId="8" fillId="0" borderId="70" xfId="0" applyFont="1" applyFill="1" applyBorder="1" applyAlignment="1">
      <alignment vertical="center"/>
    </xf>
    <xf numFmtId="0" fontId="45" fillId="0" borderId="146" xfId="0" applyFont="1" applyFill="1" applyBorder="1"/>
    <xf numFmtId="0" fontId="44" fillId="0" borderId="158" xfId="0" applyFont="1" applyFill="1" applyBorder="1"/>
    <xf numFmtId="0" fontId="44" fillId="0" borderId="142" xfId="0" applyFont="1" applyFill="1" applyBorder="1" applyAlignment="1">
      <alignment vertical="center"/>
    </xf>
    <xf numFmtId="0" fontId="44" fillId="0" borderId="142" xfId="0" applyFont="1" applyFill="1" applyBorder="1" applyAlignment="1">
      <alignment horizontal="right" vertical="center"/>
    </xf>
    <xf numFmtId="0" fontId="44" fillId="0" borderId="143" xfId="0" applyFont="1" applyFill="1" applyBorder="1" applyAlignment="1">
      <alignment vertical="center"/>
    </xf>
    <xf numFmtId="0" fontId="30" fillId="0" borderId="64" xfId="0" applyFont="1" applyFill="1" applyBorder="1" applyAlignment="1">
      <alignment vertical="center"/>
    </xf>
    <xf numFmtId="0" fontId="11" fillId="0" borderId="138" xfId="0" applyFont="1" applyFill="1" applyBorder="1" applyAlignment="1">
      <alignment horizontal="right" vertical="center"/>
    </xf>
    <xf numFmtId="0" fontId="5" fillId="0" borderId="109" xfId="0" applyFont="1" applyFill="1" applyBorder="1"/>
    <xf numFmtId="4" fontId="4" fillId="0" borderId="73" xfId="0" applyNumberFormat="1" applyFont="1" applyFill="1" applyBorder="1" applyAlignment="1">
      <alignment vertical="center"/>
    </xf>
    <xf numFmtId="4" fontId="4" fillId="0" borderId="83" xfId="0" applyNumberFormat="1" applyFont="1" applyFill="1" applyBorder="1" applyAlignment="1">
      <alignment vertical="center"/>
    </xf>
    <xf numFmtId="4" fontId="4" fillId="0" borderId="115" xfId="0" applyNumberFormat="1" applyFont="1" applyFill="1" applyBorder="1" applyAlignment="1">
      <alignment vertical="center"/>
    </xf>
    <xf numFmtId="4" fontId="4" fillId="0" borderId="120" xfId="0" applyNumberFormat="1" applyFont="1" applyFill="1" applyBorder="1" applyAlignment="1">
      <alignment vertical="center"/>
    </xf>
    <xf numFmtId="0" fontId="49" fillId="0" borderId="75" xfId="0" applyFont="1" applyFill="1" applyBorder="1" applyAlignment="1">
      <alignment vertical="center" wrapText="1"/>
    </xf>
    <xf numFmtId="0" fontId="30" fillId="0" borderId="75" xfId="0" applyFont="1" applyFill="1" applyBorder="1" applyAlignment="1">
      <alignment vertical="center" wrapText="1"/>
    </xf>
    <xf numFmtId="4" fontId="56" fillId="0" borderId="115" xfId="0" applyNumberFormat="1" applyFont="1" applyFill="1" applyBorder="1" applyAlignment="1">
      <alignment vertical="center"/>
    </xf>
    <xf numFmtId="4" fontId="56" fillId="0" borderId="120" xfId="0" applyNumberFormat="1" applyFont="1" applyFill="1" applyBorder="1" applyAlignment="1">
      <alignment vertical="center"/>
    </xf>
    <xf numFmtId="4" fontId="56" fillId="0" borderId="115" xfId="0" applyNumberFormat="1" applyFont="1" applyFill="1" applyBorder="1" applyAlignment="1">
      <alignment vertical="center" wrapText="1"/>
    </xf>
    <xf numFmtId="4" fontId="0" fillId="0" borderId="115" xfId="0" applyNumberFormat="1" applyFont="1" applyFill="1" applyBorder="1"/>
    <xf numFmtId="49" fontId="3" fillId="0" borderId="115" xfId="0" applyNumberFormat="1" applyFont="1" applyFill="1" applyBorder="1" applyAlignment="1">
      <alignment horizontal="right" vertical="center"/>
    </xf>
    <xf numFmtId="2" fontId="3" fillId="0" borderId="75" xfId="0" applyNumberFormat="1" applyFont="1" applyFill="1" applyBorder="1" applyAlignment="1">
      <alignment vertical="center" wrapText="1"/>
    </xf>
    <xf numFmtId="49" fontId="30" fillId="0" borderId="115" xfId="0" applyNumberFormat="1" applyFont="1" applyFill="1" applyBorder="1" applyAlignment="1">
      <alignment horizontal="right" vertical="center"/>
    </xf>
    <xf numFmtId="2" fontId="30" fillId="0" borderId="75" xfId="0" applyNumberFormat="1" applyFont="1" applyFill="1" applyBorder="1" applyAlignment="1">
      <alignment vertical="center" wrapText="1"/>
    </xf>
    <xf numFmtId="4" fontId="55" fillId="0" borderId="115" xfId="0" applyNumberFormat="1" applyFont="1" applyFill="1" applyBorder="1" applyAlignment="1">
      <alignment vertical="center"/>
    </xf>
    <xf numFmtId="2" fontId="32" fillId="0" borderId="75" xfId="0" applyNumberFormat="1" applyFont="1" applyFill="1" applyBorder="1" applyAlignment="1">
      <alignment vertical="center" wrapText="1"/>
    </xf>
    <xf numFmtId="0" fontId="3" fillId="0" borderId="170" xfId="0" applyFont="1" applyFill="1" applyBorder="1" applyAlignment="1">
      <alignment vertical="center" wrapText="1"/>
    </xf>
    <xf numFmtId="0" fontId="4" fillId="0" borderId="66" xfId="0" applyFont="1" applyFill="1" applyBorder="1" applyAlignment="1">
      <alignment horizontal="right" vertical="center"/>
    </xf>
    <xf numFmtId="0" fontId="5" fillId="0" borderId="138" xfId="0" applyFont="1" applyFill="1" applyBorder="1"/>
    <xf numFmtId="0" fontId="3" fillId="0" borderId="0" xfId="0" applyFont="1" applyFill="1" applyAlignment="1">
      <alignment vertical="center"/>
    </xf>
    <xf numFmtId="4" fontId="24" fillId="0" borderId="93" xfId="0" applyNumberFormat="1" applyFont="1" applyBorder="1" applyAlignment="1">
      <alignment horizontal="center" vertical="center" wrapText="1"/>
    </xf>
    <xf numFmtId="0" fontId="22" fillId="0" borderId="148" xfId="0" applyFont="1" applyFill="1" applyBorder="1"/>
    <xf numFmtId="4" fontId="4" fillId="6" borderId="19" xfId="0" applyNumberFormat="1" applyFont="1" applyFill="1" applyBorder="1" applyAlignment="1">
      <alignment vertical="center"/>
    </xf>
    <xf numFmtId="4" fontId="24" fillId="0" borderId="64" xfId="0" applyNumberFormat="1" applyFont="1" applyFill="1" applyBorder="1" applyAlignment="1">
      <alignment horizontal="center" vertical="center" wrapText="1"/>
    </xf>
    <xf numFmtId="4" fontId="0" fillId="0" borderId="66" xfId="0" applyNumberFormat="1" applyFont="1" applyFill="1" applyBorder="1"/>
    <xf numFmtId="0" fontId="30" fillId="6" borderId="89" xfId="0" applyFont="1" applyFill="1" applyBorder="1"/>
    <xf numFmtId="4" fontId="0" fillId="6" borderId="63" xfId="0" applyNumberFormat="1" applyFont="1" applyFill="1" applyBorder="1"/>
    <xf numFmtId="4" fontId="0" fillId="0" borderId="67" xfId="0" applyNumberFormat="1" applyFont="1" applyFill="1" applyBorder="1"/>
    <xf numFmtId="4" fontId="0" fillId="0" borderId="114" xfId="0" applyNumberFormat="1" applyFont="1" applyFill="1" applyBorder="1"/>
    <xf numFmtId="4" fontId="4" fillId="6" borderId="63" xfId="0" applyNumberFormat="1" applyFont="1" applyFill="1" applyBorder="1" applyAlignment="1">
      <alignment vertical="center"/>
    </xf>
    <xf numFmtId="4" fontId="0" fillId="6" borderId="138" xfId="0" applyNumberFormat="1" applyFont="1" applyFill="1" applyBorder="1" applyAlignment="1">
      <alignment vertical="center"/>
    </xf>
    <xf numFmtId="4" fontId="4" fillId="0" borderId="172" xfId="0" applyNumberFormat="1" applyFont="1" applyFill="1" applyBorder="1" applyAlignment="1">
      <alignment vertical="center"/>
    </xf>
    <xf numFmtId="4" fontId="24" fillId="0" borderId="174" xfId="0" applyNumberFormat="1" applyFont="1" applyFill="1" applyBorder="1"/>
    <xf numFmtId="4" fontId="45" fillId="0" borderId="174" xfId="0" applyNumberFormat="1" applyFont="1" applyFill="1" applyBorder="1" applyAlignment="1">
      <alignment vertical="center"/>
    </xf>
    <xf numFmtId="4" fontId="18" fillId="0" borderId="174" xfId="0" applyNumberFormat="1" applyFont="1" applyFill="1" applyBorder="1" applyAlignment="1">
      <alignment vertical="center"/>
    </xf>
    <xf numFmtId="4" fontId="18" fillId="0" borderId="175" xfId="0" applyNumberFormat="1" applyFont="1" applyFill="1" applyBorder="1" applyAlignment="1">
      <alignment vertical="center"/>
    </xf>
    <xf numFmtId="4" fontId="18" fillId="0" borderId="176" xfId="0" applyNumberFormat="1" applyFont="1" applyFill="1" applyBorder="1"/>
    <xf numFmtId="4" fontId="18" fillId="0" borderId="174" xfId="0" applyNumberFormat="1" applyFont="1" applyFill="1" applyBorder="1"/>
    <xf numFmtId="4" fontId="18" fillId="0" borderId="174" xfId="0" applyNumberFormat="1" applyFont="1" applyFill="1" applyBorder="1" applyAlignment="1">
      <alignment shrinkToFit="1"/>
    </xf>
    <xf numFmtId="4" fontId="24" fillId="0" borderId="174" xfId="0" applyNumberFormat="1" applyFont="1" applyFill="1" applyBorder="1" applyAlignment="1">
      <alignment shrinkToFit="1"/>
    </xf>
    <xf numFmtId="4" fontId="24" fillId="0" borderId="175" xfId="0" applyNumberFormat="1" applyFont="1" applyFill="1" applyBorder="1" applyAlignment="1">
      <alignment vertical="center"/>
    </xf>
    <xf numFmtId="4" fontId="0" fillId="0" borderId="109" xfId="0" applyNumberFormat="1" applyFont="1" applyFill="1" applyBorder="1"/>
    <xf numFmtId="4" fontId="18" fillId="0" borderId="67" xfId="0" applyNumberFormat="1" applyFont="1" applyFill="1" applyBorder="1" applyAlignment="1">
      <alignment shrinkToFit="1"/>
    </xf>
    <xf numFmtId="4" fontId="30" fillId="0" borderId="89" xfId="0" applyNumberFormat="1" applyFont="1" applyFill="1" applyBorder="1"/>
    <xf numFmtId="4" fontId="30" fillId="0" borderId="133" xfId="0" applyNumberFormat="1" applyFont="1" applyFill="1" applyBorder="1"/>
    <xf numFmtId="4" fontId="0" fillId="0" borderId="140" xfId="0" applyNumberFormat="1" applyFont="1" applyFill="1" applyBorder="1"/>
    <xf numFmtId="4" fontId="0" fillId="0" borderId="140" xfId="0" applyNumberFormat="1" applyFont="1" applyFill="1" applyBorder="1" applyAlignment="1">
      <alignment vertical="center"/>
    </xf>
    <xf numFmtId="4" fontId="18" fillId="0" borderId="108" xfId="0" applyNumberFormat="1" applyFont="1" applyFill="1" applyBorder="1" applyAlignment="1">
      <alignment shrinkToFit="1"/>
    </xf>
    <xf numFmtId="4" fontId="0" fillId="0" borderId="180" xfId="0" applyNumberFormat="1" applyFont="1" applyFill="1" applyBorder="1" applyAlignment="1">
      <alignment vertical="center" shrinkToFit="1"/>
    </xf>
    <xf numFmtId="4" fontId="18" fillId="0" borderId="180" xfId="0" applyNumberFormat="1" applyFont="1" applyFill="1" applyBorder="1" applyAlignment="1">
      <alignment shrinkToFit="1"/>
    </xf>
    <xf numFmtId="4" fontId="4" fillId="0" borderId="123" xfId="0" applyNumberFormat="1" applyFont="1" applyFill="1" applyBorder="1" applyAlignment="1">
      <alignment vertical="center" shrinkToFit="1"/>
    </xf>
    <xf numFmtId="4" fontId="45" fillId="0" borderId="178" xfId="0" applyNumberFormat="1" applyFont="1" applyFill="1" applyBorder="1"/>
    <xf numFmtId="4" fontId="45" fillId="0" borderId="178" xfId="0" applyNumberFormat="1" applyFont="1" applyFill="1" applyBorder="1" applyAlignment="1">
      <alignment vertical="center"/>
    </xf>
    <xf numFmtId="0" fontId="0" fillId="0" borderId="0" xfId="0" applyFont="1" applyFill="1" applyBorder="1"/>
    <xf numFmtId="0" fontId="40" fillId="0" borderId="0" xfId="0" applyFont="1" applyFill="1" applyBorder="1"/>
    <xf numFmtId="0" fontId="24" fillId="0" borderId="0" xfId="0" applyFont="1" applyFill="1" applyBorder="1"/>
    <xf numFmtId="0" fontId="23" fillId="0" borderId="0" xfId="0" applyFont="1" applyFill="1" applyBorder="1"/>
    <xf numFmtId="4" fontId="0" fillId="0" borderId="158" xfId="0" applyNumberFormat="1" applyFont="1" applyFill="1" applyBorder="1" applyAlignment="1">
      <alignment vertical="center"/>
    </xf>
    <xf numFmtId="4" fontId="4" fillId="6" borderId="66" xfId="0" applyNumberFormat="1" applyFont="1" applyFill="1" applyBorder="1" applyAlignment="1">
      <alignment vertical="center"/>
    </xf>
    <xf numFmtId="4" fontId="18" fillId="0" borderId="15" xfId="0" applyNumberFormat="1" applyFont="1" applyFill="1" applyBorder="1" applyAlignment="1">
      <alignment vertical="center"/>
    </xf>
    <xf numFmtId="4" fontId="0" fillId="0" borderId="184" xfId="0" applyNumberFormat="1" applyFont="1" applyFill="1" applyBorder="1" applyAlignment="1">
      <alignment vertical="center"/>
    </xf>
    <xf numFmtId="4" fontId="0" fillId="0" borderId="185" xfId="0" applyNumberFormat="1" applyFont="1" applyFill="1" applyBorder="1" applyAlignment="1">
      <alignment vertical="center"/>
    </xf>
    <xf numFmtId="4" fontId="0" fillId="0" borderId="186" xfId="0" applyNumberFormat="1" applyFont="1" applyFill="1" applyBorder="1" applyAlignment="1">
      <alignment vertical="center"/>
    </xf>
    <xf numFmtId="0" fontId="78" fillId="0" borderId="77" xfId="0" applyFont="1" applyFill="1" applyBorder="1" applyAlignment="1">
      <alignment vertical="center" wrapText="1"/>
    </xf>
    <xf numFmtId="4" fontId="4" fillId="0" borderId="187" xfId="0" applyNumberFormat="1" applyFont="1" applyFill="1" applyBorder="1" applyAlignment="1">
      <alignment vertical="center"/>
    </xf>
    <xf numFmtId="4" fontId="0" fillId="0" borderId="187" xfId="0" applyNumberFormat="1" applyFont="1" applyFill="1" applyBorder="1" applyAlignment="1">
      <alignment vertical="center"/>
    </xf>
    <xf numFmtId="4" fontId="4" fillId="0" borderId="188" xfId="0" applyNumberFormat="1" applyFont="1" applyFill="1" applyBorder="1" applyAlignment="1">
      <alignment vertical="center"/>
    </xf>
    <xf numFmtId="4" fontId="0" fillId="0" borderId="188" xfId="0" applyNumberFormat="1" applyFont="1" applyFill="1" applyBorder="1" applyAlignment="1">
      <alignment vertical="center"/>
    </xf>
    <xf numFmtId="4" fontId="4" fillId="0" borderId="190" xfId="0" applyNumberFormat="1" applyFont="1" applyFill="1" applyBorder="1" applyAlignment="1">
      <alignment vertical="center"/>
    </xf>
    <xf numFmtId="4" fontId="3" fillId="0" borderId="188" xfId="0" applyNumberFormat="1" applyFont="1" applyFill="1" applyBorder="1" applyAlignment="1">
      <alignment vertical="center"/>
    </xf>
    <xf numFmtId="4" fontId="4" fillId="0" borderId="191" xfId="0" applyNumberFormat="1" applyFont="1" applyFill="1" applyBorder="1" applyAlignment="1">
      <alignment vertical="center"/>
    </xf>
    <xf numFmtId="4" fontId="0" fillId="0" borderId="193" xfId="0" applyNumberFormat="1" applyFont="1" applyFill="1" applyBorder="1" applyAlignment="1">
      <alignment vertical="center"/>
    </xf>
    <xf numFmtId="0" fontId="30" fillId="0" borderId="188" xfId="0" applyFont="1" applyFill="1" applyBorder="1" applyAlignment="1">
      <alignment vertical="center"/>
    </xf>
    <xf numFmtId="0" fontId="30" fillId="0" borderId="193" xfId="0" applyFont="1" applyFill="1" applyBorder="1" applyAlignment="1">
      <alignment vertical="center" wrapText="1"/>
    </xf>
    <xf numFmtId="4" fontId="4" fillId="0" borderId="19" xfId="0" applyNumberFormat="1" applyFont="1" applyFill="1" applyBorder="1" applyAlignment="1">
      <alignment vertical="center" shrinkToFit="1"/>
    </xf>
    <xf numFmtId="4" fontId="6" fillId="0" borderId="64" xfId="0" applyNumberFormat="1" applyFont="1" applyFill="1" applyBorder="1" applyAlignment="1">
      <alignment shrinkToFit="1"/>
    </xf>
    <xf numFmtId="4" fontId="0" fillId="6" borderId="188" xfId="0" applyNumberFormat="1" applyFont="1" applyFill="1" applyBorder="1" applyAlignment="1">
      <alignment vertical="center"/>
    </xf>
    <xf numFmtId="0" fontId="80" fillId="6" borderId="89" xfId="0" applyFont="1" applyFill="1" applyBorder="1" applyAlignment="1">
      <alignment vertical="center"/>
    </xf>
    <xf numFmtId="4" fontId="0" fillId="0" borderId="192" xfId="0" applyNumberFormat="1" applyFont="1" applyFill="1" applyBorder="1" applyAlignment="1">
      <alignment vertical="center"/>
    </xf>
    <xf numFmtId="4" fontId="64" fillId="0" borderId="188" xfId="0" applyNumberFormat="1" applyFont="1" applyFill="1" applyBorder="1" applyAlignment="1">
      <alignment vertical="center"/>
    </xf>
    <xf numFmtId="4" fontId="0" fillId="0" borderId="188" xfId="0" applyNumberFormat="1" applyFont="1" applyFill="1" applyBorder="1"/>
    <xf numFmtId="0" fontId="64" fillId="0" borderId="188" xfId="0" applyFont="1" applyFill="1" applyBorder="1" applyAlignment="1">
      <alignment horizontal="right" vertical="center"/>
    </xf>
    <xf numFmtId="0" fontId="4" fillId="0" borderId="188" xfId="0" applyFont="1" applyFill="1" applyBorder="1" applyAlignment="1">
      <alignment horizontal="right" vertical="center"/>
    </xf>
    <xf numFmtId="0" fontId="4" fillId="0" borderId="114" xfId="0" applyFont="1" applyFill="1" applyBorder="1" applyAlignment="1">
      <alignment horizontal="right" vertical="center"/>
    </xf>
    <xf numFmtId="0" fontId="4" fillId="0" borderId="183" xfId="0" applyFont="1" applyFill="1" applyBorder="1" applyAlignment="1">
      <alignment horizontal="right" vertical="center"/>
    </xf>
    <xf numFmtId="0" fontId="0" fillId="0" borderId="70" xfId="0" applyFont="1" applyFill="1" applyBorder="1" applyAlignment="1">
      <alignment horizontal="right" vertical="center" wrapText="1"/>
    </xf>
    <xf numFmtId="0" fontId="0" fillId="0" borderId="114" xfId="0" applyFont="1" applyFill="1" applyBorder="1" applyAlignment="1">
      <alignment horizontal="right" vertical="center"/>
    </xf>
    <xf numFmtId="4" fontId="0" fillId="6" borderId="188" xfId="0" applyNumberFormat="1" applyFont="1" applyFill="1" applyBorder="1"/>
    <xf numFmtId="0" fontId="30" fillId="6" borderId="193" xfId="0" applyFont="1" applyFill="1" applyBorder="1"/>
    <xf numFmtId="4" fontId="30" fillId="6" borderId="65" xfId="0" applyNumberFormat="1" applyFont="1" applyFill="1" applyBorder="1" applyAlignment="1">
      <alignment vertical="center"/>
    </xf>
    <xf numFmtId="4" fontId="30" fillId="6" borderId="193" xfId="0" applyNumberFormat="1" applyFont="1" applyFill="1" applyBorder="1" applyAlignment="1">
      <alignment vertical="center"/>
    </xf>
    <xf numFmtId="4" fontId="30" fillId="0" borderId="188" xfId="0" applyNumberFormat="1" applyFont="1" applyFill="1" applyBorder="1" applyAlignment="1">
      <alignment vertical="center"/>
    </xf>
    <xf numFmtId="4" fontId="30" fillId="0" borderId="193" xfId="0" applyNumberFormat="1" applyFont="1" applyFill="1" applyBorder="1" applyAlignment="1">
      <alignment vertical="center"/>
    </xf>
    <xf numFmtId="4" fontId="0" fillId="0" borderId="190" xfId="0" applyNumberFormat="1" applyFont="1" applyFill="1" applyBorder="1" applyAlignment="1">
      <alignment vertical="center"/>
    </xf>
    <xf numFmtId="4" fontId="80" fillId="0" borderId="188" xfId="0" applyNumberFormat="1" applyFont="1" applyFill="1" applyBorder="1" applyAlignment="1">
      <alignment vertical="center"/>
    </xf>
    <xf numFmtId="4" fontId="81" fillId="0" borderId="188" xfId="0" applyNumberFormat="1" applyFont="1" applyFill="1" applyBorder="1" applyAlignment="1">
      <alignment vertical="center"/>
    </xf>
    <xf numFmtId="4" fontId="0" fillId="0" borderId="191" xfId="0" applyNumberFormat="1" applyFont="1" applyFill="1" applyBorder="1" applyAlignment="1">
      <alignment vertical="center"/>
    </xf>
    <xf numFmtId="4" fontId="0" fillId="0" borderId="198" xfId="0" applyNumberFormat="1" applyFont="1" applyFill="1" applyBorder="1" applyAlignment="1">
      <alignment vertical="center"/>
    </xf>
    <xf numFmtId="4" fontId="0" fillId="0" borderId="199" xfId="0" applyNumberFormat="1" applyFont="1" applyFill="1" applyBorder="1" applyAlignment="1">
      <alignment vertical="center"/>
    </xf>
    <xf numFmtId="4" fontId="0" fillId="0" borderId="143" xfId="0" applyNumberFormat="1" applyFont="1" applyFill="1" applyBorder="1" applyAlignment="1">
      <alignment vertical="center"/>
    </xf>
    <xf numFmtId="0" fontId="45" fillId="0" borderId="174" xfId="0" applyFont="1" applyFill="1" applyBorder="1"/>
    <xf numFmtId="4" fontId="44" fillId="0" borderId="188" xfId="0" applyNumberFormat="1" applyFont="1" applyFill="1" applyBorder="1" applyAlignment="1">
      <alignment vertical="center"/>
    </xf>
    <xf numFmtId="0" fontId="44" fillId="0" borderId="188" xfId="0" applyFont="1" applyFill="1" applyBorder="1" applyAlignment="1">
      <alignment vertical="center"/>
    </xf>
    <xf numFmtId="0" fontId="44" fillId="0" borderId="193" xfId="0" applyFont="1" applyFill="1" applyBorder="1" applyAlignment="1">
      <alignment vertical="center"/>
    </xf>
    <xf numFmtId="0" fontId="30" fillId="0" borderId="133" xfId="0" applyFont="1" applyFill="1" applyBorder="1" applyAlignment="1">
      <alignment vertical="center" wrapText="1"/>
    </xf>
    <xf numFmtId="49" fontId="3" fillId="0" borderId="66" xfId="0" applyNumberFormat="1" applyFont="1" applyFill="1" applyBorder="1" applyAlignment="1">
      <alignment horizontal="right" vertical="center"/>
    </xf>
    <xf numFmtId="2" fontId="3" fillId="0" borderId="133" xfId="0" applyNumberFormat="1" applyFont="1" applyFill="1" applyBorder="1" applyAlignment="1">
      <alignment vertical="center" wrapText="1"/>
    </xf>
    <xf numFmtId="4" fontId="44" fillId="0" borderId="191" xfId="0" applyNumberFormat="1" applyFont="1" applyFill="1" applyBorder="1" applyAlignment="1">
      <alignment vertical="center"/>
    </xf>
    <xf numFmtId="0" fontId="45" fillId="0" borderId="176" xfId="0" applyFont="1" applyFill="1" applyBorder="1"/>
    <xf numFmtId="4" fontId="45" fillId="0" borderId="176" xfId="0" applyNumberFormat="1" applyFont="1" applyFill="1" applyBorder="1" applyAlignment="1">
      <alignment vertical="center"/>
    </xf>
    <xf numFmtId="0" fontId="8" fillId="0" borderId="176" xfId="0" applyFont="1" applyFill="1" applyBorder="1" applyAlignment="1">
      <alignment vertical="center"/>
    </xf>
    <xf numFmtId="4" fontId="24" fillId="0" borderId="176" xfId="0" applyNumberFormat="1" applyFont="1" applyFill="1" applyBorder="1" applyAlignment="1">
      <alignment vertical="center"/>
    </xf>
    <xf numFmtId="0" fontId="3" fillId="0" borderId="129" xfId="0" applyFont="1" applyFill="1" applyBorder="1"/>
    <xf numFmtId="0" fontId="3" fillId="0" borderId="130" xfId="0" applyFont="1" applyFill="1" applyBorder="1"/>
    <xf numFmtId="0" fontId="0" fillId="0" borderId="124" xfId="0" applyFont="1" applyFill="1" applyBorder="1"/>
    <xf numFmtId="4" fontId="4" fillId="0" borderId="44" xfId="0" applyNumberFormat="1" applyFont="1" applyFill="1" applyBorder="1" applyAlignment="1">
      <alignment vertical="center"/>
    </xf>
    <xf numFmtId="4" fontId="4" fillId="0" borderId="193" xfId="0" applyNumberFormat="1" applyFont="1" applyFill="1" applyBorder="1" applyAlignment="1">
      <alignment vertical="center"/>
    </xf>
    <xf numFmtId="0" fontId="30" fillId="0" borderId="0" xfId="0" applyFont="1" applyFill="1" applyBorder="1" applyAlignment="1">
      <alignment vertical="center"/>
    </xf>
    <xf numFmtId="4" fontId="4" fillId="0" borderId="133" xfId="0" applyNumberFormat="1" applyFont="1" applyFill="1" applyBorder="1" applyAlignment="1">
      <alignment vertical="center"/>
    </xf>
    <xf numFmtId="4" fontId="55" fillId="0" borderId="120" xfId="0" applyNumberFormat="1" applyFont="1" applyFill="1" applyBorder="1" applyAlignment="1">
      <alignment vertical="center"/>
    </xf>
    <xf numFmtId="4" fontId="56" fillId="0" borderId="0" xfId="0" applyNumberFormat="1" applyFont="1" applyFill="1" applyBorder="1" applyAlignment="1">
      <alignment vertical="center"/>
    </xf>
    <xf numFmtId="4" fontId="55" fillId="0" borderId="76" xfId="0" applyNumberFormat="1" applyFont="1" applyFill="1" applyBorder="1" applyAlignment="1">
      <alignment vertical="center"/>
    </xf>
    <xf numFmtId="4" fontId="55" fillId="0" borderId="66" xfId="0" applyNumberFormat="1" applyFont="1" applyFill="1" applyBorder="1" applyAlignment="1">
      <alignment vertical="center"/>
    </xf>
    <xf numFmtId="4" fontId="55" fillId="0" borderId="69" xfId="0" applyNumberFormat="1" applyFont="1" applyFill="1" applyBorder="1" applyAlignment="1">
      <alignment vertical="center"/>
    </xf>
    <xf numFmtId="4" fontId="56" fillId="0" borderId="76" xfId="0" applyNumberFormat="1" applyFont="1" applyFill="1" applyBorder="1" applyAlignment="1">
      <alignment vertical="center"/>
    </xf>
    <xf numFmtId="4" fontId="56" fillId="0" borderId="92" xfId="0" applyNumberFormat="1" applyFont="1" applyFill="1" applyBorder="1" applyAlignment="1">
      <alignment vertical="center"/>
    </xf>
    <xf numFmtId="4" fontId="56" fillId="0" borderId="66" xfId="0" applyNumberFormat="1" applyFont="1" applyFill="1" applyBorder="1" applyAlignment="1">
      <alignment vertical="center"/>
    </xf>
    <xf numFmtId="4" fontId="56" fillId="0" borderId="69" xfId="0" applyNumberFormat="1" applyFont="1" applyFill="1" applyBorder="1" applyAlignment="1">
      <alignment vertical="center"/>
    </xf>
    <xf numFmtId="4" fontId="88" fillId="0" borderId="192" xfId="0" applyNumberFormat="1" applyFont="1" applyFill="1" applyBorder="1" applyAlignment="1">
      <alignment vertical="center"/>
    </xf>
    <xf numFmtId="4" fontId="56" fillId="0" borderId="192" xfId="0" applyNumberFormat="1" applyFont="1" applyFill="1" applyBorder="1" applyAlignment="1">
      <alignment vertical="center"/>
    </xf>
    <xf numFmtId="4" fontId="56" fillId="0" borderId="133" xfId="0" applyNumberFormat="1" applyFont="1" applyFill="1" applyBorder="1" applyAlignment="1">
      <alignment vertical="center"/>
    </xf>
    <xf numFmtId="4" fontId="89" fillId="0" borderId="146" xfId="0" applyNumberFormat="1" applyFont="1" applyFill="1" applyBorder="1" applyAlignment="1">
      <alignment vertical="center"/>
    </xf>
    <xf numFmtId="4" fontId="89" fillId="0" borderId="11" xfId="0" applyNumberFormat="1" applyFont="1" applyFill="1" applyBorder="1" applyAlignment="1">
      <alignment vertical="center"/>
    </xf>
    <xf numFmtId="4" fontId="89" fillId="0" borderId="15" xfId="0" applyNumberFormat="1" applyFont="1" applyFill="1" applyBorder="1" applyAlignment="1">
      <alignment vertical="center"/>
    </xf>
    <xf numFmtId="4" fontId="55" fillId="0" borderId="138" xfId="0" applyNumberFormat="1" applyFont="1" applyFill="1" applyBorder="1" applyAlignment="1">
      <alignment vertical="center"/>
    </xf>
    <xf numFmtId="49" fontId="56" fillId="0" borderId="138" xfId="0" applyNumberFormat="1" applyFont="1" applyFill="1" applyBorder="1" applyAlignment="1">
      <alignment horizontal="right" vertical="center" wrapText="1"/>
    </xf>
    <xf numFmtId="4" fontId="56" fillId="0" borderId="6" xfId="1" applyNumberFormat="1" applyFont="1" applyFill="1" applyBorder="1" applyAlignment="1" applyProtection="1">
      <alignment vertical="center"/>
    </xf>
    <xf numFmtId="4" fontId="56" fillId="0" borderId="13" xfId="0" applyNumberFormat="1" applyFont="1" applyFill="1" applyBorder="1" applyAlignment="1">
      <alignment vertical="center"/>
    </xf>
    <xf numFmtId="4" fontId="56" fillId="0" borderId="67" xfId="0" applyNumberFormat="1" applyFont="1" applyFill="1" applyBorder="1" applyAlignment="1">
      <alignment vertical="center"/>
    </xf>
    <xf numFmtId="4" fontId="48" fillId="0" borderId="9" xfId="0" applyNumberFormat="1" applyFont="1" applyFill="1" applyBorder="1" applyAlignment="1">
      <alignment horizontal="right"/>
    </xf>
    <xf numFmtId="4" fontId="56" fillId="0" borderId="20" xfId="0" applyNumberFormat="1" applyFont="1" applyFill="1" applyBorder="1" applyAlignment="1">
      <alignment vertical="center"/>
    </xf>
    <xf numFmtId="4" fontId="89" fillId="0" borderId="64" xfId="0" applyNumberFormat="1" applyFont="1" applyFill="1" applyBorder="1"/>
    <xf numFmtId="4" fontId="89" fillId="0" borderId="122" xfId="0" applyNumberFormat="1" applyFont="1" applyFill="1" applyBorder="1"/>
    <xf numFmtId="4" fontId="55" fillId="0" borderId="65" xfId="0" applyNumberFormat="1" applyFont="1" applyFill="1" applyBorder="1" applyAlignment="1">
      <alignment vertical="center"/>
    </xf>
    <xf numFmtId="4" fontId="55" fillId="0" borderId="152" xfId="0" applyNumberFormat="1" applyFont="1" applyFill="1" applyBorder="1" applyAlignment="1">
      <alignment vertical="center"/>
    </xf>
    <xf numFmtId="4" fontId="55" fillId="0" borderId="73" xfId="0" applyNumberFormat="1" applyFont="1" applyFill="1" applyBorder="1" applyAlignment="1">
      <alignment vertical="center"/>
    </xf>
    <xf numFmtId="4" fontId="55" fillId="0" borderId="13" xfId="0" applyNumberFormat="1" applyFont="1" applyFill="1" applyBorder="1" applyAlignment="1">
      <alignment vertical="center"/>
    </xf>
    <xf numFmtId="4" fontId="55" fillId="0" borderId="63" xfId="0" applyNumberFormat="1" applyFont="1" applyFill="1" applyBorder="1" applyAlignment="1">
      <alignment vertical="center"/>
    </xf>
    <xf numFmtId="4" fontId="55" fillId="0" borderId="123" xfId="0" applyNumberFormat="1" applyFont="1" applyFill="1" applyBorder="1" applyAlignment="1">
      <alignment vertical="center"/>
    </xf>
    <xf numFmtId="4" fontId="56" fillId="0" borderId="138" xfId="0" applyNumberFormat="1" applyFont="1" applyFill="1" applyBorder="1" applyAlignment="1">
      <alignment vertical="center"/>
    </xf>
    <xf numFmtId="4" fontId="56" fillId="0" borderId="63" xfId="0" applyNumberFormat="1" applyFont="1" applyFill="1" applyBorder="1" applyAlignment="1">
      <alignment vertical="center"/>
    </xf>
    <xf numFmtId="4" fontId="56" fillId="0" borderId="74" xfId="0" applyNumberFormat="1" applyFont="1" applyFill="1" applyBorder="1" applyAlignment="1">
      <alignment vertical="center"/>
    </xf>
    <xf numFmtId="4" fontId="4" fillId="0" borderId="140" xfId="0" applyNumberFormat="1" applyFont="1" applyFill="1" applyBorder="1"/>
    <xf numFmtId="4" fontId="0" fillId="6" borderId="19" xfId="0" applyNumberFormat="1" applyFont="1" applyFill="1" applyBorder="1" applyAlignment="1">
      <alignment vertical="center"/>
    </xf>
    <xf numFmtId="4" fontId="56" fillId="0" borderId="140" xfId="0" applyNumberFormat="1" applyFont="1" applyFill="1" applyBorder="1" applyAlignment="1">
      <alignment vertical="center"/>
    </xf>
    <xf numFmtId="4" fontId="56" fillId="6" borderId="140" xfId="0" applyNumberFormat="1" applyFont="1" applyFill="1" applyBorder="1" applyAlignment="1">
      <alignment vertical="center"/>
    </xf>
    <xf numFmtId="4" fontId="3" fillId="0" borderId="193" xfId="0" applyNumberFormat="1" applyFont="1" applyFill="1" applyBorder="1" applyAlignment="1">
      <alignment vertical="center"/>
    </xf>
    <xf numFmtId="4" fontId="30" fillId="0" borderId="193" xfId="0" applyNumberFormat="1" applyFont="1" applyFill="1" applyBorder="1"/>
    <xf numFmtId="4" fontId="0" fillId="0" borderId="137" xfId="0" applyNumberFormat="1" applyFont="1" applyFill="1" applyBorder="1"/>
    <xf numFmtId="4" fontId="4" fillId="6" borderId="138" xfId="0" applyNumberFormat="1" applyFont="1" applyFill="1" applyBorder="1" applyAlignment="1">
      <alignment vertical="center"/>
    </xf>
    <xf numFmtId="4" fontId="4" fillId="6" borderId="13" xfId="0" applyNumberFormat="1" applyFont="1" applyFill="1" applyBorder="1" applyAlignment="1">
      <alignment vertical="center"/>
    </xf>
    <xf numFmtId="4" fontId="0" fillId="0" borderId="201" xfId="0" applyNumberFormat="1" applyFont="1" applyFill="1" applyBorder="1" applyAlignment="1">
      <alignment vertical="center"/>
    </xf>
    <xf numFmtId="0" fontId="3" fillId="0" borderId="128" xfId="0" applyFont="1" applyFill="1" applyBorder="1"/>
    <xf numFmtId="0" fontId="3" fillId="0" borderId="124" xfId="0" applyFont="1" applyFill="1" applyBorder="1" applyAlignment="1">
      <alignment vertical="center"/>
    </xf>
    <xf numFmtId="4" fontId="0" fillId="0" borderId="166" xfId="0" applyNumberFormat="1" applyFont="1" applyFill="1" applyBorder="1" applyAlignment="1">
      <alignment vertical="center"/>
    </xf>
    <xf numFmtId="0" fontId="3" fillId="0" borderId="161" xfId="0" applyFont="1" applyFill="1" applyBorder="1" applyAlignment="1">
      <alignment vertical="center" wrapText="1"/>
    </xf>
    <xf numFmtId="4" fontId="0" fillId="0" borderId="124" xfId="0" applyNumberFormat="1" applyFont="1" applyFill="1" applyBorder="1" applyAlignment="1">
      <alignment horizontal="center" vertical="center"/>
    </xf>
    <xf numFmtId="4" fontId="45" fillId="0" borderId="124" xfId="0" applyNumberFormat="1" applyFont="1" applyFill="1" applyBorder="1"/>
    <xf numFmtId="4" fontId="0" fillId="0" borderId="89" xfId="0" applyNumberFormat="1" applyFont="1" applyFill="1" applyBorder="1"/>
    <xf numFmtId="4" fontId="4" fillId="0" borderId="86" xfId="0" applyNumberFormat="1" applyFont="1" applyFill="1" applyBorder="1" applyAlignment="1">
      <alignment vertical="center"/>
    </xf>
    <xf numFmtId="4" fontId="0" fillId="6" borderId="114" xfId="0" applyNumberFormat="1" applyFont="1" applyFill="1" applyBorder="1"/>
    <xf numFmtId="0" fontId="30" fillId="6" borderId="89" xfId="0" applyFont="1" applyFill="1" applyBorder="1" applyAlignment="1">
      <alignment vertical="center"/>
    </xf>
    <xf numFmtId="4" fontId="55" fillId="6" borderId="63" xfId="0" applyNumberFormat="1" applyFont="1" applyFill="1" applyBorder="1"/>
    <xf numFmtId="4" fontId="45" fillId="0" borderId="204" xfId="0" applyNumberFormat="1" applyFont="1" applyFill="1" applyBorder="1"/>
    <xf numFmtId="0" fontId="45" fillId="0" borderId="204" xfId="0" applyFont="1" applyFill="1" applyBorder="1"/>
    <xf numFmtId="0" fontId="30" fillId="0" borderId="177" xfId="0" applyFont="1" applyFill="1" applyBorder="1" applyAlignment="1">
      <alignment vertical="center"/>
    </xf>
    <xf numFmtId="0" fontId="30" fillId="0" borderId="120" xfId="0" applyFont="1" applyFill="1" applyBorder="1" applyAlignment="1">
      <alignment vertical="center"/>
    </xf>
    <xf numFmtId="0" fontId="30" fillId="0" borderId="69" xfId="0" applyFont="1" applyFill="1" applyBorder="1" applyAlignment="1">
      <alignment vertical="center"/>
    </xf>
    <xf numFmtId="4" fontId="4" fillId="0" borderId="132" xfId="0" applyNumberFormat="1" applyFont="1" applyFill="1" applyBorder="1" applyAlignment="1">
      <alignment vertical="center"/>
    </xf>
    <xf numFmtId="0" fontId="30" fillId="0" borderId="186" xfId="0" applyFont="1" applyFill="1" applyBorder="1" applyAlignment="1">
      <alignment vertical="center"/>
    </xf>
    <xf numFmtId="4" fontId="44" fillId="0" borderId="193" xfId="0" applyNumberFormat="1" applyFont="1" applyFill="1" applyBorder="1" applyAlignment="1">
      <alignment vertical="center"/>
    </xf>
    <xf numFmtId="0" fontId="3" fillId="0" borderId="140" xfId="0" applyFont="1" applyFill="1" applyBorder="1" applyAlignment="1">
      <alignment vertical="center"/>
    </xf>
    <xf numFmtId="0" fontId="4" fillId="0" borderId="73" xfId="0" applyFont="1" applyFill="1" applyBorder="1" applyAlignment="1">
      <alignment vertical="center"/>
    </xf>
    <xf numFmtId="0" fontId="44" fillId="0" borderId="114" xfId="0" applyFont="1" applyFill="1" applyBorder="1" applyAlignment="1">
      <alignment vertical="center"/>
    </xf>
    <xf numFmtId="0" fontId="44" fillId="0" borderId="183" xfId="0" applyFont="1" applyFill="1" applyBorder="1" applyAlignment="1">
      <alignment vertical="center"/>
    </xf>
    <xf numFmtId="0" fontId="44" fillId="0" borderId="76" xfId="0" applyFont="1" applyFill="1" applyBorder="1" applyAlignment="1">
      <alignment vertical="center"/>
    </xf>
    <xf numFmtId="0" fontId="44" fillId="0" borderId="133" xfId="0" applyFont="1" applyFill="1" applyBorder="1" applyAlignment="1">
      <alignment vertical="center"/>
    </xf>
    <xf numFmtId="4" fontId="44" fillId="0" borderId="73" xfId="0" applyNumberFormat="1" applyFont="1" applyFill="1" applyBorder="1" applyAlignment="1">
      <alignment vertical="center"/>
    </xf>
    <xf numFmtId="4" fontId="44" fillId="0" borderId="115" xfId="0" applyNumberFormat="1" applyFont="1" applyFill="1" applyBorder="1" applyAlignment="1">
      <alignment vertical="center"/>
    </xf>
    <xf numFmtId="4" fontId="44" fillId="0" borderId="76" xfId="0" applyNumberFormat="1" applyFont="1" applyFill="1" applyBorder="1" applyAlignment="1">
      <alignment vertical="center"/>
    </xf>
    <xf numFmtId="4" fontId="44" fillId="0" borderId="183" xfId="0" applyNumberFormat="1" applyFont="1" applyFill="1" applyBorder="1" applyAlignment="1">
      <alignment vertical="center"/>
    </xf>
    <xf numFmtId="0" fontId="8" fillId="0" borderId="183" xfId="0" applyFont="1" applyFill="1" applyBorder="1" applyAlignment="1">
      <alignment vertical="center"/>
    </xf>
    <xf numFmtId="0" fontId="8" fillId="0" borderId="114" xfId="0" applyFont="1" applyFill="1" applyBorder="1" applyAlignment="1">
      <alignment vertical="center"/>
    </xf>
    <xf numFmtId="0" fontId="44" fillId="0" borderId="66" xfId="0" applyFont="1" applyFill="1" applyBorder="1" applyAlignment="1">
      <alignment vertical="center"/>
    </xf>
    <xf numFmtId="0" fontId="8" fillId="0" borderId="115" xfId="0" applyFont="1" applyFill="1" applyBorder="1" applyAlignment="1">
      <alignment vertical="center"/>
    </xf>
    <xf numFmtId="0" fontId="44" fillId="0" borderId="66" xfId="0" applyFont="1" applyFill="1" applyBorder="1" applyAlignment="1">
      <alignment horizontal="right" vertical="center"/>
    </xf>
    <xf numFmtId="0" fontId="8" fillId="0" borderId="76" xfId="0" applyFont="1" applyFill="1" applyBorder="1" applyAlignment="1">
      <alignment vertical="center"/>
    </xf>
    <xf numFmtId="0" fontId="44" fillId="0" borderId="115" xfId="0" applyFont="1" applyFill="1" applyBorder="1" applyAlignment="1">
      <alignment horizontal="right" vertical="center"/>
    </xf>
    <xf numFmtId="4" fontId="18" fillId="0" borderId="108" xfId="0" applyNumberFormat="1" applyFont="1" applyFill="1" applyBorder="1" applyAlignment="1">
      <alignment vertical="center"/>
    </xf>
    <xf numFmtId="4" fontId="45" fillId="0" borderId="133" xfId="0" applyNumberFormat="1" applyFont="1" applyFill="1" applyBorder="1" applyAlignment="1">
      <alignment vertical="center"/>
    </xf>
    <xf numFmtId="4" fontId="21" fillId="0" borderId="207" xfId="0" applyNumberFormat="1" applyFont="1" applyFill="1" applyBorder="1"/>
    <xf numFmtId="0" fontId="56" fillId="0" borderId="75" xfId="0" applyFont="1" applyFill="1" applyBorder="1" applyAlignment="1">
      <alignment vertical="center" wrapText="1"/>
    </xf>
    <xf numFmtId="4" fontId="64" fillId="0" borderId="123" xfId="0" applyNumberFormat="1" applyFont="1" applyFill="1" applyBorder="1" applyAlignment="1">
      <alignment vertical="center"/>
    </xf>
    <xf numFmtId="4" fontId="45" fillId="0" borderId="204" xfId="0" applyNumberFormat="1" applyFont="1" applyFill="1" applyBorder="1" applyAlignment="1">
      <alignment vertical="center"/>
    </xf>
    <xf numFmtId="4" fontId="45" fillId="0" borderId="210" xfId="0" applyNumberFormat="1" applyFont="1" applyFill="1" applyBorder="1" applyAlignment="1">
      <alignment vertical="center"/>
    </xf>
    <xf numFmtId="4" fontId="0" fillId="0" borderId="161" xfId="0" applyNumberFormat="1" applyFont="1" applyFill="1" applyBorder="1" applyAlignment="1">
      <alignment vertical="center"/>
    </xf>
    <xf numFmtId="4" fontId="0" fillId="0" borderId="127" xfId="0" applyNumberFormat="1" applyFont="1" applyFill="1" applyBorder="1" applyAlignment="1">
      <alignment vertical="center"/>
    </xf>
    <xf numFmtId="4" fontId="0" fillId="0" borderId="211" xfId="0" applyNumberFormat="1" applyFont="1" applyFill="1" applyBorder="1" applyAlignment="1">
      <alignment vertical="center"/>
    </xf>
    <xf numFmtId="4" fontId="0" fillId="0" borderId="66" xfId="0" applyNumberFormat="1" applyFont="1" applyFill="1" applyBorder="1" applyAlignment="1">
      <alignment horizontal="right" vertical="center"/>
    </xf>
    <xf numFmtId="4" fontId="4" fillId="0" borderId="188" xfId="0" applyNumberFormat="1" applyFont="1" applyFill="1" applyBorder="1" applyAlignment="1">
      <alignment horizontal="right" vertical="center"/>
    </xf>
    <xf numFmtId="4" fontId="5" fillId="0" borderId="180" xfId="0" applyNumberFormat="1" applyFont="1" applyBorder="1" applyAlignment="1">
      <alignment horizontal="center" vertical="center" wrapText="1"/>
    </xf>
    <xf numFmtId="4" fontId="4" fillId="0" borderId="190" xfId="0" applyNumberFormat="1" applyFont="1" applyFill="1" applyBorder="1" applyAlignment="1">
      <alignment vertical="center" shrinkToFit="1"/>
    </xf>
    <xf numFmtId="4" fontId="24" fillId="0" borderId="210" xfId="0" applyNumberFormat="1" applyFont="1" applyFill="1" applyBorder="1" applyAlignment="1">
      <alignment vertical="center"/>
    </xf>
    <xf numFmtId="4" fontId="44" fillId="0" borderId="187" xfId="0" applyNumberFormat="1" applyFont="1" applyFill="1" applyBorder="1" applyAlignment="1">
      <alignment vertical="center"/>
    </xf>
    <xf numFmtId="4" fontId="44" fillId="0" borderId="120" xfId="0" applyNumberFormat="1" applyFont="1" applyFill="1" applyBorder="1" applyAlignment="1">
      <alignment vertical="center"/>
    </xf>
    <xf numFmtId="4" fontId="4" fillId="0" borderId="213" xfId="0" applyNumberFormat="1" applyFont="1" applyFill="1" applyBorder="1"/>
    <xf numFmtId="4" fontId="44" fillId="0" borderId="214" xfId="0" applyNumberFormat="1" applyFont="1" applyFill="1" applyBorder="1" applyAlignment="1">
      <alignment vertical="center"/>
    </xf>
    <xf numFmtId="4" fontId="0" fillId="0" borderId="215" xfId="0" applyNumberFormat="1" applyFont="1" applyFill="1" applyBorder="1" applyAlignment="1">
      <alignment vertical="center"/>
    </xf>
    <xf numFmtId="4" fontId="18" fillId="0" borderId="210" xfId="0" applyNumberFormat="1" applyFont="1" applyFill="1" applyBorder="1" applyAlignment="1">
      <alignment vertical="center"/>
    </xf>
    <xf numFmtId="4" fontId="4" fillId="0" borderId="153" xfId="0" applyNumberFormat="1" applyFont="1" applyFill="1" applyBorder="1" applyAlignment="1">
      <alignment vertical="center"/>
    </xf>
    <xf numFmtId="4" fontId="56" fillId="0" borderId="198" xfId="0" applyNumberFormat="1" applyFont="1" applyFill="1" applyBorder="1" applyAlignment="1">
      <alignment vertical="center"/>
    </xf>
    <xf numFmtId="4" fontId="55" fillId="0" borderId="190" xfId="0" applyNumberFormat="1" applyFont="1" applyFill="1" applyBorder="1" applyAlignment="1">
      <alignment vertical="center"/>
    </xf>
    <xf numFmtId="4" fontId="18" fillId="0" borderId="216" xfId="0" applyNumberFormat="1" applyFont="1" applyFill="1" applyBorder="1" applyAlignment="1">
      <alignment shrinkToFit="1"/>
    </xf>
    <xf numFmtId="4" fontId="4" fillId="6" borderId="190" xfId="0" applyNumberFormat="1" applyFont="1" applyFill="1" applyBorder="1" applyAlignment="1">
      <alignment vertical="center"/>
    </xf>
    <xf numFmtId="4" fontId="4" fillId="0" borderId="190" xfId="0" applyNumberFormat="1" applyFont="1" applyFill="1" applyBorder="1" applyAlignment="1">
      <alignment horizontal="right" vertical="center"/>
    </xf>
    <xf numFmtId="0" fontId="30" fillId="0" borderId="217" xfId="0" applyFont="1" applyFill="1" applyBorder="1" applyAlignment="1">
      <alignment vertical="center"/>
    </xf>
    <xf numFmtId="4" fontId="0" fillId="0" borderId="177" xfId="0" applyNumberFormat="1" applyFont="1" applyFill="1" applyBorder="1" applyAlignment="1">
      <alignment vertical="center"/>
    </xf>
    <xf numFmtId="49" fontId="0" fillId="0" borderId="191" xfId="0" applyNumberFormat="1" applyFont="1" applyBorder="1" applyAlignment="1">
      <alignment horizontal="right" vertical="center" wrapText="1"/>
    </xf>
    <xf numFmtId="4" fontId="24" fillId="0" borderId="203" xfId="0" applyNumberFormat="1" applyFont="1" applyFill="1" applyBorder="1" applyAlignment="1">
      <alignment vertical="center"/>
    </xf>
    <xf numFmtId="0" fontId="3" fillId="0" borderId="133" xfId="0" applyFont="1" applyFill="1" applyBorder="1"/>
    <xf numFmtId="4" fontId="4" fillId="0" borderId="69" xfId="0" applyNumberFormat="1" applyFont="1" applyFill="1" applyBorder="1" applyAlignment="1">
      <alignment vertical="center"/>
    </xf>
    <xf numFmtId="4" fontId="55" fillId="0" borderId="140" xfId="0" applyNumberFormat="1" applyFont="1" applyFill="1" applyBorder="1" applyAlignment="1">
      <alignment vertical="center"/>
    </xf>
    <xf numFmtId="4" fontId="55" fillId="0" borderId="140" xfId="0" applyNumberFormat="1" applyFont="1" applyFill="1" applyBorder="1" applyAlignment="1">
      <alignment vertical="center" shrinkToFit="1"/>
    </xf>
    <xf numFmtId="4" fontId="89" fillId="0" borderId="203" xfId="0" applyNumberFormat="1" applyFont="1" applyFill="1" applyBorder="1" applyAlignment="1">
      <alignment vertical="center"/>
    </xf>
    <xf numFmtId="4" fontId="55" fillId="0" borderId="187" xfId="0" applyNumberFormat="1" applyFont="1" applyFill="1" applyBorder="1" applyAlignment="1">
      <alignment vertical="center"/>
    </xf>
    <xf numFmtId="4" fontId="56" fillId="0" borderId="188" xfId="0" applyNumberFormat="1" applyFont="1" applyFill="1" applyBorder="1" applyAlignment="1">
      <alignment horizontal="right" vertical="center" wrapText="1"/>
    </xf>
    <xf numFmtId="4" fontId="55" fillId="0" borderId="188" xfId="0" applyNumberFormat="1" applyFont="1" applyFill="1" applyBorder="1" applyAlignment="1">
      <alignment vertical="center"/>
    </xf>
    <xf numFmtId="4" fontId="56" fillId="0" borderId="187" xfId="0" applyNumberFormat="1" applyFont="1" applyFill="1" applyBorder="1" applyAlignment="1">
      <alignment vertical="center"/>
    </xf>
    <xf numFmtId="4" fontId="4" fillId="6" borderId="188" xfId="0" applyNumberFormat="1" applyFont="1" applyFill="1" applyBorder="1" applyAlignment="1">
      <alignment vertical="center"/>
    </xf>
    <xf numFmtId="4" fontId="4" fillId="0" borderId="218" xfId="0" applyNumberFormat="1" applyFont="1" applyFill="1" applyBorder="1" applyAlignment="1">
      <alignment vertical="center"/>
    </xf>
    <xf numFmtId="4" fontId="0" fillId="0" borderId="218" xfId="0" applyNumberFormat="1" applyFont="1" applyFill="1" applyBorder="1" applyAlignment="1">
      <alignment vertical="center"/>
    </xf>
    <xf numFmtId="4" fontId="0" fillId="0" borderId="218" xfId="0" applyNumberFormat="1" applyFont="1" applyFill="1" applyBorder="1"/>
    <xf numFmtId="0" fontId="30" fillId="0" borderId="184" xfId="0" applyFont="1" applyFill="1" applyBorder="1" applyAlignment="1">
      <alignment vertical="center"/>
    </xf>
    <xf numFmtId="4" fontId="21" fillId="6" borderId="64" xfId="0" applyNumberFormat="1" applyFont="1" applyFill="1" applyBorder="1" applyAlignment="1">
      <alignment vertical="center"/>
    </xf>
    <xf numFmtId="4" fontId="18" fillId="0" borderId="219" xfId="0" applyNumberFormat="1" applyFont="1" applyFill="1" applyBorder="1" applyAlignment="1">
      <alignment vertical="center"/>
    </xf>
    <xf numFmtId="4" fontId="24" fillId="0" borderId="160" xfId="0" applyNumberFormat="1" applyFont="1" applyFill="1" applyBorder="1" applyAlignment="1">
      <alignment horizontal="center" vertical="center" wrapText="1"/>
    </xf>
    <xf numFmtId="4" fontId="4" fillId="0" borderId="193" xfId="0" applyNumberFormat="1" applyFont="1" applyFill="1" applyBorder="1" applyAlignment="1">
      <alignment vertical="center" shrinkToFit="1"/>
    </xf>
    <xf numFmtId="4" fontId="4" fillId="0" borderId="89" xfId="0" applyNumberFormat="1" applyFont="1" applyFill="1" applyBorder="1"/>
    <xf numFmtId="4" fontId="4" fillId="0" borderId="133" xfId="0" applyNumberFormat="1" applyFont="1" applyFill="1" applyBorder="1"/>
    <xf numFmtId="4" fontId="4" fillId="0" borderId="89" xfId="0" applyNumberFormat="1" applyFont="1" applyFill="1" applyBorder="1" applyAlignment="1">
      <alignment vertical="center" shrinkToFit="1"/>
    </xf>
    <xf numFmtId="4" fontId="3" fillId="0" borderId="89" xfId="0" applyNumberFormat="1" applyFont="1" applyFill="1" applyBorder="1"/>
    <xf numFmtId="4" fontId="3" fillId="0" borderId="133" xfId="0" applyNumberFormat="1" applyFont="1" applyFill="1" applyBorder="1"/>
    <xf numFmtId="4" fontId="4" fillId="0" borderId="75" xfId="0" applyNumberFormat="1" applyFont="1" applyFill="1" applyBorder="1" applyAlignment="1">
      <alignment vertical="center"/>
    </xf>
    <xf numFmtId="4" fontId="0" fillId="0" borderId="89" xfId="0" applyNumberFormat="1" applyFont="1" applyFill="1" applyBorder="1" applyAlignment="1">
      <alignment vertical="center"/>
    </xf>
    <xf numFmtId="4" fontId="30" fillId="0" borderId="162" xfId="0" applyNumberFormat="1" applyFont="1" applyFill="1" applyBorder="1"/>
    <xf numFmtId="4" fontId="24" fillId="0" borderId="133" xfId="0" applyNumberFormat="1" applyFont="1" applyFill="1" applyBorder="1"/>
    <xf numFmtId="4" fontId="4" fillId="0" borderId="135" xfId="0" applyNumberFormat="1" applyFont="1" applyFill="1" applyBorder="1" applyAlignment="1">
      <alignment vertical="center"/>
    </xf>
    <xf numFmtId="4" fontId="3" fillId="6" borderId="89" xfId="0" applyNumberFormat="1" applyFont="1" applyFill="1" applyBorder="1"/>
    <xf numFmtId="4" fontId="30" fillId="6" borderId="89" xfId="0" applyNumberFormat="1" applyFont="1" applyFill="1" applyBorder="1"/>
    <xf numFmtId="4" fontId="4" fillId="6" borderId="89" xfId="0" applyNumberFormat="1" applyFont="1" applyFill="1" applyBorder="1" applyAlignment="1">
      <alignment vertical="center"/>
    </xf>
    <xf numFmtId="4" fontId="0" fillId="6" borderId="193" xfId="0" applyNumberFormat="1" applyFont="1" applyFill="1" applyBorder="1" applyAlignment="1">
      <alignment vertical="center"/>
    </xf>
    <xf numFmtId="4" fontId="30" fillId="0" borderId="89" xfId="0" applyNumberFormat="1" applyFont="1" applyFill="1" applyBorder="1" applyAlignment="1">
      <alignment vertical="center"/>
    </xf>
    <xf numFmtId="4" fontId="4" fillId="6" borderId="89" xfId="0" applyNumberFormat="1" applyFont="1" applyFill="1" applyBorder="1"/>
    <xf numFmtId="4" fontId="0" fillId="6" borderId="89" xfId="0" applyNumberFormat="1" applyFont="1" applyFill="1" applyBorder="1" applyAlignment="1">
      <alignment vertical="center"/>
    </xf>
    <xf numFmtId="4" fontId="0" fillId="6" borderId="89" xfId="0" applyNumberFormat="1" applyFont="1" applyFill="1" applyBorder="1"/>
    <xf numFmtId="4" fontId="3" fillId="6" borderId="89" xfId="0" applyNumberFormat="1" applyFont="1" applyFill="1" applyBorder="1" applyAlignment="1">
      <alignment vertical="center"/>
    </xf>
    <xf numFmtId="4" fontId="3" fillId="6" borderId="136" xfId="0" applyNumberFormat="1" applyFont="1" applyFill="1" applyBorder="1"/>
    <xf numFmtId="4" fontId="3" fillId="6" borderId="137" xfId="0" applyNumberFormat="1" applyFont="1" applyFill="1" applyBorder="1"/>
    <xf numFmtId="4" fontId="3" fillId="6" borderId="85" xfId="0" applyNumberFormat="1" applyFont="1" applyFill="1" applyBorder="1"/>
    <xf numFmtId="4" fontId="18" fillId="0" borderId="144" xfId="0" applyNumberFormat="1" applyFont="1" applyFill="1" applyBorder="1"/>
    <xf numFmtId="4" fontId="4" fillId="0" borderId="135" xfId="0" applyNumberFormat="1" applyFont="1" applyFill="1" applyBorder="1"/>
    <xf numFmtId="0" fontId="30" fillId="0" borderId="89" xfId="0" applyFont="1" applyFill="1" applyBorder="1"/>
    <xf numFmtId="2" fontId="3" fillId="0" borderId="89" xfId="0" applyNumberFormat="1" applyFont="1" applyFill="1" applyBorder="1"/>
    <xf numFmtId="0" fontId="30" fillId="0" borderId="193" xfId="0" applyFont="1" applyFill="1" applyBorder="1"/>
    <xf numFmtId="0" fontId="3" fillId="0" borderId="193" xfId="0" applyFont="1" applyFill="1" applyBorder="1"/>
    <xf numFmtId="0" fontId="4" fillId="0" borderId="89" xfId="0" applyFont="1" applyFill="1" applyBorder="1"/>
    <xf numFmtId="0" fontId="0" fillId="0" borderId="137" xfId="0" applyFont="1" applyFill="1" applyBorder="1"/>
    <xf numFmtId="0" fontId="0" fillId="0" borderId="75" xfId="0" applyFont="1" applyFill="1" applyBorder="1"/>
    <xf numFmtId="0" fontId="0" fillId="0" borderId="133" xfId="0" applyFont="1" applyFill="1" applyBorder="1"/>
    <xf numFmtId="4" fontId="4" fillId="0" borderId="89" xfId="2" applyNumberFormat="1" applyFont="1" applyFill="1" applyBorder="1" applyAlignment="1" applyProtection="1">
      <alignment vertical="center"/>
    </xf>
    <xf numFmtId="4" fontId="0" fillId="0" borderId="193" xfId="0" applyNumberFormat="1" applyFont="1" applyFill="1" applyBorder="1"/>
    <xf numFmtId="4" fontId="0" fillId="0" borderId="133" xfId="0" applyNumberFormat="1" applyFont="1" applyFill="1" applyBorder="1"/>
    <xf numFmtId="0" fontId="30" fillId="0" borderId="75" xfId="0" applyFont="1" applyFill="1" applyBorder="1"/>
    <xf numFmtId="0" fontId="30" fillId="0" borderId="85" xfId="0" applyFont="1" applyFill="1" applyBorder="1"/>
    <xf numFmtId="4" fontId="6" fillId="0" borderId="144" xfId="0" applyNumberFormat="1" applyFont="1" applyFill="1" applyBorder="1" applyAlignment="1">
      <alignment vertical="center" shrinkToFit="1"/>
    </xf>
    <xf numFmtId="4" fontId="6" fillId="0" borderId="144" xfId="0" applyNumberFormat="1" applyFont="1" applyFill="1" applyBorder="1" applyAlignment="1">
      <alignment shrinkToFit="1"/>
    </xf>
    <xf numFmtId="4" fontId="0" fillId="0" borderId="75" xfId="0" applyNumberFormat="1" applyFont="1" applyFill="1" applyBorder="1" applyAlignment="1">
      <alignment vertical="center"/>
    </xf>
    <xf numFmtId="0" fontId="3" fillId="0" borderId="85" xfId="0" applyFont="1" applyFill="1" applyBorder="1"/>
    <xf numFmtId="4" fontId="21" fillId="0" borderId="168" xfId="0" applyNumberFormat="1" applyFont="1" applyFill="1" applyBorder="1" applyAlignment="1">
      <alignment shrinkToFit="1"/>
    </xf>
    <xf numFmtId="0" fontId="30" fillId="0" borderId="222" xfId="0" applyFont="1" applyFill="1" applyBorder="1"/>
    <xf numFmtId="4" fontId="6" fillId="0" borderId="222" xfId="0" applyNumberFormat="1" applyFont="1" applyFill="1" applyBorder="1"/>
    <xf numFmtId="4" fontId="5" fillId="0" borderId="222" xfId="0" applyNumberFormat="1" applyFont="1" applyFill="1" applyBorder="1" applyAlignment="1">
      <alignment vertical="center"/>
    </xf>
    <xf numFmtId="4" fontId="4" fillId="0" borderId="223" xfId="0" applyNumberFormat="1" applyFont="1" applyFill="1" applyBorder="1" applyAlignment="1">
      <alignment vertical="center"/>
    </xf>
    <xf numFmtId="4" fontId="4" fillId="0" borderId="137" xfId="0" applyNumberFormat="1" applyFont="1" applyFill="1" applyBorder="1" applyAlignment="1">
      <alignment vertical="center"/>
    </xf>
    <xf numFmtId="4" fontId="0" fillId="0" borderId="133" xfId="0" applyNumberFormat="1" applyFont="1" applyFill="1" applyBorder="1" applyAlignment="1">
      <alignment vertical="center"/>
    </xf>
    <xf numFmtId="4" fontId="24" fillId="0" borderId="160" xfId="0" applyNumberFormat="1" applyFont="1" applyFill="1" applyBorder="1" applyAlignment="1">
      <alignment vertical="center"/>
    </xf>
    <xf numFmtId="4" fontId="4" fillId="0" borderId="224" xfId="0" applyNumberFormat="1" applyFont="1" applyFill="1" applyBorder="1" applyAlignment="1">
      <alignment vertical="center"/>
    </xf>
    <xf numFmtId="4" fontId="80" fillId="0" borderId="193" xfId="0" applyNumberFormat="1" applyFont="1" applyFill="1" applyBorder="1" applyAlignment="1">
      <alignment vertical="center"/>
    </xf>
    <xf numFmtId="4" fontId="81" fillId="0" borderId="193" xfId="0" applyNumberFormat="1" applyFont="1" applyFill="1" applyBorder="1" applyAlignment="1">
      <alignment vertical="center"/>
    </xf>
    <xf numFmtId="4" fontId="24" fillId="0" borderId="222" xfId="0" applyNumberFormat="1" applyFont="1" applyFill="1" applyBorder="1"/>
    <xf numFmtId="4" fontId="24" fillId="0" borderId="225" xfId="0" applyNumberFormat="1" applyFont="1" applyFill="1" applyBorder="1"/>
    <xf numFmtId="4" fontId="0" fillId="0" borderId="137" xfId="0" applyNumberFormat="1" applyFont="1" applyFill="1" applyBorder="1" applyAlignment="1">
      <alignment vertical="center"/>
    </xf>
    <xf numFmtId="4" fontId="0" fillId="0" borderId="162" xfId="0" applyNumberFormat="1" applyFont="1" applyFill="1" applyBorder="1" applyAlignment="1">
      <alignment vertical="center"/>
    </xf>
    <xf numFmtId="4" fontId="6" fillId="0" borderId="221" xfId="0" applyNumberFormat="1" applyFont="1" applyFill="1" applyBorder="1"/>
    <xf numFmtId="4" fontId="45" fillId="0" borderId="144" xfId="0" applyNumberFormat="1" applyFont="1" applyFill="1" applyBorder="1" applyAlignment="1">
      <alignment vertical="center"/>
    </xf>
    <xf numFmtId="4" fontId="0" fillId="0" borderId="88" xfId="0" applyNumberFormat="1" applyFont="1" applyFill="1" applyBorder="1" applyAlignment="1">
      <alignment vertical="center"/>
    </xf>
    <xf numFmtId="4" fontId="45" fillId="0" borderId="160" xfId="0" applyNumberFormat="1" applyFont="1" applyFill="1" applyBorder="1" applyAlignment="1">
      <alignment vertical="center"/>
    </xf>
    <xf numFmtId="4" fontId="45" fillId="0" borderId="226" xfId="0" applyNumberFormat="1" applyFont="1" applyFill="1" applyBorder="1" applyAlignment="1">
      <alignment vertical="center"/>
    </xf>
    <xf numFmtId="4" fontId="44" fillId="0" borderId="89" xfId="0" applyNumberFormat="1" applyFont="1" applyFill="1" applyBorder="1" applyAlignment="1">
      <alignment vertical="center"/>
    </xf>
    <xf numFmtId="4" fontId="0" fillId="0" borderId="110" xfId="0" applyNumberFormat="1" applyFont="1" applyFill="1" applyBorder="1" applyAlignment="1">
      <alignment vertical="center"/>
    </xf>
    <xf numFmtId="4" fontId="45" fillId="0" borderId="226" xfId="0" applyNumberFormat="1" applyFont="1" applyFill="1" applyBorder="1"/>
    <xf numFmtId="4" fontId="24" fillId="0" borderId="226" xfId="0" applyNumberFormat="1" applyFont="1" applyFill="1" applyBorder="1" applyAlignment="1">
      <alignment vertical="center"/>
    </xf>
    <xf numFmtId="4" fontId="44" fillId="0" borderId="133" xfId="0" applyNumberFormat="1" applyFont="1" applyFill="1" applyBorder="1" applyAlignment="1">
      <alignment vertical="center"/>
    </xf>
    <xf numFmtId="4" fontId="0" fillId="0" borderId="170" xfId="0" applyNumberFormat="1" applyFont="1" applyFill="1" applyBorder="1" applyAlignment="1">
      <alignment vertical="center"/>
    </xf>
    <xf numFmtId="4" fontId="4" fillId="0" borderId="169" xfId="0" applyNumberFormat="1" applyFont="1" applyFill="1" applyBorder="1"/>
    <xf numFmtId="4" fontId="0" fillId="0" borderId="227" xfId="0" applyNumberFormat="1" applyFont="1" applyFill="1" applyBorder="1" applyAlignment="1">
      <alignment vertical="center"/>
    </xf>
    <xf numFmtId="4" fontId="44" fillId="0" borderId="166" xfId="0" applyNumberFormat="1" applyFont="1" applyFill="1" applyBorder="1" applyAlignment="1">
      <alignment vertical="center"/>
    </xf>
    <xf numFmtId="0" fontId="3" fillId="0" borderId="228" xfId="0" applyFont="1" applyFill="1" applyBorder="1"/>
    <xf numFmtId="4" fontId="18" fillId="0" borderId="226" xfId="0" applyNumberFormat="1" applyFont="1" applyFill="1" applyBorder="1" applyAlignment="1">
      <alignment vertical="center"/>
    </xf>
    <xf numFmtId="2" fontId="5" fillId="0" borderId="168" xfId="0" applyNumberFormat="1" applyFont="1" applyFill="1" applyBorder="1"/>
    <xf numFmtId="4" fontId="29" fillId="0" borderId="222" xfId="0" applyNumberFormat="1" applyFont="1" applyFill="1" applyBorder="1" applyAlignment="1">
      <alignment vertical="center"/>
    </xf>
    <xf numFmtId="4" fontId="4" fillId="0" borderId="77" xfId="0" applyNumberFormat="1" applyFont="1" applyFill="1" applyBorder="1" applyAlignment="1">
      <alignment vertical="center"/>
    </xf>
    <xf numFmtId="4" fontId="18" fillId="0" borderId="144" xfId="0" applyNumberFormat="1" applyFont="1" applyFill="1" applyBorder="1" applyAlignment="1">
      <alignment vertical="center"/>
    </xf>
    <xf numFmtId="4" fontId="4" fillId="0" borderId="193" xfId="0" applyNumberFormat="1" applyFont="1" applyFill="1" applyBorder="1"/>
    <xf numFmtId="4" fontId="18" fillId="0" borderId="222" xfId="0" applyNumberFormat="1" applyFont="1" applyFill="1" applyBorder="1"/>
    <xf numFmtId="49" fontId="0" fillId="0" borderId="193" xfId="0" applyNumberFormat="1" applyFont="1" applyFill="1" applyBorder="1" applyAlignment="1">
      <alignment horizontal="right" vertical="center" wrapText="1"/>
    </xf>
    <xf numFmtId="4" fontId="4" fillId="0" borderId="84" xfId="0" applyNumberFormat="1" applyFont="1" applyFill="1" applyBorder="1" applyAlignment="1">
      <alignment vertical="center"/>
    </xf>
    <xf numFmtId="4" fontId="0" fillId="0" borderId="168" xfId="0" applyNumberFormat="1" applyFont="1" applyFill="1" applyBorder="1" applyAlignment="1">
      <alignment vertical="center"/>
    </xf>
    <xf numFmtId="4" fontId="18" fillId="0" borderId="85" xfId="0" applyNumberFormat="1" applyFont="1" applyFill="1" applyBorder="1" applyAlignment="1">
      <alignment shrinkToFit="1"/>
    </xf>
    <xf numFmtId="0" fontId="4" fillId="0" borderId="133" xfId="0" applyFont="1" applyFill="1" applyBorder="1"/>
    <xf numFmtId="4" fontId="18" fillId="0" borderId="222" xfId="0" applyNumberFormat="1" applyFont="1" applyFill="1" applyBorder="1" applyAlignment="1">
      <alignment shrinkToFit="1"/>
    </xf>
    <xf numFmtId="4" fontId="24" fillId="0" borderId="222" xfId="0" applyNumberFormat="1" applyFont="1" applyFill="1" applyBorder="1" applyAlignment="1">
      <alignment shrinkToFit="1"/>
    </xf>
    <xf numFmtId="4" fontId="3" fillId="0" borderId="193" xfId="0" applyNumberFormat="1" applyFont="1" applyFill="1" applyBorder="1"/>
    <xf numFmtId="4" fontId="18" fillId="0" borderId="222" xfId="0" applyNumberFormat="1" applyFont="1" applyFill="1" applyBorder="1" applyAlignment="1">
      <alignment vertical="center"/>
    </xf>
    <xf numFmtId="4" fontId="3" fillId="0" borderId="133" xfId="0" applyNumberFormat="1" applyFont="1" applyFill="1" applyBorder="1" applyAlignment="1">
      <alignment vertical="center"/>
    </xf>
    <xf numFmtId="4" fontId="3" fillId="0" borderId="89" xfId="0" applyNumberFormat="1" applyFont="1" applyFill="1" applyBorder="1" applyAlignment="1">
      <alignment vertical="center"/>
    </xf>
    <xf numFmtId="4" fontId="69" fillId="0" borderId="144" xfId="0" applyNumberFormat="1" applyFont="1" applyFill="1" applyBorder="1" applyAlignment="1">
      <alignment vertical="center"/>
    </xf>
    <xf numFmtId="4" fontId="55" fillId="0" borderId="135" xfId="0" applyNumberFormat="1" applyFont="1" applyFill="1" applyBorder="1" applyAlignment="1">
      <alignment vertical="center"/>
    </xf>
    <xf numFmtId="2" fontId="55" fillId="0" borderId="162" xfId="0" applyNumberFormat="1" applyFont="1" applyFill="1" applyBorder="1" applyAlignment="1">
      <alignment vertical="center"/>
    </xf>
    <xf numFmtId="0" fontId="3" fillId="0" borderId="144" xfId="0" applyFont="1" applyFill="1" applyBorder="1"/>
    <xf numFmtId="4" fontId="21" fillId="6" borderId="144" xfId="0" applyNumberFormat="1" applyFont="1" applyFill="1" applyBorder="1" applyAlignment="1">
      <alignment vertical="center"/>
    </xf>
    <xf numFmtId="4" fontId="16" fillId="6" borderId="133" xfId="0" applyNumberFormat="1" applyFont="1" applyFill="1" applyBorder="1"/>
    <xf numFmtId="4" fontId="64" fillId="0" borderId="89" xfId="0" applyNumberFormat="1" applyFont="1" applyFill="1" applyBorder="1" applyAlignment="1">
      <alignment vertical="center"/>
    </xf>
    <xf numFmtId="4" fontId="64" fillId="0" borderId="89" xfId="0" applyNumberFormat="1" applyFont="1" applyFill="1" applyBorder="1" applyAlignment="1">
      <alignment horizontal="right" vertical="center"/>
    </xf>
    <xf numFmtId="4" fontId="16" fillId="0" borderId="133" xfId="0" applyNumberFormat="1" applyFont="1" applyFill="1" applyBorder="1"/>
    <xf numFmtId="4" fontId="64" fillId="0" borderId="193" xfId="0" applyNumberFormat="1" applyFont="1" applyFill="1" applyBorder="1" applyAlignment="1">
      <alignment vertical="center"/>
    </xf>
    <xf numFmtId="4" fontId="23" fillId="0" borderId="133" xfId="0" applyNumberFormat="1" applyFont="1" applyFill="1" applyBorder="1"/>
    <xf numFmtId="4" fontId="74" fillId="0" borderId="77" xfId="0" applyNumberFormat="1" applyFont="1" applyFill="1" applyBorder="1"/>
    <xf numFmtId="4" fontId="16" fillId="0" borderId="77" xfId="0" applyNumberFormat="1" applyFont="1" applyFill="1" applyBorder="1"/>
    <xf numFmtId="4" fontId="16" fillId="0" borderId="75" xfId="0" applyNumberFormat="1" applyFont="1" applyFill="1" applyBorder="1"/>
    <xf numFmtId="4" fontId="16" fillId="0" borderId="182" xfId="0" applyNumberFormat="1" applyFont="1" applyFill="1" applyBorder="1"/>
    <xf numFmtId="4" fontId="23" fillId="0" borderId="77" xfId="0" applyNumberFormat="1" applyFont="1" applyFill="1" applyBorder="1"/>
    <xf numFmtId="4" fontId="23" fillId="0" borderId="75" xfId="0" applyNumberFormat="1" applyFont="1" applyFill="1" applyBorder="1"/>
    <xf numFmtId="4" fontId="23" fillId="0" borderId="194" xfId="0" applyNumberFormat="1" applyFont="1" applyFill="1" applyBorder="1"/>
    <xf numFmtId="4" fontId="23" fillId="0" borderId="137" xfId="0" applyNumberFormat="1" applyFont="1" applyFill="1" applyBorder="1"/>
    <xf numFmtId="4" fontId="69" fillId="0" borderId="222" xfId="0" applyNumberFormat="1" applyFont="1" applyFill="1" applyBorder="1" applyAlignment="1">
      <alignment vertical="center"/>
    </xf>
    <xf numFmtId="4" fontId="55" fillId="0" borderId="224" xfId="0" applyNumberFormat="1" applyFont="1" applyFill="1" applyBorder="1" applyAlignment="1">
      <alignment vertical="center"/>
    </xf>
    <xf numFmtId="0" fontId="55" fillId="0" borderId="133" xfId="0" applyFont="1" applyFill="1" applyBorder="1" applyAlignment="1">
      <alignment vertical="center"/>
    </xf>
    <xf numFmtId="4" fontId="21" fillId="0" borderId="144" xfId="0" applyNumberFormat="1" applyFont="1" applyFill="1" applyBorder="1"/>
    <xf numFmtId="4" fontId="18" fillId="0" borderId="168" xfId="0" applyNumberFormat="1" applyFont="1" applyFill="1" applyBorder="1" applyAlignment="1">
      <alignment shrinkToFit="1"/>
    </xf>
    <xf numFmtId="4" fontId="0" fillId="0" borderId="136" xfId="0" applyNumberFormat="1" applyFont="1" applyFill="1" applyBorder="1"/>
    <xf numFmtId="4" fontId="0" fillId="0" borderId="168" xfId="0" applyNumberFormat="1" applyFont="1" applyFill="1" applyBorder="1"/>
    <xf numFmtId="4" fontId="0" fillId="6" borderId="136" xfId="0" applyNumberFormat="1" applyFont="1" applyFill="1" applyBorder="1"/>
    <xf numFmtId="4" fontId="0" fillId="6" borderId="133" xfId="0" applyNumberFormat="1" applyFont="1" applyFill="1" applyBorder="1"/>
    <xf numFmtId="4" fontId="6" fillId="0" borderId="168" xfId="0" applyNumberFormat="1" applyFont="1" applyFill="1" applyBorder="1" applyAlignment="1">
      <alignment vertical="center" shrinkToFit="1"/>
    </xf>
    <xf numFmtId="4" fontId="4" fillId="0" borderId="230" xfId="0" applyNumberFormat="1" applyFont="1" applyFill="1" applyBorder="1" applyAlignment="1">
      <alignment vertical="center"/>
    </xf>
    <xf numFmtId="4" fontId="4" fillId="0" borderId="220" xfId="0" applyNumberFormat="1" applyFont="1" applyFill="1" applyBorder="1" applyAlignment="1">
      <alignment vertical="center"/>
    </xf>
    <xf numFmtId="4" fontId="24" fillId="0" borderId="219" xfId="0" applyNumberFormat="1" applyFont="1" applyFill="1" applyBorder="1"/>
    <xf numFmtId="4" fontId="24" fillId="0" borderId="231" xfId="0" applyNumberFormat="1" applyFont="1" applyFill="1" applyBorder="1"/>
    <xf numFmtId="4" fontId="6" fillId="0" borderId="229" xfId="0" applyNumberFormat="1" applyFont="1" applyFill="1" applyBorder="1"/>
    <xf numFmtId="4" fontId="45" fillId="0" borderId="232" xfId="0" applyNumberFormat="1" applyFont="1" applyFill="1" applyBorder="1" applyAlignment="1">
      <alignment vertical="center"/>
    </xf>
    <xf numFmtId="4" fontId="45" fillId="0" borderId="232" xfId="0" applyNumberFormat="1" applyFont="1" applyFill="1" applyBorder="1"/>
    <xf numFmtId="4" fontId="24" fillId="0" borderId="232" xfId="0" applyNumberFormat="1" applyFont="1" applyFill="1" applyBorder="1" applyAlignment="1">
      <alignment vertical="center"/>
    </xf>
    <xf numFmtId="4" fontId="45" fillId="0" borderId="219" xfId="0" applyNumberFormat="1" applyFont="1" applyFill="1" applyBorder="1" applyAlignment="1">
      <alignment vertical="center"/>
    </xf>
    <xf numFmtId="4" fontId="45" fillId="0" borderId="231" xfId="0" applyNumberFormat="1" applyFont="1" applyFill="1" applyBorder="1" applyAlignment="1">
      <alignment vertical="center"/>
    </xf>
    <xf numFmtId="4" fontId="18" fillId="0" borderId="168" xfId="0" applyNumberFormat="1" applyFont="1" applyFill="1" applyBorder="1" applyAlignment="1">
      <alignment vertical="center"/>
    </xf>
    <xf numFmtId="4" fontId="18" fillId="0" borderId="233" xfId="0" applyNumberFormat="1" applyFont="1" applyFill="1" applyBorder="1" applyAlignment="1">
      <alignment vertical="center"/>
    </xf>
    <xf numFmtId="4" fontId="18" fillId="0" borderId="168" xfId="0" applyNumberFormat="1" applyFont="1" applyFill="1" applyBorder="1"/>
    <xf numFmtId="4" fontId="18" fillId="0" borderId="219" xfId="0" applyNumberFormat="1" applyFont="1" applyFill="1" applyBorder="1"/>
    <xf numFmtId="4" fontId="18" fillId="0" borderId="232" xfId="0" applyNumberFormat="1" applyFont="1" applyFill="1" applyBorder="1"/>
    <xf numFmtId="4" fontId="90" fillId="0" borderId="222" xfId="0" applyNumberFormat="1" applyFont="1" applyFill="1" applyBorder="1" applyAlignment="1">
      <alignment vertical="center"/>
    </xf>
    <xf numFmtId="4" fontId="55" fillId="0" borderId="197" xfId="0" applyNumberFormat="1" applyFont="1" applyFill="1" applyBorder="1" applyAlignment="1">
      <alignment vertical="center"/>
    </xf>
    <xf numFmtId="49" fontId="56" fillId="0" borderId="193" xfId="0" applyNumberFormat="1" applyFont="1" applyFill="1" applyBorder="1" applyAlignment="1">
      <alignment horizontal="right" vertical="center" wrapText="1"/>
    </xf>
    <xf numFmtId="4" fontId="4" fillId="0" borderId="167" xfId="0" applyNumberFormat="1" applyFont="1" applyFill="1" applyBorder="1" applyAlignment="1">
      <alignment vertical="center"/>
    </xf>
    <xf numFmtId="4" fontId="18" fillId="0" borderId="219" xfId="0" applyNumberFormat="1" applyFont="1" applyFill="1" applyBorder="1" applyAlignment="1">
      <alignment shrinkToFit="1"/>
    </xf>
    <xf numFmtId="4" fontId="24" fillId="0" borderId="219" xfId="0" applyNumberFormat="1" applyFont="1" applyFill="1" applyBorder="1" applyAlignment="1">
      <alignment shrinkToFit="1"/>
    </xf>
    <xf numFmtId="4" fontId="4" fillId="0" borderId="224" xfId="0" applyNumberFormat="1" applyFont="1" applyFill="1" applyBorder="1" applyAlignment="1">
      <alignment horizontal="right" vertical="center"/>
    </xf>
    <xf numFmtId="4" fontId="0" fillId="0" borderId="99" xfId="0" applyNumberFormat="1" applyFont="1" applyFill="1" applyBorder="1" applyAlignment="1">
      <alignment vertical="center"/>
    </xf>
    <xf numFmtId="0" fontId="30" fillId="0" borderId="234" xfId="0" applyFont="1" applyFill="1" applyBorder="1" applyAlignment="1">
      <alignment vertical="center"/>
    </xf>
    <xf numFmtId="4" fontId="24" fillId="0" borderId="233" xfId="0" applyNumberFormat="1" applyFont="1" applyFill="1" applyBorder="1" applyAlignment="1">
      <alignment vertical="center"/>
    </xf>
    <xf numFmtId="4" fontId="24" fillId="0" borderId="235" xfId="0" applyNumberFormat="1" applyFont="1" applyFill="1" applyBorder="1" applyAlignment="1">
      <alignment vertical="center"/>
    </xf>
    <xf numFmtId="4" fontId="4" fillId="0" borderId="162" xfId="0" applyNumberFormat="1" applyFont="1" applyFill="1" applyBorder="1"/>
    <xf numFmtId="4" fontId="4" fillId="6" borderId="236" xfId="0" applyNumberFormat="1" applyFont="1" applyFill="1" applyBorder="1" applyAlignment="1">
      <alignment vertical="center"/>
    </xf>
    <xf numFmtId="4" fontId="0" fillId="6" borderId="66" xfId="0" applyNumberFormat="1" applyFont="1" applyFill="1" applyBorder="1" applyAlignment="1">
      <alignment vertical="center"/>
    </xf>
    <xf numFmtId="4" fontId="64" fillId="6" borderId="66" xfId="0" applyNumberFormat="1" applyFont="1" applyFill="1" applyBorder="1" applyAlignment="1">
      <alignment vertical="center"/>
    </xf>
    <xf numFmtId="4" fontId="64" fillId="0" borderId="66" xfId="0" applyNumberFormat="1" applyFont="1" applyFill="1" applyBorder="1" applyAlignment="1">
      <alignment vertical="center"/>
    </xf>
    <xf numFmtId="4" fontId="64" fillId="6" borderId="66" xfId="0" applyNumberFormat="1" applyFont="1" applyFill="1" applyBorder="1"/>
    <xf numFmtId="4" fontId="49" fillId="6" borderId="66" xfId="0" applyNumberFormat="1" applyFont="1" applyFill="1" applyBorder="1"/>
    <xf numFmtId="4" fontId="0" fillId="6" borderId="66" xfId="0" applyNumberFormat="1" applyFont="1" applyFill="1" applyBorder="1"/>
    <xf numFmtId="4" fontId="0" fillId="6" borderId="66" xfId="0" applyNumberFormat="1" applyFont="1" applyFill="1" applyBorder="1" applyAlignment="1">
      <alignment horizontal="right" vertical="center"/>
    </xf>
    <xf numFmtId="4" fontId="49" fillId="6" borderId="66" xfId="0" applyNumberFormat="1" applyFont="1" applyFill="1" applyBorder="1" applyAlignment="1">
      <alignment vertical="center"/>
    </xf>
    <xf numFmtId="4" fontId="49" fillId="0" borderId="66" xfId="0" applyNumberFormat="1" applyFont="1" applyFill="1" applyBorder="1" applyAlignment="1">
      <alignment vertical="center"/>
    </xf>
    <xf numFmtId="4" fontId="64" fillId="0" borderId="140" xfId="0" applyNumberFormat="1" applyFont="1" applyFill="1" applyBorder="1" applyAlignment="1">
      <alignment vertical="center"/>
    </xf>
    <xf numFmtId="4" fontId="49" fillId="0" borderId="140" xfId="0" applyNumberFormat="1" applyFont="1" applyFill="1" applyBorder="1" applyAlignment="1">
      <alignment vertical="center"/>
    </xf>
    <xf numFmtId="4" fontId="0" fillId="6" borderId="115" xfId="0" applyNumberFormat="1" applyFont="1" applyFill="1" applyBorder="1" applyAlignment="1">
      <alignment vertical="center"/>
    </xf>
    <xf numFmtId="4" fontId="0" fillId="6" borderId="140" xfId="0" applyNumberFormat="1" applyFont="1" applyFill="1" applyBorder="1" applyAlignment="1">
      <alignment vertical="center"/>
    </xf>
    <xf numFmtId="4" fontId="0" fillId="6" borderId="183" xfId="0" applyNumberFormat="1" applyFont="1" applyFill="1" applyBorder="1" applyAlignment="1">
      <alignment vertical="center"/>
    </xf>
    <xf numFmtId="4" fontId="0" fillId="6" borderId="114" xfId="0" applyNumberFormat="1" applyFont="1" applyFill="1" applyBorder="1" applyAlignment="1">
      <alignment vertical="center"/>
    </xf>
    <xf numFmtId="4" fontId="0" fillId="6" borderId="76" xfId="0" applyNumberFormat="1" applyFont="1" applyFill="1" applyBorder="1" applyAlignment="1">
      <alignment vertical="center"/>
    </xf>
    <xf numFmtId="4" fontId="18" fillId="0" borderId="232" xfId="0" applyNumberFormat="1" applyFont="1" applyFill="1" applyBorder="1" applyAlignment="1">
      <alignment vertical="center"/>
    </xf>
    <xf numFmtId="4" fontId="24" fillId="0" borderId="222" xfId="0" applyNumberFormat="1" applyFont="1" applyFill="1" applyBorder="1" applyAlignment="1">
      <alignment vertical="center"/>
    </xf>
    <xf numFmtId="4" fontId="4" fillId="0" borderId="224" xfId="0" applyNumberFormat="1" applyFont="1" applyFill="1" applyBorder="1"/>
    <xf numFmtId="4" fontId="21" fillId="0" borderId="232" xfId="0" applyNumberFormat="1" applyFont="1" applyFill="1" applyBorder="1"/>
    <xf numFmtId="4" fontId="4" fillId="0" borderId="0" xfId="0" applyNumberFormat="1" applyFont="1" applyFill="1" applyBorder="1" applyAlignment="1">
      <alignment vertical="center" shrinkToFit="1"/>
    </xf>
    <xf numFmtId="4" fontId="45" fillId="0" borderId="210" xfId="0" applyNumberFormat="1" applyFont="1" applyFill="1" applyBorder="1"/>
    <xf numFmtId="4" fontId="4" fillId="0" borderId="237" xfId="0" applyNumberFormat="1" applyFont="1" applyFill="1" applyBorder="1" applyAlignment="1">
      <alignment vertical="center" shrinkToFit="1"/>
    </xf>
    <xf numFmtId="4" fontId="4" fillId="0" borderId="15" xfId="0" applyNumberFormat="1" applyFont="1" applyFill="1" applyBorder="1"/>
    <xf numFmtId="4" fontId="18" fillId="0" borderId="242" xfId="0" applyNumberFormat="1" applyFont="1" applyFill="1" applyBorder="1" applyAlignment="1">
      <alignment vertical="center"/>
    </xf>
    <xf numFmtId="4" fontId="55" fillId="0" borderId="74" xfId="0" applyNumberFormat="1" applyFont="1" applyFill="1" applyBorder="1" applyAlignment="1">
      <alignment vertical="center"/>
    </xf>
    <xf numFmtId="4" fontId="55" fillId="0" borderId="202" xfId="0" applyNumberFormat="1" applyFont="1" applyFill="1" applyBorder="1" applyAlignment="1">
      <alignment vertical="center"/>
    </xf>
    <xf numFmtId="4" fontId="89" fillId="0" borderId="240" xfId="0" applyNumberFormat="1" applyFont="1" applyFill="1" applyBorder="1"/>
    <xf numFmtId="4" fontId="0" fillId="6" borderId="190" xfId="0" applyNumberFormat="1" applyFont="1" applyFill="1" applyBorder="1" applyAlignment="1">
      <alignment vertical="center"/>
    </xf>
    <xf numFmtId="4" fontId="24" fillId="0" borderId="244" xfId="0" applyNumberFormat="1" applyFont="1" applyFill="1" applyBorder="1" applyAlignment="1">
      <alignment shrinkToFit="1"/>
    </xf>
    <xf numFmtId="4" fontId="24" fillId="0" borderId="242" xfId="0" applyNumberFormat="1" applyFont="1" applyFill="1" applyBorder="1"/>
    <xf numFmtId="4" fontId="24" fillId="0" borderId="243" xfId="0" applyNumberFormat="1" applyFont="1" applyFill="1" applyBorder="1" applyAlignment="1">
      <alignment vertical="center"/>
    </xf>
    <xf numFmtId="4" fontId="24" fillId="0" borderId="242" xfId="0" applyNumberFormat="1" applyFont="1" applyFill="1" applyBorder="1" applyAlignment="1">
      <alignment vertical="center"/>
    </xf>
    <xf numFmtId="4" fontId="0" fillId="0" borderId="123" xfId="0" applyNumberFormat="1" applyFont="1" applyFill="1" applyBorder="1" applyAlignment="1">
      <alignment vertical="center" shrinkToFit="1"/>
    </xf>
    <xf numFmtId="4" fontId="0" fillId="0" borderId="248" xfId="0" applyNumberFormat="1" applyFont="1" applyFill="1" applyBorder="1" applyAlignment="1">
      <alignment vertical="center"/>
    </xf>
    <xf numFmtId="4" fontId="45" fillId="0" borderId="206" xfId="0" applyNumberFormat="1" applyFont="1" applyFill="1" applyBorder="1" applyAlignment="1">
      <alignment vertical="center"/>
    </xf>
    <xf numFmtId="4" fontId="0" fillId="0" borderId="213" xfId="0" applyNumberFormat="1" applyFont="1" applyFill="1" applyBorder="1" applyAlignment="1">
      <alignment vertical="center"/>
    </xf>
    <xf numFmtId="4" fontId="18" fillId="0" borderId="209" xfId="0" applyNumberFormat="1" applyFont="1" applyFill="1" applyBorder="1" applyAlignment="1">
      <alignment vertical="center"/>
    </xf>
    <xf numFmtId="4" fontId="4" fillId="0" borderId="69" xfId="0" applyNumberFormat="1" applyFont="1" applyFill="1" applyBorder="1" applyAlignment="1">
      <alignment horizontal="right" vertical="center"/>
    </xf>
    <xf numFmtId="4" fontId="18" fillId="0" borderId="247" xfId="0" applyNumberFormat="1" applyFont="1" applyFill="1" applyBorder="1" applyAlignment="1">
      <alignment vertical="center"/>
    </xf>
    <xf numFmtId="4" fontId="24" fillId="0" borderId="249" xfId="0" applyNumberFormat="1" applyFont="1" applyFill="1" applyBorder="1"/>
    <xf numFmtId="4" fontId="45" fillId="0" borderId="157" xfId="0" applyNumberFormat="1" applyFont="1" applyFill="1" applyBorder="1"/>
    <xf numFmtId="4" fontId="44" fillId="0" borderId="74" xfId="0" applyNumberFormat="1" applyFont="1" applyFill="1" applyBorder="1" applyAlignment="1">
      <alignment vertical="center"/>
    </xf>
    <xf numFmtId="4" fontId="44" fillId="0" borderId="251" xfId="0" applyNumberFormat="1" applyFont="1" applyFill="1" applyBorder="1" applyAlignment="1">
      <alignment vertical="center"/>
    </xf>
    <xf numFmtId="4" fontId="45" fillId="0" borderId="249" xfId="0" applyNumberFormat="1" applyFont="1" applyFill="1" applyBorder="1" applyAlignment="1">
      <alignment vertical="center"/>
    </xf>
    <xf numFmtId="4" fontId="18" fillId="0" borderId="249" xfId="0" applyNumberFormat="1" applyFont="1" applyFill="1" applyBorder="1" applyAlignment="1">
      <alignment vertical="center"/>
    </xf>
    <xf numFmtId="4" fontId="18" fillId="0" borderId="249" xfId="0" applyNumberFormat="1" applyFont="1" applyFill="1" applyBorder="1"/>
    <xf numFmtId="4" fontId="18" fillId="0" borderId="241" xfId="0" applyNumberFormat="1" applyFont="1" applyFill="1" applyBorder="1"/>
    <xf numFmtId="4" fontId="4" fillId="0" borderId="252" xfId="0" applyNumberFormat="1" applyFont="1" applyFill="1" applyBorder="1" applyAlignment="1">
      <alignment vertical="center"/>
    </xf>
    <xf numFmtId="4" fontId="56" fillId="0" borderId="253" xfId="0" applyNumberFormat="1" applyFont="1" applyFill="1" applyBorder="1" applyAlignment="1">
      <alignment vertical="center"/>
    </xf>
    <xf numFmtId="4" fontId="56" fillId="0" borderId="74" xfId="0" applyNumberFormat="1" applyFont="1" applyFill="1" applyBorder="1"/>
    <xf numFmtId="4" fontId="56" fillId="0" borderId="202" xfId="0" applyNumberFormat="1" applyFont="1" applyFill="1" applyBorder="1" applyAlignment="1">
      <alignment vertical="center"/>
    </xf>
    <xf numFmtId="4" fontId="55" fillId="0" borderId="253" xfId="0" applyNumberFormat="1" applyFont="1" applyFill="1" applyBorder="1" applyAlignment="1">
      <alignment vertical="center"/>
    </xf>
    <xf numFmtId="4" fontId="55" fillId="0" borderId="0" xfId="0" applyNumberFormat="1" applyFont="1" applyFill="1" applyBorder="1" applyAlignment="1">
      <alignment vertical="center"/>
    </xf>
    <xf numFmtId="4" fontId="55" fillId="0" borderId="253" xfId="0" applyNumberFormat="1" applyFont="1" applyFill="1" applyBorder="1" applyAlignment="1">
      <alignment vertical="center" shrinkToFit="1"/>
    </xf>
    <xf numFmtId="4" fontId="56" fillId="0" borderId="199" xfId="0" applyNumberFormat="1" applyFont="1" applyFill="1" applyBorder="1" applyAlignment="1">
      <alignment vertical="center"/>
    </xf>
    <xf numFmtId="4" fontId="89" fillId="0" borderId="108" xfId="0" applyNumberFormat="1" applyFont="1" applyFill="1" applyBorder="1" applyAlignment="1">
      <alignment vertical="center"/>
    </xf>
    <xf numFmtId="4" fontId="55" fillId="0" borderId="191" xfId="0" applyNumberFormat="1" applyFont="1" applyFill="1" applyBorder="1" applyAlignment="1">
      <alignment vertical="center"/>
    </xf>
    <xf numFmtId="4" fontId="56" fillId="0" borderId="19" xfId="0" applyNumberFormat="1" applyFont="1" applyFill="1" applyBorder="1" applyAlignment="1">
      <alignment vertical="center"/>
    </xf>
    <xf numFmtId="4" fontId="56" fillId="0" borderId="44" xfId="0" applyNumberFormat="1" applyFont="1" applyFill="1" applyBorder="1" applyAlignment="1">
      <alignment vertical="center"/>
    </xf>
    <xf numFmtId="4" fontId="89" fillId="0" borderId="239" xfId="0" applyNumberFormat="1" applyFont="1" applyFill="1" applyBorder="1"/>
    <xf numFmtId="4" fontId="55" fillId="0" borderId="19" xfId="0" applyNumberFormat="1" applyFont="1" applyFill="1" applyBorder="1" applyAlignment="1">
      <alignment vertical="center"/>
    </xf>
    <xf numFmtId="4" fontId="4" fillId="6" borderId="191" xfId="0" applyNumberFormat="1" applyFont="1" applyFill="1" applyBorder="1" applyAlignment="1">
      <alignment vertical="center"/>
    </xf>
    <xf numFmtId="4" fontId="18" fillId="0" borderId="249" xfId="0" applyNumberFormat="1" applyFont="1" applyFill="1" applyBorder="1" applyAlignment="1">
      <alignment shrinkToFit="1"/>
    </xf>
    <xf numFmtId="4" fontId="24" fillId="0" borderId="249" xfId="0" applyNumberFormat="1" applyFont="1" applyFill="1" applyBorder="1" applyAlignment="1">
      <alignment shrinkToFit="1"/>
    </xf>
    <xf numFmtId="4" fontId="4" fillId="0" borderId="191" xfId="0" applyNumberFormat="1" applyFont="1" applyFill="1" applyBorder="1" applyAlignment="1">
      <alignment horizontal="right" vertical="center"/>
    </xf>
    <xf numFmtId="0" fontId="30" fillId="0" borderId="254" xfId="0" applyFont="1" applyFill="1" applyBorder="1" applyAlignment="1">
      <alignment vertical="center"/>
    </xf>
    <xf numFmtId="4" fontId="24" fillId="0" borderId="241" xfId="0" applyNumberFormat="1" applyFont="1" applyFill="1" applyBorder="1" applyAlignment="1">
      <alignment vertical="center"/>
    </xf>
    <xf numFmtId="4" fontId="24" fillId="0" borderId="236" xfId="0" applyNumberFormat="1" applyFont="1" applyFill="1" applyBorder="1" applyAlignment="1">
      <alignment vertical="center"/>
    </xf>
    <xf numFmtId="4" fontId="18" fillId="0" borderId="256" xfId="0" applyNumberFormat="1" applyFont="1" applyFill="1" applyBorder="1" applyAlignment="1">
      <alignment vertical="center"/>
    </xf>
    <xf numFmtId="4" fontId="4" fillId="0" borderId="70" xfId="0" applyNumberFormat="1" applyFont="1" applyFill="1" applyBorder="1" applyAlignment="1">
      <alignment vertical="center"/>
    </xf>
    <xf numFmtId="4" fontId="56" fillId="0" borderId="70" xfId="0" applyNumberFormat="1" applyFont="1" applyFill="1" applyBorder="1" applyAlignment="1">
      <alignment vertical="center"/>
    </xf>
    <xf numFmtId="4" fontId="24" fillId="0" borderId="256" xfId="0" applyNumberFormat="1" applyFont="1" applyFill="1" applyBorder="1" applyAlignment="1">
      <alignment shrinkToFit="1"/>
    </xf>
    <xf numFmtId="0" fontId="18" fillId="0" borderId="257" xfId="0" applyFont="1" applyFill="1" applyBorder="1" applyAlignment="1">
      <alignment horizontal="center"/>
    </xf>
    <xf numFmtId="4" fontId="4" fillId="0" borderId="189" xfId="0" applyNumberFormat="1" applyFont="1" applyFill="1" applyBorder="1" applyAlignment="1">
      <alignment vertical="center"/>
    </xf>
    <xf numFmtId="4" fontId="0" fillId="0" borderId="32" xfId="0" applyNumberFormat="1" applyFont="1" applyFill="1" applyBorder="1" applyAlignment="1">
      <alignment vertical="center"/>
    </xf>
    <xf numFmtId="4" fontId="24" fillId="0" borderId="209" xfId="0" applyNumberFormat="1" applyFont="1" applyFill="1" applyBorder="1" applyAlignment="1">
      <alignment vertical="center"/>
    </xf>
    <xf numFmtId="4" fontId="45" fillId="0" borderId="209" xfId="0" applyNumberFormat="1" applyFont="1" applyFill="1" applyBorder="1"/>
    <xf numFmtId="4" fontId="30" fillId="0" borderId="23" xfId="0" applyNumberFormat="1" applyFont="1" applyFill="1" applyBorder="1"/>
    <xf numFmtId="4" fontId="0" fillId="0" borderId="134" xfId="0" applyNumberFormat="1" applyFont="1" applyFill="1" applyBorder="1"/>
    <xf numFmtId="4" fontId="56" fillId="0" borderId="120" xfId="0" applyNumberFormat="1" applyFont="1" applyFill="1" applyBorder="1" applyAlignment="1">
      <alignment vertical="center" wrapText="1"/>
    </xf>
    <xf numFmtId="4" fontId="88" fillId="0" borderId="198" xfId="0" applyNumberFormat="1" applyFont="1" applyFill="1" applyBorder="1" applyAlignment="1">
      <alignment vertical="center"/>
    </xf>
    <xf numFmtId="4" fontId="56" fillId="0" borderId="13" xfId="1" applyNumberFormat="1" applyFont="1" applyFill="1" applyBorder="1" applyAlignment="1" applyProtection="1">
      <alignment vertical="center"/>
    </xf>
    <xf numFmtId="4" fontId="48" fillId="0" borderId="23" xfId="0" applyNumberFormat="1" applyFont="1" applyFill="1" applyBorder="1" applyAlignment="1">
      <alignment horizontal="right"/>
    </xf>
    <xf numFmtId="4" fontId="4" fillId="0" borderId="16" xfId="0" applyNumberFormat="1" applyFont="1" applyFill="1" applyBorder="1"/>
    <xf numFmtId="4" fontId="0" fillId="6" borderId="187" xfId="0" applyNumberFormat="1" applyFont="1" applyFill="1" applyBorder="1" applyAlignment="1">
      <alignment vertical="center"/>
    </xf>
    <xf numFmtId="4" fontId="24" fillId="0" borderId="209" xfId="0" applyNumberFormat="1" applyFont="1" applyBorder="1" applyAlignment="1">
      <alignment horizontal="center" vertical="center" wrapText="1"/>
    </xf>
    <xf numFmtId="4" fontId="18" fillId="0" borderId="260" xfId="0" applyNumberFormat="1" applyFont="1" applyFill="1" applyBorder="1" applyAlignment="1">
      <alignment shrinkToFit="1"/>
    </xf>
    <xf numFmtId="4" fontId="4" fillId="0" borderId="261" xfId="0" applyNumberFormat="1" applyFont="1" applyFill="1" applyBorder="1" applyAlignment="1">
      <alignment vertical="center" shrinkToFit="1"/>
    </xf>
    <xf numFmtId="4" fontId="4" fillId="0" borderId="188" xfId="0" applyNumberFormat="1" applyFont="1" applyFill="1" applyBorder="1" applyAlignment="1">
      <alignment vertical="center" shrinkToFit="1"/>
    </xf>
    <xf numFmtId="4" fontId="24" fillId="0" borderId="258" xfId="0" applyNumberFormat="1" applyFont="1" applyFill="1" applyBorder="1" applyAlignment="1">
      <alignment horizontal="center" vertical="center" wrapText="1"/>
    </xf>
    <xf numFmtId="4" fontId="18" fillId="0" borderId="0" xfId="0" applyNumberFormat="1" applyFont="1" applyFill="1" applyBorder="1" applyAlignment="1">
      <alignment shrinkToFit="1"/>
    </xf>
    <xf numFmtId="4" fontId="4" fillId="0" borderId="191" xfId="0" applyNumberFormat="1" applyFont="1" applyFill="1" applyBorder="1" applyAlignment="1">
      <alignment vertical="center" shrinkToFit="1"/>
    </xf>
    <xf numFmtId="4" fontId="4" fillId="0" borderId="19" xfId="0" applyNumberFormat="1" applyFont="1" applyFill="1" applyBorder="1"/>
    <xf numFmtId="4" fontId="18" fillId="0" borderId="204" xfId="0" applyNumberFormat="1" applyFont="1" applyFill="1" applyBorder="1"/>
    <xf numFmtId="4" fontId="44" fillId="0" borderId="263" xfId="0" applyNumberFormat="1" applyFont="1" applyFill="1" applyBorder="1" applyAlignment="1">
      <alignment vertical="center"/>
    </xf>
    <xf numFmtId="4" fontId="45" fillId="0" borderId="264" xfId="0" applyNumberFormat="1" applyFont="1" applyFill="1" applyBorder="1" applyAlignment="1">
      <alignment vertical="center"/>
    </xf>
    <xf numFmtId="4" fontId="45" fillId="0" borderId="264" xfId="0" applyNumberFormat="1" applyFont="1" applyFill="1" applyBorder="1"/>
    <xf numFmtId="4" fontId="44" fillId="0" borderId="65" xfId="0" applyNumberFormat="1" applyFont="1" applyFill="1" applyBorder="1" applyAlignment="1">
      <alignment vertical="center"/>
    </xf>
    <xf numFmtId="4" fontId="44" fillId="0" borderId="83" xfId="0" applyNumberFormat="1" applyFont="1" applyFill="1" applyBorder="1" applyAlignment="1">
      <alignment vertical="center"/>
    </xf>
    <xf numFmtId="4" fontId="18" fillId="0" borderId="204" xfId="0" applyNumberFormat="1" applyFont="1" applyFill="1" applyBorder="1" applyAlignment="1">
      <alignment vertical="center"/>
    </xf>
    <xf numFmtId="4" fontId="4" fillId="0" borderId="66" xfId="0" applyNumberFormat="1" applyFont="1" applyFill="1" applyBorder="1" applyAlignment="1">
      <alignment vertical="center" wrapText="1"/>
    </xf>
    <xf numFmtId="0" fontId="4" fillId="0" borderId="70" xfId="0" applyFont="1" applyFill="1" applyBorder="1"/>
    <xf numFmtId="4" fontId="18" fillId="0" borderId="267" xfId="0" applyNumberFormat="1" applyFont="1" applyFill="1" applyBorder="1" applyAlignment="1">
      <alignment vertical="center"/>
    </xf>
    <xf numFmtId="4" fontId="18" fillId="0" borderId="268" xfId="0" applyNumberFormat="1" applyFont="1" applyFill="1" applyBorder="1" applyAlignment="1">
      <alignment vertical="center"/>
    </xf>
    <xf numFmtId="4" fontId="4" fillId="0" borderId="269" xfId="0" applyNumberFormat="1" applyFont="1" applyFill="1" applyBorder="1" applyAlignment="1">
      <alignment vertical="center"/>
    </xf>
    <xf numFmtId="4" fontId="0" fillId="0" borderId="13" xfId="0" applyNumberFormat="1" applyFont="1" applyFill="1" applyBorder="1"/>
    <xf numFmtId="4" fontId="18" fillId="0" borderId="270" xfId="0" applyNumberFormat="1" applyFont="1" applyFill="1" applyBorder="1"/>
    <xf numFmtId="4" fontId="18" fillId="0" borderId="271" xfId="0" applyNumberFormat="1" applyFont="1" applyFill="1" applyBorder="1"/>
    <xf numFmtId="4" fontId="55" fillId="0" borderId="92" xfId="0" applyNumberFormat="1" applyFont="1" applyFill="1" applyBorder="1" applyAlignment="1">
      <alignment vertical="center"/>
    </xf>
    <xf numFmtId="4" fontId="69" fillId="0" borderId="270" xfId="0" applyNumberFormat="1" applyFont="1" applyFill="1" applyBorder="1"/>
    <xf numFmtId="4" fontId="69" fillId="0" borderId="264" xfId="0" applyNumberFormat="1" applyFont="1" applyFill="1" applyBorder="1"/>
    <xf numFmtId="0" fontId="30" fillId="0" borderId="76" xfId="0" applyFont="1" applyFill="1" applyBorder="1" applyAlignment="1">
      <alignment vertical="center"/>
    </xf>
    <xf numFmtId="4" fontId="0" fillId="0" borderId="272" xfId="0" applyNumberFormat="1" applyFont="1" applyFill="1" applyBorder="1" applyAlignment="1">
      <alignment vertical="center"/>
    </xf>
    <xf numFmtId="4" fontId="49" fillId="0" borderId="115" xfId="0" applyNumberFormat="1" applyFont="1" applyFill="1" applyBorder="1" applyAlignment="1">
      <alignment vertical="center"/>
    </xf>
    <xf numFmtId="4" fontId="56" fillId="0" borderId="195" xfId="0" applyNumberFormat="1" applyFont="1" applyFill="1" applyBorder="1" applyAlignment="1">
      <alignment vertical="center"/>
    </xf>
    <xf numFmtId="4" fontId="56" fillId="0" borderId="205" xfId="0" applyNumberFormat="1" applyFont="1" applyFill="1" applyBorder="1" applyAlignment="1">
      <alignment vertical="center"/>
    </xf>
    <xf numFmtId="4" fontId="0" fillId="0" borderId="273" xfId="0" applyNumberFormat="1" applyFont="1" applyFill="1" applyBorder="1" applyAlignment="1">
      <alignment vertical="center"/>
    </xf>
    <xf numFmtId="4" fontId="0" fillId="0" borderId="261" xfId="0" applyNumberFormat="1" applyFont="1" applyFill="1" applyBorder="1" applyAlignment="1">
      <alignment vertical="center"/>
    </xf>
    <xf numFmtId="0" fontId="3" fillId="0" borderId="114" xfId="0" applyFont="1" applyFill="1" applyBorder="1"/>
    <xf numFmtId="0" fontId="3" fillId="0" borderId="183" xfId="0" applyFont="1" applyFill="1" applyBorder="1"/>
    <xf numFmtId="0" fontId="3" fillId="0" borderId="115" xfId="0" applyFont="1" applyFill="1" applyBorder="1"/>
    <xf numFmtId="4" fontId="44" fillId="0" borderId="136" xfId="0" applyNumberFormat="1" applyFont="1" applyFill="1" applyBorder="1" applyAlignment="1">
      <alignment vertical="center"/>
    </xf>
    <xf numFmtId="4" fontId="0" fillId="0" borderId="169" xfId="0" applyNumberFormat="1" applyFont="1" applyFill="1" applyBorder="1" applyAlignment="1">
      <alignment vertical="center"/>
    </xf>
    <xf numFmtId="0" fontId="3" fillId="0" borderId="73" xfId="0" applyFont="1" applyFill="1" applyBorder="1"/>
    <xf numFmtId="0" fontId="8" fillId="0" borderId="143" xfId="0" applyFont="1" applyFill="1" applyBorder="1" applyAlignment="1" applyProtection="1">
      <alignment vertical="center"/>
      <protection locked="0"/>
    </xf>
    <xf numFmtId="0" fontId="8" fillId="0" borderId="261" xfId="0" applyFont="1" applyFill="1" applyBorder="1" applyAlignment="1" applyProtection="1">
      <alignment vertical="center"/>
      <protection locked="0"/>
    </xf>
    <xf numFmtId="0" fontId="0" fillId="0" borderId="227" xfId="0" applyFont="1" applyFill="1" applyBorder="1" applyAlignment="1" applyProtection="1">
      <alignment vertical="center"/>
      <protection locked="0"/>
    </xf>
    <xf numFmtId="4" fontId="44" fillId="0" borderId="275" xfId="0" applyNumberFormat="1" applyFont="1" applyFill="1" applyBorder="1" applyAlignment="1">
      <alignment vertical="center"/>
    </xf>
    <xf numFmtId="4" fontId="4" fillId="6" borderId="123" xfId="0" applyNumberFormat="1" applyFont="1" applyFill="1" applyBorder="1" applyAlignment="1">
      <alignment vertical="center" shrinkToFit="1"/>
    </xf>
    <xf numFmtId="4" fontId="0" fillId="6" borderId="13" xfId="0" applyNumberFormat="1" applyFont="1" applyFill="1" applyBorder="1" applyAlignment="1">
      <alignment vertical="center"/>
    </xf>
    <xf numFmtId="0" fontId="3" fillId="6" borderId="89" xfId="0" applyFont="1" applyFill="1" applyBorder="1" applyAlignment="1">
      <alignment vertical="center"/>
    </xf>
    <xf numFmtId="4" fontId="0" fillId="6" borderId="191" xfId="0" applyNumberFormat="1" applyFont="1" applyFill="1" applyBorder="1" applyAlignment="1">
      <alignment vertical="center"/>
    </xf>
    <xf numFmtId="4" fontId="0" fillId="6" borderId="6" xfId="0" applyNumberFormat="1" applyFont="1" applyFill="1" applyBorder="1" applyAlignment="1">
      <alignment vertical="center"/>
    </xf>
    <xf numFmtId="0" fontId="30" fillId="6" borderId="89" xfId="0" applyFont="1" applyFill="1" applyBorder="1" applyAlignment="1">
      <alignment vertical="center" wrapText="1"/>
    </xf>
    <xf numFmtId="4" fontId="4" fillId="6" borderId="6" xfId="0" applyNumberFormat="1" applyFont="1" applyFill="1" applyBorder="1" applyAlignment="1">
      <alignment vertical="center"/>
    </xf>
    <xf numFmtId="0" fontId="3" fillId="6" borderId="89" xfId="0" applyFont="1" applyFill="1" applyBorder="1" applyAlignment="1">
      <alignment vertical="center" wrapText="1"/>
    </xf>
    <xf numFmtId="0" fontId="0" fillId="6" borderId="89" xfId="0" applyFont="1" applyFill="1" applyBorder="1" applyAlignment="1">
      <alignment vertical="center" wrapText="1"/>
    </xf>
    <xf numFmtId="0" fontId="3" fillId="6" borderId="63" xfId="0" applyFont="1" applyFill="1" applyBorder="1" applyAlignment="1">
      <alignment vertical="center"/>
    </xf>
    <xf numFmtId="0" fontId="30" fillId="6" borderId="63" xfId="0" applyFont="1" applyFill="1" applyBorder="1" applyAlignment="1">
      <alignment vertical="center"/>
    </xf>
    <xf numFmtId="4" fontId="4" fillId="6" borderId="123" xfId="0" applyNumberFormat="1" applyFont="1" applyFill="1" applyBorder="1" applyAlignment="1">
      <alignment vertical="center"/>
    </xf>
    <xf numFmtId="0" fontId="11" fillId="6" borderId="63" xfId="0" applyFont="1" applyFill="1" applyBorder="1" applyAlignment="1">
      <alignment vertical="center"/>
    </xf>
    <xf numFmtId="4" fontId="3" fillId="6" borderId="188" xfId="0" applyNumberFormat="1" applyFont="1" applyFill="1" applyBorder="1" applyAlignment="1">
      <alignment vertical="center"/>
    </xf>
    <xf numFmtId="4" fontId="3" fillId="6" borderId="13" xfId="0" applyNumberFormat="1" applyFont="1" applyFill="1" applyBorder="1" applyAlignment="1">
      <alignment vertical="center"/>
    </xf>
    <xf numFmtId="4" fontId="0" fillId="6" borderId="6" xfId="0" applyNumberFormat="1" applyFont="1" applyFill="1" applyBorder="1" applyAlignment="1">
      <alignment horizontal="right" vertical="center"/>
    </xf>
    <xf numFmtId="4" fontId="30" fillId="6" borderId="63" xfId="0" applyNumberFormat="1" applyFont="1" applyFill="1" applyBorder="1" applyAlignment="1">
      <alignment vertical="center"/>
    </xf>
    <xf numFmtId="4" fontId="30" fillId="6" borderId="13" xfId="0" applyNumberFormat="1" applyFont="1" applyFill="1" applyBorder="1" applyAlignment="1">
      <alignment vertical="center"/>
    </xf>
    <xf numFmtId="4" fontId="3" fillId="6" borderId="13" xfId="0" applyNumberFormat="1" applyFont="1" applyFill="1" applyBorder="1" applyAlignment="1">
      <alignment shrinkToFit="1"/>
    </xf>
    <xf numFmtId="4" fontId="3" fillId="6" borderId="63" xfId="0" applyNumberFormat="1" applyFont="1" applyFill="1" applyBorder="1" applyAlignment="1">
      <alignment shrinkToFit="1"/>
    </xf>
    <xf numFmtId="0" fontId="4" fillId="6" borderId="89" xfId="0" applyFont="1" applyFill="1" applyBorder="1" applyAlignment="1">
      <alignment vertical="center"/>
    </xf>
    <xf numFmtId="0" fontId="11" fillId="6" borderId="63" xfId="0" applyFont="1" applyFill="1" applyBorder="1" applyAlignment="1">
      <alignment horizontal="right" vertical="center"/>
    </xf>
    <xf numFmtId="0" fontId="0" fillId="6" borderId="89" xfId="0" applyFont="1" applyFill="1" applyBorder="1" applyAlignment="1">
      <alignment vertical="center"/>
    </xf>
    <xf numFmtId="4" fontId="0" fillId="6" borderId="13" xfId="0" applyNumberFormat="1" applyFont="1" applyFill="1" applyBorder="1" applyAlignment="1">
      <alignment horizontal="right" vertical="center"/>
    </xf>
    <xf numFmtId="0" fontId="3" fillId="6" borderId="63" xfId="0" applyFont="1" applyFill="1" applyBorder="1"/>
    <xf numFmtId="0" fontId="3" fillId="6" borderId="89" xfId="0" applyFont="1" applyFill="1" applyBorder="1" applyAlignment="1">
      <alignment wrapText="1"/>
    </xf>
    <xf numFmtId="0" fontId="32" fillId="6" borderId="63" xfId="0" applyFont="1" applyFill="1" applyBorder="1" applyAlignment="1">
      <alignment horizontal="right" vertical="center"/>
    </xf>
    <xf numFmtId="4" fontId="0" fillId="6" borderId="63" xfId="0" applyNumberFormat="1" applyFont="1" applyFill="1" applyBorder="1" applyAlignment="1">
      <alignment vertical="center"/>
    </xf>
    <xf numFmtId="0" fontId="3" fillId="6" borderId="114" xfId="0" applyFont="1" applyFill="1" applyBorder="1" applyAlignment="1">
      <alignment vertical="center"/>
    </xf>
    <xf numFmtId="0" fontId="3" fillId="6" borderId="137" xfId="0" applyFont="1" applyFill="1" applyBorder="1" applyAlignment="1">
      <alignment vertical="center" wrapText="1"/>
    </xf>
    <xf numFmtId="4" fontId="0" fillId="6" borderId="68" xfId="0" applyNumberFormat="1" applyFont="1" applyFill="1" applyBorder="1" applyAlignment="1">
      <alignment vertical="center"/>
    </xf>
    <xf numFmtId="0" fontId="30" fillId="6" borderId="138" xfId="0" applyFont="1" applyFill="1" applyBorder="1" applyAlignment="1">
      <alignment vertical="center"/>
    </xf>
    <xf numFmtId="0" fontId="3" fillId="6" borderId="70" xfId="0" applyFont="1" applyFill="1" applyBorder="1" applyAlignment="1">
      <alignment vertical="center"/>
    </xf>
    <xf numFmtId="0" fontId="3" fillId="6" borderId="136" xfId="0" applyFont="1" applyFill="1" applyBorder="1" applyAlignment="1">
      <alignment vertical="center"/>
    </xf>
    <xf numFmtId="4" fontId="0" fillId="6" borderId="69" xfId="0" applyNumberFormat="1" applyFont="1" applyFill="1" applyBorder="1" applyAlignment="1">
      <alignment vertical="center"/>
    </xf>
    <xf numFmtId="4" fontId="0" fillId="6" borderId="179" xfId="0" applyNumberFormat="1" applyFont="1" applyFill="1" applyBorder="1" applyAlignment="1">
      <alignment vertical="center"/>
    </xf>
    <xf numFmtId="4" fontId="0" fillId="6" borderId="7" xfId="0" applyNumberFormat="1" applyFont="1" applyFill="1" applyBorder="1" applyAlignment="1">
      <alignment vertical="center"/>
    </xf>
    <xf numFmtId="0" fontId="30" fillId="6" borderId="70" xfId="0" applyFont="1" applyFill="1" applyBorder="1"/>
    <xf numFmtId="4" fontId="0" fillId="6" borderId="67" xfId="0" applyNumberFormat="1" applyFont="1" applyFill="1" applyBorder="1" applyAlignment="1">
      <alignment vertical="center"/>
    </xf>
    <xf numFmtId="0" fontId="30" fillId="6" borderId="148" xfId="0" applyFont="1" applyFill="1" applyBorder="1"/>
    <xf numFmtId="0" fontId="5" fillId="6" borderId="149" xfId="0" applyFont="1" applyFill="1" applyBorder="1"/>
    <xf numFmtId="4" fontId="18" fillId="6" borderId="66" xfId="0" applyNumberFormat="1" applyFont="1" applyFill="1" applyBorder="1"/>
    <xf numFmtId="4" fontId="18" fillId="6" borderId="209" xfId="0" applyNumberFormat="1" applyFont="1" applyFill="1" applyBorder="1"/>
    <xf numFmtId="4" fontId="18" fillId="6" borderId="64" xfId="0" applyNumberFormat="1" applyFont="1" applyFill="1" applyBorder="1"/>
    <xf numFmtId="0" fontId="30" fillId="6" borderId="188" xfId="0" applyFont="1" applyFill="1" applyBorder="1" applyAlignment="1">
      <alignment vertical="center"/>
    </xf>
    <xf numFmtId="4" fontId="30" fillId="6" borderId="263" xfId="0" applyNumberFormat="1" applyFont="1" applyFill="1" applyBorder="1" applyAlignment="1">
      <alignment vertical="center"/>
    </xf>
    <xf numFmtId="4" fontId="30" fillId="6" borderId="191" xfId="0" applyNumberFormat="1" applyFont="1" applyFill="1" applyBorder="1" applyAlignment="1">
      <alignment vertical="center"/>
    </xf>
    <xf numFmtId="0" fontId="30" fillId="6" borderId="193" xfId="0" applyFont="1" applyFill="1" applyBorder="1" applyAlignment="1">
      <alignment vertical="center" wrapText="1"/>
    </xf>
    <xf numFmtId="4" fontId="30" fillId="6" borderId="188" xfId="0" applyNumberFormat="1" applyFont="1" applyFill="1" applyBorder="1" applyAlignment="1">
      <alignment vertical="center"/>
    </xf>
    <xf numFmtId="4" fontId="4" fillId="6" borderId="187" xfId="0" applyNumberFormat="1" applyFont="1" applyFill="1" applyBorder="1" applyAlignment="1">
      <alignment vertical="center"/>
    </xf>
    <xf numFmtId="4" fontId="30" fillId="6" borderId="187" xfId="0" applyNumberFormat="1" applyFont="1" applyFill="1" applyBorder="1" applyAlignment="1">
      <alignment vertical="center"/>
    </xf>
    <xf numFmtId="4" fontId="3" fillId="6" borderId="19" xfId="0" applyNumberFormat="1" applyFont="1" applyFill="1" applyBorder="1" applyAlignment="1">
      <alignment vertical="center"/>
    </xf>
    <xf numFmtId="4" fontId="3" fillId="6" borderId="63" xfId="0" applyNumberFormat="1" applyFont="1" applyFill="1" applyBorder="1" applyAlignment="1">
      <alignment vertical="center"/>
    </xf>
    <xf numFmtId="0" fontId="30" fillId="6" borderId="70" xfId="0" applyFont="1" applyFill="1" applyBorder="1" applyAlignment="1">
      <alignment vertical="center"/>
    </xf>
    <xf numFmtId="4" fontId="0" fillId="6" borderId="44" xfId="0" applyNumberFormat="1" applyFont="1" applyFill="1" applyBorder="1"/>
    <xf numFmtId="4" fontId="0" fillId="6" borderId="70" xfId="0" applyNumberFormat="1" applyFont="1" applyFill="1" applyBorder="1"/>
    <xf numFmtId="4" fontId="0" fillId="6" borderId="74" xfId="0" applyNumberFormat="1" applyFont="1" applyFill="1" applyBorder="1" applyAlignment="1">
      <alignment vertical="center"/>
    </xf>
    <xf numFmtId="4" fontId="0" fillId="6" borderId="70" xfId="0" applyNumberFormat="1" applyFont="1" applyFill="1" applyBorder="1" applyAlignment="1">
      <alignment vertical="center"/>
    </xf>
    <xf numFmtId="4" fontId="0" fillId="6" borderId="44" xfId="0" applyNumberFormat="1" applyFont="1" applyFill="1" applyBorder="1" applyAlignment="1">
      <alignment vertical="center"/>
    </xf>
    <xf numFmtId="0" fontId="56" fillId="6" borderId="115" xfId="0" applyFont="1" applyFill="1" applyBorder="1" applyAlignment="1">
      <alignment vertical="center"/>
    </xf>
    <xf numFmtId="4" fontId="56" fillId="6" borderId="66" xfId="0" applyNumberFormat="1" applyFont="1" applyFill="1" applyBorder="1" applyAlignment="1">
      <alignment vertical="center"/>
    </xf>
    <xf numFmtId="0" fontId="56" fillId="6" borderId="200" xfId="0" applyFont="1" applyFill="1" applyBorder="1"/>
    <xf numFmtId="4" fontId="56" fillId="6" borderId="115" xfId="0" applyNumberFormat="1" applyFont="1" applyFill="1" applyBorder="1" applyAlignment="1">
      <alignment vertical="center"/>
    </xf>
    <xf numFmtId="0" fontId="56" fillId="6" borderId="76" xfId="0" applyFont="1" applyFill="1" applyBorder="1"/>
    <xf numFmtId="0" fontId="56" fillId="6" borderId="115" xfId="0" applyFont="1" applyFill="1" applyBorder="1"/>
    <xf numFmtId="4" fontId="0" fillId="6" borderId="132" xfId="0" applyNumberFormat="1" applyFont="1" applyFill="1" applyBorder="1" applyAlignment="1">
      <alignment vertical="center"/>
    </xf>
    <xf numFmtId="0" fontId="30" fillId="6" borderId="114" xfId="0" applyFont="1" applyFill="1" applyBorder="1" applyAlignment="1">
      <alignment vertical="center"/>
    </xf>
    <xf numFmtId="0" fontId="30" fillId="6" borderId="66" xfId="0" applyFont="1" applyFill="1" applyBorder="1" applyAlignment="1">
      <alignment vertical="center"/>
    </xf>
    <xf numFmtId="0" fontId="30" fillId="6" borderId="140" xfId="0" applyFont="1" applyFill="1" applyBorder="1" applyAlignment="1">
      <alignment vertical="center"/>
    </xf>
    <xf numFmtId="4" fontId="0" fillId="6" borderId="181" xfId="0" applyNumberFormat="1" applyFont="1" applyFill="1" applyBorder="1" applyAlignment="1">
      <alignment vertical="center"/>
    </xf>
    <xf numFmtId="4" fontId="4" fillId="6" borderId="245" xfId="0" applyNumberFormat="1" applyFont="1" applyFill="1" applyBorder="1" applyAlignment="1">
      <alignment vertical="center"/>
    </xf>
    <xf numFmtId="4" fontId="0" fillId="6" borderId="0" xfId="0" applyNumberFormat="1" applyFont="1" applyFill="1" applyBorder="1" applyAlignment="1">
      <alignment vertical="center"/>
    </xf>
    <xf numFmtId="4" fontId="56" fillId="6" borderId="186" xfId="0" applyNumberFormat="1" applyFont="1" applyFill="1" applyBorder="1" applyAlignment="1">
      <alignment vertical="center"/>
    </xf>
    <xf numFmtId="0" fontId="5" fillId="6" borderId="159" xfId="0" applyFont="1" applyFill="1" applyBorder="1"/>
    <xf numFmtId="4" fontId="18" fillId="6" borderId="151" xfId="0" applyNumberFormat="1" applyFont="1" applyFill="1" applyBorder="1"/>
    <xf numFmtId="0" fontId="30" fillId="6" borderId="138" xfId="0" applyFont="1" applyFill="1" applyBorder="1"/>
    <xf numFmtId="0" fontId="30" fillId="6" borderId="135" xfId="0" applyFont="1" applyFill="1" applyBorder="1"/>
    <xf numFmtId="4" fontId="4" fillId="6" borderId="65" xfId="0" applyNumberFormat="1" applyFont="1" applyFill="1" applyBorder="1"/>
    <xf numFmtId="4" fontId="4" fillId="6" borderId="164" xfId="0" applyNumberFormat="1" applyFont="1" applyFill="1" applyBorder="1"/>
    <xf numFmtId="0" fontId="4" fillId="6" borderId="138" xfId="0" applyFont="1" applyFill="1" applyBorder="1" applyAlignment="1">
      <alignment horizontal="right"/>
    </xf>
    <xf numFmtId="0" fontId="0" fillId="6" borderId="111" xfId="0" applyFont="1" applyFill="1" applyBorder="1"/>
    <xf numFmtId="4" fontId="0" fillId="6" borderId="138" xfId="0" applyNumberFormat="1" applyFont="1" applyFill="1" applyBorder="1"/>
    <xf numFmtId="4" fontId="0" fillId="6" borderId="191" xfId="0" applyNumberFormat="1" applyFont="1" applyFill="1" applyBorder="1"/>
    <xf numFmtId="4" fontId="0" fillId="6" borderId="187" xfId="0" applyNumberFormat="1" applyFont="1" applyFill="1" applyBorder="1"/>
    <xf numFmtId="0" fontId="30" fillId="6" borderId="111" xfId="0" applyFont="1" applyFill="1" applyBorder="1" applyAlignment="1">
      <alignment vertical="center" wrapText="1"/>
    </xf>
    <xf numFmtId="0" fontId="30" fillId="6" borderId="70" xfId="0" applyFont="1" applyFill="1" applyBorder="1" applyAlignment="1">
      <alignment horizontal="right" vertical="center"/>
    </xf>
    <xf numFmtId="0" fontId="93" fillId="6" borderId="114" xfId="0" applyFont="1" applyFill="1" applyBorder="1"/>
    <xf numFmtId="0" fontId="93" fillId="6" borderId="0" xfId="0" applyFont="1" applyFill="1"/>
    <xf numFmtId="0" fontId="4" fillId="6" borderId="70" xfId="0" applyFont="1" applyFill="1" applyBorder="1" applyAlignment="1">
      <alignment horizontal="right" vertical="center"/>
    </xf>
    <xf numFmtId="4" fontId="3" fillId="6" borderId="70" xfId="0" applyNumberFormat="1" applyFont="1" applyFill="1" applyBorder="1" applyAlignment="1">
      <alignment vertical="center"/>
    </xf>
    <xf numFmtId="4" fontId="3" fillId="6" borderId="44" xfId="0" applyNumberFormat="1" applyFont="1" applyFill="1" applyBorder="1" applyAlignment="1">
      <alignment vertical="center"/>
    </xf>
    <xf numFmtId="0" fontId="4" fillId="6" borderId="89" xfId="0" applyFont="1" applyFill="1" applyBorder="1" applyAlignment="1">
      <alignment vertical="center" wrapText="1"/>
    </xf>
    <xf numFmtId="0" fontId="0" fillId="6" borderId="63" xfId="0" applyFont="1" applyFill="1" applyBorder="1" applyAlignment="1">
      <alignment horizontal="right" vertical="center"/>
    </xf>
    <xf numFmtId="0" fontId="4" fillId="6" borderId="63" xfId="0" applyFont="1" applyFill="1" applyBorder="1" applyAlignment="1">
      <alignment horizontal="right" vertical="center"/>
    </xf>
    <xf numFmtId="0" fontId="0" fillId="6" borderId="63" xfId="0" applyFont="1" applyFill="1" applyBorder="1" applyAlignment="1">
      <alignment vertical="center"/>
    </xf>
    <xf numFmtId="0" fontId="56" fillId="6" borderId="89" xfId="0" applyFont="1" applyFill="1" applyBorder="1" applyAlignment="1">
      <alignment vertical="center"/>
    </xf>
    <xf numFmtId="4" fontId="0" fillId="6" borderId="19" xfId="0" applyNumberFormat="1" applyFont="1" applyFill="1" applyBorder="1"/>
    <xf numFmtId="4" fontId="0" fillId="6" borderId="123" xfId="0" applyNumberFormat="1" applyFont="1" applyFill="1" applyBorder="1" applyAlignment="1">
      <alignment vertical="center"/>
    </xf>
    <xf numFmtId="0" fontId="0" fillId="6" borderId="114" xfId="0" applyFont="1" applyFill="1" applyBorder="1" applyAlignment="1">
      <alignment vertical="center"/>
    </xf>
    <xf numFmtId="0" fontId="0" fillId="6" borderId="115" xfId="0" applyFont="1" applyFill="1" applyBorder="1" applyAlignment="1">
      <alignment vertical="center"/>
    </xf>
    <xf numFmtId="4" fontId="4" fillId="6" borderId="63" xfId="2" applyNumberFormat="1" applyFont="1" applyFill="1" applyBorder="1" applyAlignment="1" applyProtection="1">
      <alignment vertical="center"/>
    </xf>
    <xf numFmtId="4" fontId="4" fillId="6" borderId="19" xfId="2" applyNumberFormat="1" applyFont="1" applyFill="1" applyBorder="1" applyAlignment="1" applyProtection="1">
      <alignment vertical="center"/>
    </xf>
    <xf numFmtId="4" fontId="0" fillId="6" borderId="133" xfId="0" applyNumberFormat="1" applyFont="1" applyFill="1" applyBorder="1" applyAlignment="1">
      <alignment vertical="center"/>
    </xf>
    <xf numFmtId="0" fontId="3" fillId="6" borderId="77" xfId="0" applyFont="1" applyFill="1" applyBorder="1" applyAlignment="1">
      <alignment vertical="center" wrapText="1"/>
    </xf>
    <xf numFmtId="4" fontId="0" fillId="6" borderId="76" xfId="0" applyNumberFormat="1" applyFont="1" applyFill="1" applyBorder="1"/>
    <xf numFmtId="4" fontId="0" fillId="6" borderId="202" xfId="0" applyNumberFormat="1" applyFont="1" applyFill="1" applyBorder="1" applyAlignment="1">
      <alignment vertical="center"/>
    </xf>
    <xf numFmtId="0" fontId="30" fillId="6" borderId="115" xfId="0" applyFont="1" applyFill="1" applyBorder="1" applyAlignment="1">
      <alignment vertical="center"/>
    </xf>
    <xf numFmtId="0" fontId="3" fillId="6" borderId="75" xfId="0" applyFont="1" applyFill="1" applyBorder="1" applyAlignment="1">
      <alignment vertical="center"/>
    </xf>
    <xf numFmtId="4" fontId="0" fillId="6" borderId="120" xfId="0" applyNumberFormat="1" applyFont="1" applyFill="1" applyBorder="1" applyAlignment="1">
      <alignment vertical="center"/>
    </xf>
    <xf numFmtId="0" fontId="30" fillId="6" borderId="109" xfId="0" applyFont="1" applyFill="1" applyBorder="1" applyAlignment="1">
      <alignment vertical="center"/>
    </xf>
    <xf numFmtId="0" fontId="3" fillId="6" borderId="85" xfId="0" applyFont="1" applyFill="1" applyBorder="1" applyAlignment="1">
      <alignment vertical="center"/>
    </xf>
    <xf numFmtId="4" fontId="0" fillId="6" borderId="86" xfId="0" applyNumberFormat="1" applyFont="1" applyFill="1" applyBorder="1" applyAlignment="1">
      <alignment vertical="center"/>
    </xf>
    <xf numFmtId="4" fontId="0" fillId="6" borderId="153" xfId="0" applyNumberFormat="1" applyFont="1" applyFill="1" applyBorder="1" applyAlignment="1">
      <alignment vertical="center"/>
    </xf>
    <xf numFmtId="0" fontId="21" fillId="6" borderId="148" xfId="0" applyFont="1" applyFill="1" applyBorder="1"/>
    <xf numFmtId="0" fontId="21" fillId="6" borderId="168" xfId="0" applyFont="1" applyFill="1" applyBorder="1"/>
    <xf numFmtId="4" fontId="21" fillId="6" borderId="64" xfId="0" applyNumberFormat="1" applyFont="1" applyFill="1" applyBorder="1" applyAlignment="1">
      <alignment vertical="center" shrinkToFit="1"/>
    </xf>
    <xf numFmtId="4" fontId="21" fillId="6" borderId="15" xfId="0" applyNumberFormat="1" applyFont="1" applyFill="1" applyBorder="1" applyAlignment="1">
      <alignment vertical="center" shrinkToFit="1"/>
    </xf>
    <xf numFmtId="4" fontId="21" fillId="6" borderId="67" xfId="0" applyNumberFormat="1" applyFont="1" applyFill="1" applyBorder="1" applyAlignment="1">
      <alignment vertical="center" shrinkToFit="1"/>
    </xf>
    <xf numFmtId="4" fontId="21" fillId="6" borderId="86" xfId="0" applyNumberFormat="1" applyFont="1" applyFill="1" applyBorder="1" applyAlignment="1">
      <alignment vertical="center" shrinkToFit="1"/>
    </xf>
    <xf numFmtId="0" fontId="30" fillId="6" borderId="66" xfId="0" applyFont="1" applyFill="1" applyBorder="1"/>
    <xf numFmtId="0" fontId="5" fillId="6" borderId="133" xfId="0" applyFont="1" applyFill="1" applyBorder="1"/>
    <xf numFmtId="4" fontId="0" fillId="6" borderId="109" xfId="0" applyNumberFormat="1" applyFont="1" applyFill="1" applyBorder="1" applyAlignment="1">
      <alignment vertical="center"/>
    </xf>
    <xf numFmtId="0" fontId="30" fillId="6" borderId="2" xfId="0" applyFont="1" applyFill="1" applyBorder="1"/>
    <xf numFmtId="0" fontId="30" fillId="6" borderId="11" xfId="0" applyFont="1" applyFill="1" applyBorder="1"/>
    <xf numFmtId="4" fontId="3" fillId="6" borderId="11" xfId="0" applyNumberFormat="1" applyFont="1" applyFill="1" applyBorder="1" applyAlignment="1">
      <alignment vertical="center"/>
    </xf>
    <xf numFmtId="4" fontId="3" fillId="6" borderId="15" xfId="0" applyNumberFormat="1" applyFont="1" applyFill="1" applyBorder="1" applyAlignment="1">
      <alignment vertical="center"/>
    </xf>
    <xf numFmtId="4" fontId="0" fillId="6" borderId="15" xfId="0" applyNumberFormat="1" applyFont="1" applyFill="1" applyBorder="1" applyAlignment="1">
      <alignment vertical="center"/>
    </xf>
    <xf numFmtId="4" fontId="6" fillId="6" borderId="173" xfId="0" applyNumberFormat="1" applyFont="1" applyFill="1" applyBorder="1" applyAlignment="1">
      <alignment shrinkToFit="1"/>
    </xf>
    <xf numFmtId="4" fontId="6" fillId="6" borderId="2" xfId="0" applyNumberFormat="1" applyFont="1" applyFill="1" applyBorder="1" applyAlignment="1">
      <alignment shrinkToFit="1"/>
    </xf>
    <xf numFmtId="4" fontId="6" fillId="6" borderId="212" xfId="0" applyNumberFormat="1" applyFont="1" applyFill="1" applyBorder="1" applyAlignment="1">
      <alignment shrinkToFit="1"/>
    </xf>
    <xf numFmtId="4" fontId="6" fillId="6" borderId="231" xfId="0" applyNumberFormat="1" applyFont="1" applyFill="1" applyBorder="1" applyAlignment="1">
      <alignment shrinkToFit="1"/>
    </xf>
    <xf numFmtId="0" fontId="30" fillId="6" borderId="147" xfId="0" applyFont="1" applyFill="1" applyBorder="1" applyAlignment="1">
      <alignment horizontal="left" vertical="center" wrapText="1"/>
    </xf>
    <xf numFmtId="4" fontId="4" fillId="6" borderId="102" xfId="0" applyNumberFormat="1" applyFont="1" applyFill="1" applyBorder="1" applyAlignment="1">
      <alignment vertical="center"/>
    </xf>
    <xf numFmtId="0" fontId="30" fillId="6" borderId="111" xfId="0" applyFont="1" applyFill="1" applyBorder="1" applyAlignment="1">
      <alignment horizontal="left" vertical="center" wrapText="1"/>
    </xf>
    <xf numFmtId="4" fontId="30" fillId="6" borderId="190" xfId="0" applyNumberFormat="1" applyFont="1" applyFill="1" applyBorder="1" applyAlignment="1">
      <alignment vertical="center"/>
    </xf>
    <xf numFmtId="4" fontId="30" fillId="6" borderId="4" xfId="0" applyNumberFormat="1" applyFont="1" applyFill="1" applyBorder="1" applyAlignment="1">
      <alignment vertical="center"/>
    </xf>
    <xf numFmtId="0" fontId="4" fillId="6" borderId="63" xfId="0" applyFont="1" applyFill="1" applyBorder="1" applyAlignment="1">
      <alignment vertical="center"/>
    </xf>
    <xf numFmtId="0" fontId="0" fillId="6" borderId="114" xfId="0" applyFont="1" applyFill="1" applyBorder="1" applyAlignment="1">
      <alignment vertical="center" wrapText="1"/>
    </xf>
    <xf numFmtId="4" fontId="0" fillId="6" borderId="20" xfId="0" applyNumberFormat="1" applyFont="1" applyFill="1" applyBorder="1" applyAlignment="1">
      <alignment vertical="center"/>
    </xf>
    <xf numFmtId="4" fontId="0" fillId="6" borderId="141" xfId="0" applyNumberFormat="1" applyFont="1" applyFill="1" applyBorder="1" applyAlignment="1">
      <alignment vertical="center"/>
    </xf>
    <xf numFmtId="0" fontId="3" fillId="6" borderId="66" xfId="0" applyFont="1" applyFill="1" applyBorder="1" applyAlignment="1">
      <alignment vertical="center"/>
    </xf>
    <xf numFmtId="0" fontId="3" fillId="6" borderId="133" xfId="0" applyFont="1" applyFill="1" applyBorder="1" applyAlignment="1">
      <alignment vertical="center"/>
    </xf>
    <xf numFmtId="4" fontId="0" fillId="6" borderId="91" xfId="0" applyNumberFormat="1" applyFont="1" applyFill="1" applyBorder="1" applyAlignment="1">
      <alignment vertical="center"/>
    </xf>
    <xf numFmtId="164" fontId="3" fillId="6" borderId="9" xfId="0" applyNumberFormat="1" applyFont="1" applyFill="1" applyBorder="1" applyAlignment="1">
      <alignment vertical="center"/>
    </xf>
    <xf numFmtId="4" fontId="0" fillId="6" borderId="8" xfId="0" applyNumberFormat="1" applyFont="1" applyFill="1" applyBorder="1" applyAlignment="1">
      <alignment vertical="center"/>
    </xf>
    <xf numFmtId="4" fontId="0" fillId="6" borderId="16" xfId="0" applyNumberFormat="1" applyFont="1" applyFill="1" applyBorder="1" applyAlignment="1">
      <alignment vertical="center"/>
    </xf>
    <xf numFmtId="0" fontId="36" fillId="6" borderId="148" xfId="0" applyFont="1" applyFill="1" applyBorder="1"/>
    <xf numFmtId="0" fontId="20" fillId="6" borderId="149" xfId="0" applyFont="1" applyFill="1" applyBorder="1"/>
    <xf numFmtId="4" fontId="21" fillId="6" borderId="174" xfId="0" applyNumberFormat="1" applyFont="1" applyFill="1" applyBorder="1" applyAlignment="1">
      <alignment shrinkToFit="1"/>
    </xf>
    <xf numFmtId="4" fontId="21" fillId="6" borderId="2" xfId="0" applyNumberFormat="1" applyFont="1" applyFill="1" applyBorder="1" applyAlignment="1">
      <alignment shrinkToFit="1"/>
    </xf>
    <xf numFmtId="4" fontId="21" fillId="6" borderId="212" xfId="0" applyNumberFormat="1" applyFont="1" applyFill="1" applyBorder="1" applyAlignment="1">
      <alignment shrinkToFit="1"/>
    </xf>
    <xf numFmtId="0" fontId="3" fillId="6" borderId="148" xfId="0" applyFont="1" applyFill="1" applyBorder="1"/>
    <xf numFmtId="0" fontId="21" fillId="6" borderId="149" xfId="0" applyFont="1" applyFill="1" applyBorder="1"/>
    <xf numFmtId="4" fontId="0" fillId="6" borderId="156" xfId="0" applyNumberFormat="1" applyFont="1" applyFill="1" applyBorder="1" applyAlignment="1">
      <alignment vertical="center"/>
    </xf>
    <xf numFmtId="0" fontId="21" fillId="6" borderId="2" xfId="0" applyFont="1" applyFill="1" applyBorder="1"/>
    <xf numFmtId="0" fontId="21" fillId="6" borderId="257" xfId="0" applyFont="1" applyFill="1" applyBorder="1"/>
    <xf numFmtId="4" fontId="0" fillId="6" borderId="2" xfId="0" applyNumberFormat="1" applyFont="1" applyFill="1" applyBorder="1" applyAlignment="1">
      <alignment vertical="center"/>
    </xf>
    <xf numFmtId="4" fontId="0" fillId="6" borderId="237" xfId="0" applyNumberFormat="1" applyFont="1" applyFill="1" applyBorder="1" applyAlignment="1">
      <alignment vertical="center"/>
    </xf>
    <xf numFmtId="4" fontId="0" fillId="6" borderId="212" xfId="0" applyNumberFormat="1" applyFont="1" applyFill="1" applyBorder="1" applyAlignment="1">
      <alignment vertical="center"/>
    </xf>
    <xf numFmtId="4" fontId="0" fillId="6" borderId="219" xfId="0" applyNumberFormat="1" applyFont="1" applyFill="1" applyBorder="1" applyAlignment="1">
      <alignment vertical="center"/>
    </xf>
    <xf numFmtId="0" fontId="28" fillId="6" borderId="148" xfId="0" applyFont="1" applyFill="1" applyBorder="1"/>
    <xf numFmtId="4" fontId="6" fillId="6" borderId="174" xfId="0" applyNumberFormat="1" applyFont="1" applyFill="1" applyBorder="1"/>
    <xf numFmtId="4" fontId="6" fillId="6" borderId="2" xfId="0" applyNumberFormat="1" applyFont="1" applyFill="1" applyBorder="1"/>
    <xf numFmtId="4" fontId="6" fillId="6" borderId="212" xfId="0" applyNumberFormat="1" applyFont="1" applyFill="1" applyBorder="1"/>
    <xf numFmtId="4" fontId="6" fillId="6" borderId="219" xfId="0" applyNumberFormat="1" applyFont="1" applyFill="1" applyBorder="1"/>
    <xf numFmtId="4" fontId="5" fillId="6" borderId="257" xfId="0" applyNumberFormat="1" applyFont="1" applyFill="1" applyBorder="1" applyAlignment="1">
      <alignment vertical="center"/>
    </xf>
    <xf numFmtId="4" fontId="4" fillId="6" borderId="238" xfId="0" applyNumberFormat="1" applyFont="1" applyFill="1" applyBorder="1" applyAlignment="1">
      <alignment vertical="center"/>
    </xf>
    <xf numFmtId="0" fontId="38" fillId="6" borderId="63" xfId="0" applyFont="1" applyFill="1" applyBorder="1" applyAlignment="1">
      <alignment vertical="center"/>
    </xf>
    <xf numFmtId="4" fontId="80" fillId="6" borderId="6" xfId="0" applyNumberFormat="1" applyFont="1" applyFill="1" applyBorder="1" applyAlignment="1">
      <alignment vertical="center"/>
    </xf>
    <xf numFmtId="4" fontId="80" fillId="6" borderId="13" xfId="0" applyNumberFormat="1" applyFont="1" applyFill="1" applyBorder="1" applyAlignment="1">
      <alignment vertical="center"/>
    </xf>
    <xf numFmtId="4" fontId="4" fillId="6" borderId="114" xfId="0" applyNumberFormat="1" applyFont="1" applyFill="1" applyBorder="1" applyAlignment="1">
      <alignment vertical="center"/>
    </xf>
    <xf numFmtId="4" fontId="4" fillId="6" borderId="9" xfId="0" applyNumberFormat="1" applyFont="1" applyFill="1" applyBorder="1" applyAlignment="1">
      <alignment vertical="center"/>
    </xf>
    <xf numFmtId="4" fontId="4" fillId="6" borderId="23" xfId="0" applyNumberFormat="1" applyFont="1" applyFill="1" applyBorder="1" applyAlignment="1">
      <alignment vertical="center"/>
    </xf>
    <xf numFmtId="4" fontId="0" fillId="6" borderId="7" xfId="0" applyNumberFormat="1" applyFont="1" applyFill="1" applyBorder="1" applyAlignment="1">
      <alignment horizontal="right" vertical="center"/>
    </xf>
    <xf numFmtId="4" fontId="24" fillId="6" borderId="246" xfId="0" applyNumberFormat="1" applyFont="1" applyFill="1" applyBorder="1" applyAlignment="1">
      <alignment vertical="center"/>
    </xf>
    <xf numFmtId="4" fontId="24" fillId="6" borderId="203" xfId="0" applyNumberFormat="1" applyFont="1" applyFill="1" applyBorder="1" applyAlignment="1">
      <alignment vertical="center"/>
    </xf>
    <xf numFmtId="4" fontId="4" fillId="6" borderId="152" xfId="0" applyNumberFormat="1" applyFont="1" applyFill="1" applyBorder="1" applyAlignment="1">
      <alignment vertical="center"/>
    </xf>
    <xf numFmtId="0" fontId="0" fillId="6" borderId="193" xfId="0" applyFont="1" applyFill="1" applyBorder="1" applyAlignment="1">
      <alignment vertical="center"/>
    </xf>
    <xf numFmtId="4" fontId="3" fillId="6" borderId="123" xfId="0" applyNumberFormat="1" applyFont="1" applyFill="1" applyBorder="1" applyAlignment="1">
      <alignment vertical="center"/>
    </xf>
    <xf numFmtId="4" fontId="3" fillId="6" borderId="141" xfId="0" applyNumberFormat="1" applyFont="1" applyFill="1" applyBorder="1" applyAlignment="1">
      <alignment vertical="center"/>
    </xf>
    <xf numFmtId="4" fontId="3" fillId="6" borderId="120" xfId="0" applyNumberFormat="1" applyFont="1" applyFill="1" applyBorder="1" applyAlignment="1">
      <alignment vertical="center"/>
    </xf>
    <xf numFmtId="0" fontId="81" fillId="6" borderId="89" xfId="0" applyFont="1" applyFill="1" applyBorder="1" applyAlignment="1">
      <alignment vertical="center"/>
    </xf>
    <xf numFmtId="0" fontId="38" fillId="6" borderId="70" xfId="0" applyFont="1" applyFill="1" applyBorder="1" applyAlignment="1">
      <alignment vertical="center"/>
    </xf>
    <xf numFmtId="0" fontId="82" fillId="6" borderId="70" xfId="0" applyFont="1" applyFill="1" applyBorder="1" applyAlignment="1">
      <alignment vertical="center"/>
    </xf>
    <xf numFmtId="0" fontId="81" fillId="6" borderId="136" xfId="0" applyFont="1" applyFill="1" applyBorder="1" applyAlignment="1">
      <alignment vertical="center"/>
    </xf>
    <xf numFmtId="4" fontId="81" fillId="6" borderId="141" xfId="0" applyNumberFormat="1" applyFont="1" applyFill="1" applyBorder="1" applyAlignment="1">
      <alignment vertical="center"/>
    </xf>
    <xf numFmtId="4" fontId="81" fillId="6" borderId="123" xfId="0" applyNumberFormat="1" applyFont="1" applyFill="1" applyBorder="1" applyAlignment="1">
      <alignment vertical="center"/>
    </xf>
    <xf numFmtId="4" fontId="81" fillId="6" borderId="63" xfId="0" applyNumberFormat="1" applyFont="1" applyFill="1" applyBorder="1" applyAlignment="1">
      <alignment vertical="center"/>
    </xf>
    <xf numFmtId="4" fontId="81" fillId="6" borderId="19" xfId="0" applyNumberFormat="1" applyFont="1" applyFill="1" applyBorder="1" applyAlignment="1">
      <alignment vertical="center"/>
    </xf>
    <xf numFmtId="0" fontId="8" fillId="6" borderId="63" xfId="0" applyFont="1" applyFill="1" applyBorder="1" applyAlignment="1">
      <alignment vertical="center"/>
    </xf>
    <xf numFmtId="0" fontId="3" fillId="6" borderId="168" xfId="0" applyFont="1" applyFill="1" applyBorder="1" applyAlignment="1">
      <alignment vertical="center"/>
    </xf>
    <xf numFmtId="4" fontId="24" fillId="6" borderId="153" xfId="0" applyNumberFormat="1" applyFont="1" applyFill="1" applyBorder="1"/>
    <xf numFmtId="4" fontId="24" fillId="6" borderId="204" xfId="0" applyNumberFormat="1" applyFont="1" applyFill="1" applyBorder="1"/>
    <xf numFmtId="4" fontId="24" fillId="6" borderId="256" xfId="0" applyNumberFormat="1" applyFont="1" applyFill="1" applyBorder="1"/>
    <xf numFmtId="4" fontId="4" fillId="6" borderId="69" xfId="0" applyNumberFormat="1" applyFont="1" applyFill="1" applyBorder="1" applyAlignment="1">
      <alignment vertical="center"/>
    </xf>
    <xf numFmtId="0" fontId="8" fillId="6" borderId="66" xfId="0" applyFont="1" applyFill="1" applyBorder="1" applyAlignment="1">
      <alignment vertical="center"/>
    </xf>
    <xf numFmtId="0" fontId="3" fillId="6" borderId="167" xfId="0" applyFont="1" applyFill="1" applyBorder="1" applyAlignment="1">
      <alignment vertical="center"/>
    </xf>
    <xf numFmtId="4" fontId="0" fillId="6" borderId="192" xfId="0" applyNumberFormat="1" applyFont="1" applyFill="1" applyBorder="1" applyAlignment="1">
      <alignment vertical="center"/>
    </xf>
    <xf numFmtId="4" fontId="24" fillId="6" borderId="247" xfId="0" applyNumberFormat="1" applyFont="1" applyFill="1" applyBorder="1"/>
    <xf numFmtId="4" fontId="24" fillId="6" borderId="250" xfId="0" applyNumberFormat="1" applyFont="1" applyFill="1" applyBorder="1"/>
    <xf numFmtId="4" fontId="4" fillId="6" borderId="65" xfId="0" applyNumberFormat="1" applyFont="1" applyFill="1" applyBorder="1" applyAlignment="1">
      <alignment vertical="center"/>
    </xf>
    <xf numFmtId="4" fontId="4" fillId="6" borderId="164" xfId="0" applyNumberFormat="1" applyFont="1" applyFill="1" applyBorder="1" applyAlignment="1">
      <alignment vertical="center"/>
    </xf>
    <xf numFmtId="0" fontId="0" fillId="6" borderId="89" xfId="0" applyFont="1" applyFill="1" applyBorder="1" applyAlignment="1">
      <alignment horizontal="left" vertical="center"/>
    </xf>
    <xf numFmtId="4" fontId="4" fillId="6" borderId="123" xfId="3" applyNumberFormat="1" applyFont="1" applyFill="1" applyBorder="1" applyAlignment="1" applyProtection="1">
      <alignment vertical="center"/>
    </xf>
    <xf numFmtId="4" fontId="0" fillId="6" borderId="123" xfId="3" applyNumberFormat="1" applyFont="1" applyFill="1" applyBorder="1" applyAlignment="1" applyProtection="1">
      <alignment vertical="center"/>
    </xf>
    <xf numFmtId="4" fontId="0" fillId="6" borderId="63" xfId="3" applyNumberFormat="1" applyFont="1" applyFill="1" applyBorder="1" applyAlignment="1" applyProtection="1">
      <alignment vertical="center"/>
    </xf>
    <xf numFmtId="4" fontId="0" fillId="6" borderId="123" xfId="0" applyNumberFormat="1" applyFont="1" applyFill="1" applyBorder="1" applyAlignment="1">
      <alignment shrinkToFit="1"/>
    </xf>
    <xf numFmtId="4" fontId="0" fillId="6" borderId="63" xfId="0" applyNumberFormat="1" applyFont="1" applyFill="1" applyBorder="1" applyAlignment="1">
      <alignment shrinkToFit="1"/>
    </xf>
    <xf numFmtId="4" fontId="0" fillId="6" borderId="19" xfId="0" applyNumberFormat="1" applyFont="1" applyFill="1" applyBorder="1" applyAlignment="1">
      <alignment shrinkToFit="1"/>
    </xf>
    <xf numFmtId="0" fontId="11" fillId="6" borderId="89" xfId="0" applyFont="1" applyFill="1" applyBorder="1" applyAlignment="1">
      <alignment vertical="center"/>
    </xf>
    <xf numFmtId="0" fontId="83" fillId="6" borderId="63" xfId="0" applyFont="1" applyFill="1" applyBorder="1" applyAlignment="1">
      <alignment vertical="center"/>
    </xf>
    <xf numFmtId="4" fontId="80" fillId="6" borderId="123" xfId="0" applyNumberFormat="1" applyFont="1" applyFill="1" applyBorder="1" applyAlignment="1">
      <alignment shrinkToFit="1"/>
    </xf>
    <xf numFmtId="4" fontId="80" fillId="6" borderId="63" xfId="0" applyNumberFormat="1" applyFont="1" applyFill="1" applyBorder="1" applyAlignment="1">
      <alignment shrinkToFit="1"/>
    </xf>
    <xf numFmtId="4" fontId="80" fillId="6" borderId="123" xfId="0" applyNumberFormat="1" applyFont="1" applyFill="1" applyBorder="1" applyAlignment="1">
      <alignment vertical="center"/>
    </xf>
    <xf numFmtId="4" fontId="80" fillId="6" borderId="63" xfId="0" applyNumberFormat="1" applyFont="1" applyFill="1" applyBorder="1" applyAlignment="1">
      <alignment vertical="center"/>
    </xf>
    <xf numFmtId="4" fontId="0" fillId="6" borderId="123" xfId="0" applyNumberFormat="1" applyFont="1" applyFill="1" applyBorder="1" applyAlignment="1">
      <alignment vertical="center" shrinkToFit="1"/>
    </xf>
    <xf numFmtId="4" fontId="0" fillId="6" borderId="63" xfId="0" applyNumberFormat="1" applyFont="1" applyFill="1" applyBorder="1" applyAlignment="1">
      <alignment vertical="center" shrinkToFit="1"/>
    </xf>
    <xf numFmtId="0" fontId="8" fillId="6" borderId="124" xfId="0" applyFont="1" applyFill="1" applyBorder="1" applyAlignment="1">
      <alignment vertical="center"/>
    </xf>
    <xf numFmtId="4" fontId="0" fillId="6" borderId="124" xfId="0" applyNumberFormat="1" applyFont="1" applyFill="1" applyBorder="1" applyAlignment="1">
      <alignment vertical="center"/>
    </xf>
    <xf numFmtId="4" fontId="0" fillId="6" borderId="128" xfId="0" applyNumberFormat="1" applyFont="1" applyFill="1" applyBorder="1" applyAlignment="1">
      <alignment vertical="center"/>
    </xf>
    <xf numFmtId="0" fontId="3" fillId="6" borderId="127" xfId="0" applyFont="1" applyFill="1" applyBorder="1" applyAlignment="1">
      <alignment vertical="center"/>
    </xf>
    <xf numFmtId="4" fontId="0" fillId="6" borderId="274" xfId="0" applyNumberFormat="1" applyFont="1" applyFill="1" applyBorder="1" applyAlignment="1">
      <alignment vertical="center"/>
    </xf>
    <xf numFmtId="0" fontId="45" fillId="6" borderId="146" xfId="0" applyFont="1" applyFill="1" applyBorder="1"/>
    <xf numFmtId="0" fontId="45" fillId="6" borderId="160" xfId="0" applyFont="1" applyFill="1" applyBorder="1"/>
    <xf numFmtId="4" fontId="45" fillId="6" borderId="64" xfId="0" applyNumberFormat="1" applyFont="1" applyFill="1" applyBorder="1" applyAlignment="1">
      <alignment vertical="center"/>
    </xf>
    <xf numFmtId="4" fontId="45" fillId="6" borderId="258" xfId="0" applyNumberFormat="1" applyFont="1" applyFill="1" applyBorder="1" applyAlignment="1">
      <alignment vertical="center"/>
    </xf>
    <xf numFmtId="4" fontId="45" fillId="6" borderId="157" xfId="0" applyNumberFormat="1" applyFont="1" applyFill="1" applyBorder="1" applyAlignment="1">
      <alignment vertical="center"/>
    </xf>
    <xf numFmtId="4" fontId="45" fillId="6" borderId="232" xfId="0" applyNumberFormat="1" applyFont="1" applyFill="1" applyBorder="1" applyAlignment="1">
      <alignment vertical="center"/>
    </xf>
    <xf numFmtId="4" fontId="44" fillId="6" borderId="188" xfId="0" applyNumberFormat="1" applyFont="1" applyFill="1" applyBorder="1" applyAlignment="1">
      <alignment vertical="center"/>
    </xf>
    <xf numFmtId="0" fontId="8" fillId="6" borderId="79" xfId="0" applyFont="1" applyFill="1" applyBorder="1" applyAlignment="1">
      <alignment vertical="center"/>
    </xf>
    <xf numFmtId="0" fontId="3" fillId="6" borderId="88" xfId="0" applyFont="1" applyFill="1" applyBorder="1" applyAlignment="1">
      <alignment vertical="center"/>
    </xf>
    <xf numFmtId="4" fontId="0" fillId="6" borderId="79" xfId="0" applyNumberFormat="1" applyFont="1" applyFill="1" applyBorder="1" applyAlignment="1">
      <alignment vertical="center"/>
    </xf>
    <xf numFmtId="4" fontId="0" fillId="6" borderId="34" xfId="0" applyNumberFormat="1" applyFont="1" applyFill="1" applyBorder="1" applyAlignment="1">
      <alignment vertical="center"/>
    </xf>
    <xf numFmtId="0" fontId="8" fillId="6" borderId="126" xfId="0" applyFont="1" applyFill="1" applyBorder="1" applyAlignment="1">
      <alignment vertical="center"/>
    </xf>
    <xf numFmtId="0" fontId="44" fillId="6" borderId="188" xfId="0" applyFont="1" applyFill="1" applyBorder="1" applyAlignment="1">
      <alignment vertical="center"/>
    </xf>
    <xf numFmtId="0" fontId="44" fillId="6" borderId="193" xfId="0" applyFont="1" applyFill="1" applyBorder="1" applyAlignment="1">
      <alignment vertical="center"/>
    </xf>
    <xf numFmtId="4" fontId="44" fillId="6" borderId="187" xfId="0" applyNumberFormat="1" applyFont="1" applyFill="1" applyBorder="1" applyAlignment="1">
      <alignment vertical="center"/>
    </xf>
    <xf numFmtId="4" fontId="44" fillId="6" borderId="191" xfId="0" applyNumberFormat="1" applyFont="1" applyFill="1" applyBorder="1" applyAlignment="1">
      <alignment vertical="center"/>
    </xf>
    <xf numFmtId="4" fontId="0" fillId="6" borderId="88" xfId="0" applyNumberFormat="1" applyFont="1" applyFill="1" applyBorder="1" applyAlignment="1">
      <alignment vertical="center"/>
    </xf>
    <xf numFmtId="4" fontId="0" fillId="6" borderId="126" xfId="0" applyNumberFormat="1" applyFont="1" applyFill="1" applyBorder="1" applyAlignment="1">
      <alignment vertical="center"/>
    </xf>
    <xf numFmtId="0" fontId="8" fillId="6" borderId="176" xfId="0" applyFont="1" applyFill="1" applyBorder="1" applyAlignment="1">
      <alignment vertical="center"/>
    </xf>
    <xf numFmtId="0" fontId="24" fillId="6" borderId="165" xfId="0" applyFont="1" applyFill="1" applyBorder="1" applyAlignment="1">
      <alignment horizontal="left" vertical="center"/>
    </xf>
    <xf numFmtId="4" fontId="24" fillId="6" borderId="176" xfId="0" applyNumberFormat="1" applyFont="1" applyFill="1" applyBorder="1" applyAlignment="1">
      <alignment vertical="center"/>
    </xf>
    <xf numFmtId="4" fontId="24" fillId="6" borderId="210" xfId="0" applyNumberFormat="1" applyFont="1" applyFill="1" applyBorder="1" applyAlignment="1">
      <alignment vertical="center"/>
    </xf>
    <xf numFmtId="4" fontId="24" fillId="6" borderId="264" xfId="0" applyNumberFormat="1" applyFont="1" applyFill="1" applyBorder="1" applyAlignment="1">
      <alignment vertical="center"/>
    </xf>
    <xf numFmtId="4" fontId="24" fillId="6" borderId="232" xfId="0" applyNumberFormat="1" applyFont="1" applyFill="1" applyBorder="1" applyAlignment="1">
      <alignment vertical="center"/>
    </xf>
    <xf numFmtId="49" fontId="0" fillId="6" borderId="89" xfId="0" applyNumberFormat="1" applyFont="1" applyFill="1" applyBorder="1" applyAlignment="1">
      <alignment vertical="center" wrapText="1"/>
    </xf>
    <xf numFmtId="49" fontId="64" fillId="6" borderId="89" xfId="0" applyNumberFormat="1" applyFont="1" applyFill="1" applyBorder="1" applyAlignment="1">
      <alignment vertical="center" wrapText="1"/>
    </xf>
    <xf numFmtId="4" fontId="64" fillId="6" borderId="63" xfId="0" applyNumberFormat="1" applyFont="1" applyFill="1" applyBorder="1" applyAlignment="1">
      <alignment horizontal="right" vertical="center"/>
    </xf>
    <xf numFmtId="0" fontId="0" fillId="6" borderId="193" xfId="0" applyFont="1" applyFill="1" applyBorder="1" applyAlignment="1">
      <alignment vertical="center" wrapText="1"/>
    </xf>
    <xf numFmtId="0" fontId="64" fillId="6" borderId="193" xfId="0" applyFont="1" applyFill="1" applyBorder="1" applyAlignment="1">
      <alignment vertical="center" wrapText="1"/>
    </xf>
    <xf numFmtId="4" fontId="64" fillId="6" borderId="63" xfId="0" applyNumberFormat="1" applyFont="1" applyFill="1" applyBorder="1" applyAlignment="1">
      <alignment vertical="center"/>
    </xf>
    <xf numFmtId="4" fontId="64" fillId="6" borderId="19" xfId="0" applyNumberFormat="1" applyFont="1" applyFill="1" applyBorder="1" applyAlignment="1">
      <alignment vertical="center"/>
    </xf>
    <xf numFmtId="0" fontId="49" fillId="6" borderId="193" xfId="0" applyFont="1" applyFill="1" applyBorder="1" applyAlignment="1">
      <alignment vertical="center"/>
    </xf>
    <xf numFmtId="0" fontId="64" fillId="6" borderId="89" xfId="0" applyFont="1" applyFill="1" applyBorder="1" applyAlignment="1">
      <alignment vertical="center"/>
    </xf>
    <xf numFmtId="4" fontId="64" fillId="6" borderId="188" xfId="0" applyNumberFormat="1" applyFont="1" applyFill="1" applyBorder="1" applyAlignment="1">
      <alignment vertical="center"/>
    </xf>
    <xf numFmtId="4" fontId="64" fillId="6" borderId="191" xfId="0" applyNumberFormat="1" applyFont="1" applyFill="1" applyBorder="1" applyAlignment="1">
      <alignment vertical="center"/>
    </xf>
    <xf numFmtId="49" fontId="0" fillId="6" borderId="193" xfId="0" applyNumberFormat="1" applyFont="1" applyFill="1" applyBorder="1" applyAlignment="1">
      <alignment vertical="center"/>
    </xf>
    <xf numFmtId="0" fontId="64" fillId="6" borderId="89" xfId="0" applyFont="1" applyFill="1" applyBorder="1" applyAlignment="1">
      <alignment vertical="center" wrapText="1"/>
    </xf>
    <xf numFmtId="4" fontId="64" fillId="6" borderId="63" xfId="0" applyNumberFormat="1" applyFont="1" applyFill="1" applyBorder="1"/>
    <xf numFmtId="4" fontId="64" fillId="6" borderId="19" xfId="0" applyNumberFormat="1" applyFont="1" applyFill="1" applyBorder="1"/>
    <xf numFmtId="0" fontId="49" fillId="6" borderId="89" xfId="0" applyFont="1" applyFill="1" applyBorder="1" applyAlignment="1">
      <alignment vertical="center" wrapText="1"/>
    </xf>
    <xf numFmtId="4" fontId="49" fillId="6" borderId="188" xfId="0" applyNumberFormat="1" applyFont="1" applyFill="1" applyBorder="1"/>
    <xf numFmtId="0" fontId="49" fillId="6" borderId="89" xfId="0" applyFont="1" applyFill="1" applyBorder="1" applyAlignment="1">
      <alignment vertical="center"/>
    </xf>
    <xf numFmtId="4" fontId="49" fillId="6" borderId="63" xfId="0" applyNumberFormat="1" applyFont="1" applyFill="1" applyBorder="1" applyAlignment="1">
      <alignment vertical="center"/>
    </xf>
    <xf numFmtId="4" fontId="49" fillId="6" borderId="19" xfId="0" applyNumberFormat="1" applyFont="1" applyFill="1" applyBorder="1" applyAlignment="1">
      <alignment vertical="center"/>
    </xf>
    <xf numFmtId="0" fontId="64" fillId="6" borderId="193" xfId="0" applyFont="1" applyFill="1" applyBorder="1" applyAlignment="1">
      <alignment vertical="center"/>
    </xf>
    <xf numFmtId="49" fontId="49" fillId="6" borderId="193" xfId="0" applyNumberFormat="1" applyFont="1" applyFill="1" applyBorder="1" applyAlignment="1">
      <alignment vertical="center" wrapText="1"/>
    </xf>
    <xf numFmtId="49" fontId="0" fillId="6" borderId="193" xfId="0" applyNumberFormat="1" applyFont="1" applyFill="1" applyBorder="1" applyAlignment="1">
      <alignment vertical="center" wrapText="1"/>
    </xf>
    <xf numFmtId="4" fontId="0" fillId="6" borderId="63" xfId="0" applyNumberFormat="1" applyFont="1" applyFill="1" applyBorder="1" applyAlignment="1">
      <alignment horizontal="right" vertical="center"/>
    </xf>
    <xf numFmtId="4" fontId="0" fillId="6" borderId="19" xfId="0" applyNumberFormat="1" applyFont="1" applyFill="1" applyBorder="1" applyAlignment="1">
      <alignment horizontal="right" vertical="center"/>
    </xf>
    <xf numFmtId="49" fontId="49" fillId="6" borderId="89" xfId="0" applyNumberFormat="1" applyFont="1" applyFill="1" applyBorder="1" applyAlignment="1">
      <alignment vertical="center"/>
    </xf>
    <xf numFmtId="4" fontId="49" fillId="6" borderId="188" xfId="0" applyNumberFormat="1" applyFont="1" applyFill="1" applyBorder="1" applyAlignment="1">
      <alignment vertical="center"/>
    </xf>
    <xf numFmtId="4" fontId="49" fillId="6" borderId="191" xfId="0" applyNumberFormat="1" applyFont="1" applyFill="1" applyBorder="1" applyAlignment="1">
      <alignment vertical="center"/>
    </xf>
    <xf numFmtId="0" fontId="0" fillId="6" borderId="89" xfId="4" applyFont="1" applyFill="1" applyBorder="1" applyAlignment="1">
      <alignment vertical="center" wrapText="1"/>
    </xf>
    <xf numFmtId="0" fontId="0" fillId="6" borderId="193" xfId="4" applyFont="1" applyFill="1" applyBorder="1" applyAlignment="1">
      <alignment vertical="center" wrapText="1"/>
    </xf>
    <xf numFmtId="0" fontId="64" fillId="6" borderId="89" xfId="4" applyFont="1" applyFill="1" applyBorder="1" applyAlignment="1">
      <alignment vertical="center" wrapText="1"/>
    </xf>
    <xf numFmtId="49" fontId="0" fillId="6" borderId="89" xfId="4" applyNumberFormat="1" applyFont="1" applyFill="1" applyBorder="1" applyAlignment="1">
      <alignment vertical="center" wrapText="1"/>
    </xf>
    <xf numFmtId="0" fontId="0" fillId="6" borderId="89" xfId="4" applyFont="1" applyFill="1" applyBorder="1" applyAlignment="1">
      <alignment vertical="center"/>
    </xf>
    <xf numFmtId="0" fontId="64" fillId="6" borderId="89" xfId="4" applyFont="1" applyFill="1" applyBorder="1" applyAlignment="1">
      <alignment vertical="center"/>
    </xf>
    <xf numFmtId="2" fontId="0" fillId="6" borderId="89" xfId="0" applyNumberFormat="1" applyFont="1" applyFill="1" applyBorder="1" applyAlignment="1">
      <alignment vertical="center" wrapText="1"/>
    </xf>
    <xf numFmtId="0" fontId="0" fillId="6" borderId="89" xfId="5" applyFont="1" applyFill="1" applyBorder="1" applyAlignment="1">
      <alignment vertical="center" wrapText="1"/>
    </xf>
    <xf numFmtId="0" fontId="0" fillId="6" borderId="193" xfId="5" applyFont="1" applyFill="1" applyBorder="1" applyAlignment="1">
      <alignment vertical="center" wrapText="1"/>
    </xf>
    <xf numFmtId="49" fontId="0" fillId="6" borderId="193" xfId="4" applyNumberFormat="1" applyFont="1" applyFill="1" applyBorder="1" applyAlignment="1">
      <alignment vertical="center" wrapText="1"/>
    </xf>
    <xf numFmtId="0" fontId="64" fillId="6" borderId="193" xfId="4" applyFont="1" applyFill="1" applyBorder="1" applyAlignment="1">
      <alignment vertical="center" wrapText="1"/>
    </xf>
    <xf numFmtId="0" fontId="4" fillId="6" borderId="193" xfId="4" applyFont="1" applyFill="1" applyBorder="1" applyAlignment="1">
      <alignment vertical="center" wrapText="1"/>
    </xf>
    <xf numFmtId="0" fontId="0" fillId="6" borderId="182" xfId="4" applyFont="1" applyFill="1" applyBorder="1" applyAlignment="1">
      <alignment vertical="center" wrapText="1"/>
    </xf>
    <xf numFmtId="0" fontId="0" fillId="6" borderId="194" xfId="4" applyFont="1" applyFill="1" applyBorder="1" applyAlignment="1">
      <alignment vertical="top" wrapText="1"/>
    </xf>
    <xf numFmtId="4" fontId="0" fillId="6" borderId="255" xfId="0" applyNumberFormat="1" applyFont="1" applyFill="1" applyBorder="1" applyAlignment="1">
      <alignment vertical="center"/>
    </xf>
    <xf numFmtId="49" fontId="0" fillId="6" borderId="193" xfId="5" applyNumberFormat="1" applyFont="1" applyFill="1" applyBorder="1" applyAlignment="1">
      <alignment vertical="center" wrapText="1"/>
    </xf>
    <xf numFmtId="49" fontId="4" fillId="6" borderId="193" xfId="5" applyNumberFormat="1" applyFont="1" applyFill="1" applyBorder="1" applyAlignment="1">
      <alignment vertical="center" wrapText="1"/>
    </xf>
    <xf numFmtId="0" fontId="4" fillId="6" borderId="193" xfId="5" applyFont="1" applyFill="1" applyBorder="1" applyAlignment="1">
      <alignment vertical="center" wrapText="1"/>
    </xf>
    <xf numFmtId="4" fontId="0" fillId="6" borderId="63" xfId="0" applyNumberFormat="1" applyFont="1" applyFill="1" applyBorder="1" applyAlignment="1">
      <alignment vertical="center" wrapText="1"/>
    </xf>
    <xf numFmtId="4" fontId="0" fillId="6" borderId="19" xfId="0" applyNumberFormat="1" applyFont="1" applyFill="1" applyBorder="1" applyAlignment="1">
      <alignment vertical="center" wrapText="1"/>
    </xf>
    <xf numFmtId="49" fontId="0" fillId="6" borderId="193" xfId="4" applyNumberFormat="1" applyFont="1" applyFill="1" applyBorder="1" applyAlignment="1">
      <alignment vertical="center"/>
    </xf>
    <xf numFmtId="0" fontId="0" fillId="6" borderId="133" xfId="0" applyFont="1" applyFill="1" applyBorder="1" applyAlignment="1">
      <alignment vertical="center"/>
    </xf>
    <xf numFmtId="0" fontId="0" fillId="6" borderId="137" xfId="0" applyFont="1" applyFill="1" applyBorder="1" applyAlignment="1">
      <alignment vertical="center"/>
    </xf>
    <xf numFmtId="0" fontId="56" fillId="6" borderId="196" xfId="0" applyFont="1" applyFill="1" applyBorder="1" applyAlignment="1">
      <alignment vertical="center"/>
    </xf>
    <xf numFmtId="4" fontId="0" fillId="6" borderId="245" xfId="0" applyNumberFormat="1" applyFont="1" applyFill="1" applyBorder="1" applyAlignment="1">
      <alignment vertical="center"/>
    </xf>
    <xf numFmtId="4" fontId="0" fillId="6" borderId="254" xfId="0" applyNumberFormat="1" applyFont="1" applyFill="1" applyBorder="1" applyAlignment="1">
      <alignment vertical="center"/>
    </xf>
    <xf numFmtId="4" fontId="3" fillId="6" borderId="138" xfId="0" applyNumberFormat="1" applyFont="1" applyFill="1" applyBorder="1" applyAlignment="1">
      <alignment vertical="center"/>
    </xf>
    <xf numFmtId="0" fontId="4" fillId="6" borderId="70" xfId="0" applyFont="1" applyFill="1" applyBorder="1" applyAlignment="1">
      <alignment vertical="center"/>
    </xf>
    <xf numFmtId="0" fontId="0" fillId="6" borderId="136" xfId="0" applyFont="1" applyFill="1" applyBorder="1" applyAlignment="1">
      <alignment vertical="center"/>
    </xf>
    <xf numFmtId="4" fontId="3" fillId="6" borderId="19" xfId="0" applyNumberFormat="1" applyFont="1" applyFill="1" applyBorder="1" applyAlignment="1">
      <alignment shrinkToFit="1"/>
    </xf>
    <xf numFmtId="4" fontId="0" fillId="6" borderId="134" xfId="0" applyNumberFormat="1" applyFont="1" applyFill="1" applyBorder="1" applyAlignment="1">
      <alignment vertical="center"/>
    </xf>
    <xf numFmtId="4" fontId="3" fillId="6" borderId="190" xfId="0" applyNumberFormat="1" applyFont="1" applyFill="1" applyBorder="1" applyAlignment="1">
      <alignment vertical="center"/>
    </xf>
    <xf numFmtId="4" fontId="4" fillId="6" borderId="16" xfId="0" applyNumberFormat="1" applyFont="1" applyFill="1" applyBorder="1"/>
    <xf numFmtId="4" fontId="4" fillId="6" borderId="192" xfId="0" applyNumberFormat="1" applyFont="1" applyFill="1" applyBorder="1"/>
    <xf numFmtId="4" fontId="4" fillId="0" borderId="263" xfId="0" applyNumberFormat="1" applyFont="1" applyFill="1" applyBorder="1" applyAlignment="1">
      <alignment vertical="center"/>
    </xf>
    <xf numFmtId="4" fontId="30" fillId="6" borderId="19" xfId="0" applyNumberFormat="1" applyFont="1" applyFill="1" applyBorder="1" applyAlignment="1">
      <alignment vertical="center"/>
    </xf>
    <xf numFmtId="4" fontId="3" fillId="6" borderId="19" xfId="0" applyNumberFormat="1" applyFont="1" applyFill="1" applyBorder="1" applyAlignment="1">
      <alignment vertical="center" shrinkToFit="1"/>
    </xf>
    <xf numFmtId="4" fontId="3" fillId="6" borderId="132" xfId="0" applyNumberFormat="1" applyFont="1" applyFill="1" applyBorder="1" applyAlignment="1">
      <alignment shrinkToFit="1"/>
    </xf>
    <xf numFmtId="4" fontId="0" fillId="6" borderId="44" xfId="0" applyNumberFormat="1" applyFont="1" applyFill="1" applyBorder="1" applyAlignment="1">
      <alignment shrinkToFit="1"/>
    </xf>
    <xf numFmtId="4" fontId="3" fillId="6" borderId="63" xfId="0" applyNumberFormat="1" applyFont="1" applyFill="1" applyBorder="1" applyAlignment="1">
      <alignment vertical="center" shrinkToFit="1"/>
    </xf>
    <xf numFmtId="4" fontId="3" fillId="6" borderId="114" xfId="0" applyNumberFormat="1" applyFont="1" applyFill="1" applyBorder="1" applyAlignment="1">
      <alignment shrinkToFit="1"/>
    </xf>
    <xf numFmtId="4" fontId="3" fillId="6" borderId="70" xfId="0" applyNumberFormat="1" applyFont="1" applyFill="1" applyBorder="1" applyAlignment="1">
      <alignment shrinkToFit="1"/>
    </xf>
    <xf numFmtId="4" fontId="3" fillId="6" borderId="192" xfId="0" applyNumberFormat="1" applyFont="1" applyFill="1" applyBorder="1" applyAlignment="1">
      <alignment shrinkToFit="1"/>
    </xf>
    <xf numFmtId="4" fontId="30" fillId="6" borderId="164" xfId="0" applyNumberFormat="1" applyFont="1" applyFill="1" applyBorder="1" applyAlignment="1">
      <alignment vertical="center"/>
    </xf>
    <xf numFmtId="4" fontId="0" fillId="6" borderId="277" xfId="0" applyNumberFormat="1" applyFont="1" applyFill="1" applyBorder="1" applyAlignment="1">
      <alignment vertical="center"/>
    </xf>
    <xf numFmtId="4" fontId="18" fillId="6" borderId="241" xfId="0" applyNumberFormat="1" applyFont="1" applyFill="1" applyBorder="1"/>
    <xf numFmtId="4" fontId="18" fillId="6" borderId="204" xfId="0" applyNumberFormat="1" applyFont="1" applyFill="1" applyBorder="1"/>
    <xf numFmtId="4" fontId="4" fillId="6" borderId="67" xfId="0" applyNumberFormat="1" applyFont="1" applyFill="1" applyBorder="1" applyAlignment="1">
      <alignment vertical="center"/>
    </xf>
    <xf numFmtId="4" fontId="4" fillId="6" borderId="19" xfId="0" applyNumberFormat="1" applyFont="1" applyFill="1" applyBorder="1" applyAlignment="1">
      <alignment vertical="center" shrinkToFit="1"/>
    </xf>
    <xf numFmtId="4" fontId="4" fillId="6" borderId="20" xfId="0" applyNumberFormat="1" applyFont="1" applyFill="1" applyBorder="1" applyAlignment="1">
      <alignment vertical="center"/>
    </xf>
    <xf numFmtId="4" fontId="21" fillId="6" borderId="109" xfId="0" applyNumberFormat="1" applyFont="1" applyFill="1" applyBorder="1" applyAlignment="1">
      <alignment shrinkToFit="1"/>
    </xf>
    <xf numFmtId="0" fontId="30" fillId="0" borderId="268" xfId="0" applyFont="1" applyFill="1" applyBorder="1" applyAlignment="1">
      <alignment vertical="center"/>
    </xf>
    <xf numFmtId="0" fontId="21" fillId="0" borderId="278" xfId="0" applyFont="1" applyFill="1" applyBorder="1" applyAlignment="1">
      <alignment wrapText="1"/>
    </xf>
    <xf numFmtId="4" fontId="18" fillId="0" borderId="268" xfId="0" applyNumberFormat="1" applyFont="1" applyFill="1" applyBorder="1"/>
    <xf numFmtId="4" fontId="18" fillId="0" borderId="264" xfId="0" applyNumberFormat="1" applyFont="1" applyFill="1" applyBorder="1"/>
    <xf numFmtId="0" fontId="5" fillId="0" borderId="268" xfId="0" applyFont="1" applyFill="1" applyBorder="1"/>
    <xf numFmtId="0" fontId="5" fillId="0" borderId="278" xfId="0" applyFont="1" applyFill="1" applyBorder="1" applyAlignment="1">
      <alignment wrapText="1"/>
    </xf>
    <xf numFmtId="4" fontId="24" fillId="0" borderId="268" xfId="0" applyNumberFormat="1" applyFont="1" applyFill="1" applyBorder="1"/>
    <xf numFmtId="4" fontId="24" fillId="0" borderId="270" xfId="0" applyNumberFormat="1" applyFont="1" applyFill="1" applyBorder="1"/>
    <xf numFmtId="4" fontId="24" fillId="0" borderId="264" xfId="0" applyNumberFormat="1" applyFont="1" applyFill="1" applyBorder="1"/>
    <xf numFmtId="0" fontId="30" fillId="0" borderId="140" xfId="0" applyFont="1" applyFill="1" applyBorder="1" applyAlignment="1">
      <alignment vertical="center"/>
    </xf>
    <xf numFmtId="0" fontId="30" fillId="0" borderId="182" xfId="0" applyFont="1" applyFill="1" applyBorder="1" applyAlignment="1">
      <alignment vertical="center" wrapText="1"/>
    </xf>
    <xf numFmtId="4" fontId="69" fillId="0" borderId="268" xfId="0" applyNumberFormat="1" applyFont="1" applyFill="1" applyBorder="1"/>
    <xf numFmtId="49" fontId="30" fillId="0" borderId="140" xfId="0" applyNumberFormat="1" applyFont="1" applyFill="1" applyBorder="1" applyAlignment="1">
      <alignment horizontal="right" vertical="center"/>
    </xf>
    <xf numFmtId="2" fontId="30" fillId="0" borderId="182" xfId="0" applyNumberFormat="1" applyFont="1" applyFill="1" applyBorder="1" applyAlignment="1">
      <alignment vertical="center" wrapText="1"/>
    </xf>
    <xf numFmtId="4" fontId="55" fillId="0" borderId="266" xfId="0" applyNumberFormat="1" applyFont="1" applyFill="1" applyBorder="1" applyAlignment="1">
      <alignment vertical="center"/>
    </xf>
    <xf numFmtId="4" fontId="56" fillId="0" borderId="266" xfId="0" applyNumberFormat="1" applyFont="1" applyFill="1" applyBorder="1" applyAlignment="1">
      <alignment vertical="center"/>
    </xf>
    <xf numFmtId="0" fontId="5" fillId="0" borderId="278" xfId="0" applyFont="1" applyFill="1" applyBorder="1"/>
    <xf numFmtId="4" fontId="69" fillId="0" borderId="268" xfId="0" applyNumberFormat="1" applyFont="1" applyFill="1" applyBorder="1" applyAlignment="1">
      <alignment vertical="center" shrinkToFit="1"/>
    </xf>
    <xf numFmtId="4" fontId="69" fillId="0" borderId="270" xfId="0" applyNumberFormat="1" applyFont="1" applyFill="1" applyBorder="1" applyAlignment="1">
      <alignment vertical="center" shrinkToFit="1"/>
    </xf>
    <xf numFmtId="4" fontId="69" fillId="0" borderId="264" xfId="0" applyNumberFormat="1" applyFont="1" applyFill="1" applyBorder="1" applyAlignment="1">
      <alignment vertical="center" shrinkToFit="1"/>
    </xf>
    <xf numFmtId="4" fontId="55" fillId="0" borderId="266" xfId="0" applyNumberFormat="1" applyFont="1" applyFill="1" applyBorder="1" applyAlignment="1">
      <alignment vertical="center" shrinkToFit="1"/>
    </xf>
    <xf numFmtId="4" fontId="94" fillId="0" borderId="268" xfId="0" applyNumberFormat="1" applyFont="1" applyFill="1" applyBorder="1"/>
    <xf numFmtId="4" fontId="18" fillId="0" borderId="204" xfId="0" applyNumberFormat="1" applyFont="1" applyFill="1" applyBorder="1" applyAlignment="1">
      <alignment shrinkToFit="1"/>
    </xf>
    <xf numFmtId="4" fontId="89" fillId="0" borderId="204" xfId="0" applyNumberFormat="1" applyFont="1" applyFill="1" applyBorder="1" applyAlignment="1">
      <alignment vertical="center"/>
    </xf>
    <xf numFmtId="4" fontId="4" fillId="6" borderId="152" xfId="0" applyNumberFormat="1" applyFont="1" applyFill="1" applyBorder="1"/>
    <xf numFmtId="4" fontId="3" fillId="6" borderId="114" xfId="0" applyNumberFormat="1" applyFont="1" applyFill="1" applyBorder="1" applyAlignment="1">
      <alignment vertical="center"/>
    </xf>
    <xf numFmtId="4" fontId="0" fillId="6" borderId="92" xfId="0" applyNumberFormat="1" applyFont="1" applyFill="1" applyBorder="1"/>
    <xf numFmtId="0" fontId="44" fillId="0" borderId="267" xfId="0" applyFont="1" applyFill="1" applyBorder="1" applyAlignment="1">
      <alignment vertical="center"/>
    </xf>
    <xf numFmtId="0" fontId="45" fillId="0" borderId="279" xfId="0" applyFont="1" applyFill="1" applyBorder="1" applyAlignment="1">
      <alignment vertical="center"/>
    </xf>
    <xf numFmtId="4" fontId="45" fillId="0" borderId="280" xfId="0" applyNumberFormat="1" applyFont="1" applyFill="1" applyBorder="1" applyAlignment="1">
      <alignment vertical="center"/>
    </xf>
    <xf numFmtId="0" fontId="44" fillId="0" borderId="265" xfId="0" applyFont="1" applyFill="1" applyBorder="1" applyAlignment="1">
      <alignment vertical="center"/>
    </xf>
    <xf numFmtId="0" fontId="44" fillId="0" borderId="275" xfId="0" applyFont="1" applyFill="1" applyBorder="1" applyAlignment="1">
      <alignment vertical="center"/>
    </xf>
    <xf numFmtId="0" fontId="41" fillId="0" borderId="281" xfId="0" applyFont="1" applyBorder="1" applyAlignment="1">
      <alignment vertical="center"/>
    </xf>
    <xf numFmtId="0" fontId="0" fillId="6" borderId="282" xfId="0" applyFont="1" applyFill="1" applyBorder="1" applyAlignment="1">
      <alignment vertical="center"/>
    </xf>
    <xf numFmtId="4" fontId="0" fillId="6" borderId="283" xfId="0" applyNumberFormat="1" applyFont="1" applyFill="1" applyBorder="1" applyAlignment="1">
      <alignment vertical="center"/>
    </xf>
    <xf numFmtId="4" fontId="0" fillId="6" borderId="281" xfId="0" applyNumberFormat="1" applyFont="1" applyFill="1" applyBorder="1" applyAlignment="1">
      <alignment vertical="center"/>
    </xf>
    <xf numFmtId="4" fontId="0" fillId="6" borderId="284" xfId="0" applyNumberFormat="1" applyFont="1" applyFill="1" applyBorder="1" applyAlignment="1">
      <alignment vertical="center"/>
    </xf>
    <xf numFmtId="4" fontId="0" fillId="0" borderId="282" xfId="0" applyNumberFormat="1" applyFont="1" applyFill="1" applyBorder="1" applyAlignment="1">
      <alignment vertical="center"/>
    </xf>
    <xf numFmtId="4" fontId="0" fillId="0" borderId="285" xfId="0" applyNumberFormat="1" applyFont="1" applyFill="1" applyBorder="1" applyAlignment="1">
      <alignment vertical="center"/>
    </xf>
    <xf numFmtId="0" fontId="41" fillId="0" borderId="286" xfId="0" applyFont="1" applyBorder="1" applyAlignment="1">
      <alignment vertical="center"/>
    </xf>
    <xf numFmtId="0" fontId="0" fillId="6" borderId="287" xfId="0" applyFont="1" applyFill="1" applyBorder="1" applyAlignment="1">
      <alignment vertical="center"/>
    </xf>
    <xf numFmtId="4" fontId="0" fillId="6" borderId="288" xfId="0" applyNumberFormat="1" applyFont="1" applyFill="1" applyBorder="1" applyAlignment="1">
      <alignment vertical="center"/>
    </xf>
    <xf numFmtId="4" fontId="0" fillId="6" borderId="286" xfId="0" applyNumberFormat="1" applyFont="1" applyFill="1" applyBorder="1" applyAlignment="1">
      <alignment vertical="center"/>
    </xf>
    <xf numFmtId="4" fontId="0" fillId="6" borderId="289" xfId="0" applyNumberFormat="1" applyFont="1" applyFill="1" applyBorder="1" applyAlignment="1">
      <alignment vertical="center"/>
    </xf>
    <xf numFmtId="4" fontId="0" fillId="0" borderId="287" xfId="0" applyNumberFormat="1" applyFont="1" applyFill="1" applyBorder="1" applyAlignment="1">
      <alignment vertical="center"/>
    </xf>
    <xf numFmtId="4" fontId="0" fillId="0" borderId="290" xfId="0" applyNumberFormat="1" applyFont="1" applyFill="1" applyBorder="1" applyAlignment="1">
      <alignment vertical="center"/>
    </xf>
    <xf numFmtId="0" fontId="41" fillId="0" borderId="291" xfId="0" applyFont="1" applyBorder="1" applyAlignment="1">
      <alignment vertical="center"/>
    </xf>
    <xf numFmtId="0" fontId="0" fillId="6" borderId="292" xfId="0" applyFont="1" applyFill="1" applyBorder="1" applyAlignment="1">
      <alignment vertical="center"/>
    </xf>
    <xf numFmtId="4" fontId="0" fillId="6" borderId="293" xfId="0" applyNumberFormat="1" applyFont="1" applyFill="1" applyBorder="1" applyAlignment="1">
      <alignment vertical="center"/>
    </xf>
    <xf numFmtId="4" fontId="0" fillId="6" borderId="291" xfId="0" applyNumberFormat="1" applyFont="1" applyFill="1" applyBorder="1" applyAlignment="1">
      <alignment vertical="center"/>
    </xf>
    <xf numFmtId="4" fontId="0" fillId="6" borderId="294" xfId="0" applyNumberFormat="1" applyFont="1" applyFill="1" applyBorder="1" applyAlignment="1">
      <alignment vertical="center"/>
    </xf>
    <xf numFmtId="4" fontId="0" fillId="0" borderId="292" xfId="0" applyNumberFormat="1" applyFont="1" applyFill="1" applyBorder="1" applyAlignment="1">
      <alignment vertical="center"/>
    </xf>
    <xf numFmtId="4" fontId="0" fillId="0" borderId="295" xfId="0" applyNumberFormat="1" applyFont="1" applyFill="1" applyBorder="1" applyAlignment="1">
      <alignment vertical="center"/>
    </xf>
    <xf numFmtId="0" fontId="41" fillId="0" borderId="296" xfId="0" applyFont="1" applyBorder="1" applyAlignment="1">
      <alignment vertical="center"/>
    </xf>
    <xf numFmtId="0" fontId="0" fillId="6" borderId="297" xfId="0" applyFont="1" applyFill="1" applyBorder="1" applyAlignment="1">
      <alignment vertical="center"/>
    </xf>
    <xf numFmtId="4" fontId="0" fillId="6" borderId="298" xfId="0" applyNumberFormat="1" applyFont="1" applyFill="1" applyBorder="1" applyAlignment="1">
      <alignment vertical="center"/>
    </xf>
    <xf numFmtId="4" fontId="0" fillId="6" borderId="296" xfId="0" applyNumberFormat="1" applyFont="1" applyFill="1" applyBorder="1" applyAlignment="1">
      <alignment vertical="center"/>
    </xf>
    <xf numFmtId="4" fontId="0" fillId="6" borderId="299" xfId="0" applyNumberFormat="1" applyFont="1" applyFill="1" applyBorder="1" applyAlignment="1">
      <alignment vertical="center"/>
    </xf>
    <xf numFmtId="4" fontId="0" fillId="0" borderId="297" xfId="0" applyNumberFormat="1" applyFont="1" applyFill="1" applyBorder="1" applyAlignment="1">
      <alignment vertical="center"/>
    </xf>
    <xf numFmtId="4" fontId="0" fillId="0" borderId="300" xfId="0" applyNumberFormat="1" applyFont="1" applyFill="1" applyBorder="1" applyAlignment="1">
      <alignment vertical="center"/>
    </xf>
    <xf numFmtId="0" fontId="41" fillId="0" borderId="301" xfId="0" applyFont="1" applyBorder="1" applyAlignment="1">
      <alignment vertical="center"/>
    </xf>
    <xf numFmtId="0" fontId="0" fillId="6" borderId="302" xfId="0" applyFont="1" applyFill="1" applyBorder="1" applyAlignment="1">
      <alignment vertical="center"/>
    </xf>
    <xf numFmtId="4" fontId="0" fillId="6" borderId="303" xfId="0" applyNumberFormat="1" applyFont="1" applyFill="1" applyBorder="1" applyAlignment="1">
      <alignment vertical="center"/>
    </xf>
    <xf numFmtId="4" fontId="0" fillId="6" borderId="301" xfId="0" applyNumberFormat="1" applyFont="1" applyFill="1" applyBorder="1" applyAlignment="1">
      <alignment vertical="center"/>
    </xf>
    <xf numFmtId="4" fontId="0" fillId="6" borderId="304" xfId="0" applyNumberFormat="1" applyFont="1" applyFill="1" applyBorder="1" applyAlignment="1">
      <alignment vertical="center"/>
    </xf>
    <xf numFmtId="4" fontId="0" fillId="0" borderId="302" xfId="0" applyNumberFormat="1" applyFont="1" applyFill="1" applyBorder="1" applyAlignment="1">
      <alignment vertical="center"/>
    </xf>
    <xf numFmtId="4" fontId="0" fillId="0" borderId="305" xfId="0" applyNumberFormat="1" applyFont="1" applyFill="1" applyBorder="1" applyAlignment="1">
      <alignment vertical="center"/>
    </xf>
    <xf numFmtId="0" fontId="8" fillId="6" borderId="301" xfId="0" applyFont="1" applyFill="1" applyBorder="1" applyAlignment="1">
      <alignment vertical="center"/>
    </xf>
    <xf numFmtId="0" fontId="3" fillId="6" borderId="302" xfId="0" applyFont="1" applyFill="1" applyBorder="1" applyAlignment="1">
      <alignment vertical="center"/>
    </xf>
    <xf numFmtId="0" fontId="4" fillId="6" borderId="301" xfId="0" applyFont="1" applyFill="1" applyBorder="1" applyAlignment="1">
      <alignment vertical="center"/>
    </xf>
    <xf numFmtId="4" fontId="4" fillId="6" borderId="303" xfId="0" applyNumberFormat="1" applyFont="1" applyFill="1" applyBorder="1" applyAlignment="1">
      <alignment vertical="center"/>
    </xf>
    <xf numFmtId="4" fontId="4" fillId="0" borderId="302" xfId="0" applyNumberFormat="1" applyFont="1" applyFill="1" applyBorder="1" applyAlignment="1">
      <alignment vertical="center"/>
    </xf>
    <xf numFmtId="0" fontId="8" fillId="6" borderId="296" xfId="0" applyFont="1" applyFill="1" applyBorder="1" applyAlignment="1">
      <alignment vertical="center"/>
    </xf>
    <xf numFmtId="0" fontId="3" fillId="6" borderId="297" xfId="0" applyFont="1" applyFill="1" applyBorder="1" applyAlignment="1">
      <alignment vertical="center"/>
    </xf>
    <xf numFmtId="0" fontId="3" fillId="6" borderId="306" xfId="0" applyFont="1" applyFill="1" applyBorder="1" applyAlignment="1">
      <alignment vertical="center"/>
    </xf>
    <xf numFmtId="4" fontId="0" fillId="6" borderId="307" xfId="0" applyNumberFormat="1" applyFont="1" applyFill="1" applyBorder="1" applyAlignment="1">
      <alignment vertical="center"/>
    </xf>
    <xf numFmtId="4" fontId="0" fillId="6" borderId="308" xfId="0" applyNumberFormat="1" applyFont="1" applyFill="1" applyBorder="1" applyAlignment="1">
      <alignment vertical="center"/>
    </xf>
    <xf numFmtId="0" fontId="3" fillId="0" borderId="302" xfId="0" applyFont="1" applyFill="1" applyBorder="1" applyAlignment="1">
      <alignment vertical="center"/>
    </xf>
    <xf numFmtId="0" fontId="4" fillId="6" borderId="309" xfId="0" applyFont="1" applyFill="1" applyBorder="1" applyAlignment="1">
      <alignment vertical="center"/>
    </xf>
    <xf numFmtId="0" fontId="4" fillId="6" borderId="310" xfId="0" applyFont="1" applyFill="1" applyBorder="1" applyAlignment="1">
      <alignment vertical="center"/>
    </xf>
    <xf numFmtId="4" fontId="4" fillId="6" borderId="311" xfId="0" applyNumberFormat="1" applyFont="1" applyFill="1" applyBorder="1" applyAlignment="1">
      <alignment vertical="center"/>
    </xf>
    <xf numFmtId="4" fontId="0" fillId="6" borderId="309" xfId="0" applyNumberFormat="1" applyFont="1" applyFill="1" applyBorder="1" applyAlignment="1">
      <alignment vertical="center"/>
    </xf>
    <xf numFmtId="0" fontId="8" fillId="6" borderId="309" xfId="0" applyFont="1" applyFill="1" applyBorder="1" applyAlignment="1">
      <alignment vertical="center"/>
    </xf>
    <xf numFmtId="0" fontId="3" fillId="6" borderId="310" xfId="0" applyFont="1" applyFill="1" applyBorder="1" applyAlignment="1">
      <alignment vertical="center"/>
    </xf>
    <xf numFmtId="4" fontId="0" fillId="6" borderId="311" xfId="0" applyNumberFormat="1" applyFont="1" applyFill="1" applyBorder="1" applyAlignment="1">
      <alignment vertical="center"/>
    </xf>
    <xf numFmtId="4" fontId="0" fillId="6" borderId="312" xfId="0" applyNumberFormat="1" applyFont="1" applyFill="1" applyBorder="1" applyAlignment="1">
      <alignment vertical="center"/>
    </xf>
    <xf numFmtId="4" fontId="0" fillId="6" borderId="313" xfId="0" applyNumberFormat="1" applyFont="1" applyFill="1" applyBorder="1" applyAlignment="1">
      <alignment vertical="center"/>
    </xf>
    <xf numFmtId="0" fontId="3" fillId="6" borderId="314" xfId="0" applyFont="1" applyFill="1" applyBorder="1" applyAlignment="1">
      <alignment vertical="center"/>
    </xf>
    <xf numFmtId="0" fontId="4" fillId="6" borderId="296" xfId="0" applyFont="1" applyFill="1" applyBorder="1" applyAlignment="1">
      <alignment vertical="center"/>
    </xf>
    <xf numFmtId="0" fontId="44" fillId="6" borderId="302" xfId="0" applyFont="1" applyFill="1" applyBorder="1" applyAlignment="1">
      <alignment vertical="center"/>
    </xf>
    <xf numFmtId="4" fontId="4" fillId="6" borderId="296" xfId="0" applyNumberFormat="1" applyFont="1" applyFill="1" applyBorder="1" applyAlignment="1">
      <alignment vertical="center"/>
    </xf>
    <xf numFmtId="4" fontId="4" fillId="6" borderId="304" xfId="0" applyNumberFormat="1" applyFont="1" applyFill="1" applyBorder="1" applyAlignment="1">
      <alignment vertical="center"/>
    </xf>
    <xf numFmtId="0" fontId="44" fillId="6" borderId="265" xfId="0" applyFont="1" applyFill="1" applyBorder="1" applyAlignment="1">
      <alignment vertical="center"/>
    </xf>
    <xf numFmtId="0" fontId="44" fillId="6" borderId="275" xfId="0" applyFont="1" applyFill="1" applyBorder="1" applyAlignment="1">
      <alignment vertical="center"/>
    </xf>
    <xf numFmtId="0" fontId="8" fillId="0" borderId="315" xfId="0" applyFont="1" applyFill="1" applyBorder="1" applyAlignment="1">
      <alignment vertical="center"/>
    </xf>
    <xf numFmtId="0" fontId="0" fillId="0" borderId="316" xfId="0" applyFont="1" applyFill="1" applyBorder="1" applyAlignment="1">
      <alignment vertical="center" wrapText="1"/>
    </xf>
    <xf numFmtId="4" fontId="0" fillId="0" borderId="315" xfId="0" applyNumberFormat="1" applyFont="1" applyFill="1" applyBorder="1" applyAlignment="1">
      <alignment vertical="center"/>
    </xf>
    <xf numFmtId="4" fontId="0" fillId="0" borderId="317" xfId="0" applyNumberFormat="1" applyFont="1" applyFill="1" applyBorder="1" applyAlignment="1">
      <alignment vertical="center"/>
    </xf>
    <xf numFmtId="0" fontId="0" fillId="0" borderId="316" xfId="0" applyFont="1" applyFill="1" applyBorder="1" applyAlignment="1">
      <alignment vertical="center"/>
    </xf>
    <xf numFmtId="4" fontId="0" fillId="0" borderId="316" xfId="0" applyNumberFormat="1" applyFont="1" applyFill="1" applyBorder="1" applyAlignment="1">
      <alignment vertical="center"/>
    </xf>
    <xf numFmtId="4" fontId="0" fillId="0" borderId="318" xfId="0" applyNumberFormat="1" applyFont="1" applyFill="1" applyBorder="1" applyAlignment="1">
      <alignment vertical="center"/>
    </xf>
    <xf numFmtId="0" fontId="0" fillId="0" borderId="319" xfId="0" applyFont="1" applyFill="1" applyBorder="1" applyAlignment="1">
      <alignment vertical="center"/>
    </xf>
    <xf numFmtId="4" fontId="0" fillId="0" borderId="320" xfId="0" applyNumberFormat="1" applyFont="1" applyFill="1" applyBorder="1" applyAlignment="1">
      <alignment vertical="center"/>
    </xf>
    <xf numFmtId="4" fontId="0" fillId="0" borderId="296" xfId="0" applyNumberFormat="1" applyFont="1" applyFill="1" applyBorder="1" applyAlignment="1">
      <alignment vertical="center"/>
    </xf>
    <xf numFmtId="0" fontId="8" fillId="0" borderId="321" xfId="0" applyFont="1" applyFill="1" applyBorder="1" applyAlignment="1">
      <alignment vertical="center"/>
    </xf>
    <xf numFmtId="0" fontId="0" fillId="0" borderId="322" xfId="0" applyFont="1" applyFill="1" applyBorder="1" applyAlignment="1">
      <alignment vertical="center"/>
    </xf>
    <xf numFmtId="4" fontId="0" fillId="0" borderId="323" xfId="0" applyNumberFormat="1" applyFont="1" applyFill="1" applyBorder="1" applyAlignment="1">
      <alignment vertical="center"/>
    </xf>
    <xf numFmtId="4" fontId="0" fillId="0" borderId="324" xfId="0" applyNumberFormat="1" applyFont="1" applyFill="1" applyBorder="1" applyAlignment="1">
      <alignment vertical="center"/>
    </xf>
    <xf numFmtId="4" fontId="0" fillId="0" borderId="321" xfId="0" applyNumberFormat="1" applyFont="1" applyFill="1" applyBorder="1" applyAlignment="1">
      <alignment vertical="center"/>
    </xf>
    <xf numFmtId="4" fontId="0" fillId="0" borderId="291" xfId="0" applyNumberFormat="1" applyFont="1" applyFill="1" applyBorder="1" applyAlignment="1">
      <alignment vertical="center"/>
    </xf>
    <xf numFmtId="0" fontId="8" fillId="0" borderId="325" xfId="0" applyFont="1" applyFill="1" applyBorder="1" applyAlignment="1">
      <alignment vertical="center"/>
    </xf>
    <xf numFmtId="0" fontId="0" fillId="0" borderId="326" xfId="0" applyFont="1" applyFill="1" applyBorder="1" applyAlignment="1">
      <alignment vertical="center"/>
    </xf>
    <xf numFmtId="4" fontId="0" fillId="0" borderId="327" xfId="0" applyNumberFormat="1" applyFont="1" applyFill="1" applyBorder="1" applyAlignment="1">
      <alignment vertical="center"/>
    </xf>
    <xf numFmtId="4" fontId="0" fillId="0" borderId="328" xfId="0" applyNumberFormat="1" applyFont="1" applyFill="1" applyBorder="1" applyAlignment="1">
      <alignment vertical="center"/>
    </xf>
    <xf numFmtId="4" fontId="0" fillId="0" borderId="325" xfId="0" applyNumberFormat="1" applyFont="1" applyFill="1" applyBorder="1" applyAlignment="1">
      <alignment vertical="center"/>
    </xf>
    <xf numFmtId="0" fontId="41" fillId="0" borderId="124" xfId="0" applyFont="1" applyBorder="1" applyAlignment="1">
      <alignment vertical="center"/>
    </xf>
    <xf numFmtId="4" fontId="0" fillId="0" borderId="329" xfId="0" applyNumberFormat="1" applyFont="1" applyFill="1" applyBorder="1" applyAlignment="1">
      <alignment vertical="center"/>
    </xf>
    <xf numFmtId="4" fontId="44" fillId="0" borderId="329" xfId="0" applyNumberFormat="1" applyFont="1" applyFill="1" applyBorder="1" applyAlignment="1">
      <alignment vertical="center"/>
    </xf>
    <xf numFmtId="0" fontId="3" fillId="0" borderId="186" xfId="0" applyFont="1" applyFill="1" applyBorder="1" applyAlignment="1">
      <alignment vertical="center"/>
    </xf>
    <xf numFmtId="0" fontId="8" fillId="0" borderId="124" xfId="0" applyFont="1" applyFill="1" applyBorder="1" applyAlignment="1">
      <alignment horizontal="left" vertical="center"/>
    </xf>
    <xf numFmtId="4" fontId="45" fillId="0" borderId="278" xfId="0" applyNumberFormat="1" applyFont="1" applyFill="1" applyBorder="1"/>
    <xf numFmtId="4" fontId="0" fillId="0" borderId="330" xfId="0" applyNumberFormat="1" applyFont="1" applyFill="1" applyBorder="1" applyAlignment="1">
      <alignment vertical="center"/>
    </xf>
    <xf numFmtId="4" fontId="0" fillId="0" borderId="331" xfId="0" applyNumberFormat="1" applyFont="1" applyFill="1" applyBorder="1" applyAlignment="1">
      <alignment vertical="center"/>
    </xf>
    <xf numFmtId="0" fontId="5" fillId="6" borderId="256" xfId="0" applyFont="1" applyFill="1" applyBorder="1" applyAlignment="1">
      <alignment vertical="center"/>
    </xf>
    <xf numFmtId="0" fontId="5" fillId="6" borderId="280" xfId="0" applyFont="1" applyFill="1" applyBorder="1" applyAlignment="1">
      <alignment vertical="center"/>
    </xf>
    <xf numFmtId="4" fontId="5" fillId="6" borderId="256" xfId="0" applyNumberFormat="1" applyFont="1" applyFill="1" applyBorder="1" applyAlignment="1">
      <alignment vertical="center"/>
    </xf>
    <xf numFmtId="4" fontId="5" fillId="6" borderId="259" xfId="0" applyNumberFormat="1" applyFont="1" applyFill="1" applyBorder="1" applyAlignment="1">
      <alignment vertical="center"/>
    </xf>
    <xf numFmtId="0" fontId="30" fillId="6" borderId="265" xfId="0" applyFont="1" applyFill="1" applyBorder="1" applyAlignment="1">
      <alignment vertical="center"/>
    </xf>
    <xf numFmtId="0" fontId="30" fillId="6" borderId="275" xfId="0" applyFont="1" applyFill="1" applyBorder="1" applyAlignment="1">
      <alignment vertical="center"/>
    </xf>
    <xf numFmtId="4" fontId="4" fillId="6" borderId="261" xfId="0" applyNumberFormat="1" applyFont="1" applyFill="1" applyBorder="1" applyAlignment="1">
      <alignment vertical="center"/>
    </xf>
    <xf numFmtId="4" fontId="0" fillId="6" borderId="332" xfId="0" applyNumberFormat="1" applyFont="1" applyFill="1" applyBorder="1" applyAlignment="1">
      <alignment vertical="center"/>
    </xf>
    <xf numFmtId="4" fontId="0" fillId="6" borderId="333" xfId="0" applyNumberFormat="1" applyFont="1" applyFill="1" applyBorder="1" applyAlignment="1">
      <alignment vertical="center"/>
    </xf>
    <xf numFmtId="4" fontId="0" fillId="6" borderId="334" xfId="0" applyNumberFormat="1" applyFont="1" applyFill="1" applyBorder="1" applyAlignment="1">
      <alignment vertical="center"/>
    </xf>
    <xf numFmtId="0" fontId="30" fillId="6" borderId="332" xfId="0" applyFont="1" applyFill="1" applyBorder="1" applyAlignment="1">
      <alignment vertical="center"/>
    </xf>
    <xf numFmtId="0" fontId="30" fillId="6" borderId="335" xfId="0" applyFont="1" applyFill="1" applyBorder="1" applyAlignment="1">
      <alignment vertical="center"/>
    </xf>
    <xf numFmtId="0" fontId="5" fillId="6" borderId="256" xfId="0" applyFont="1" applyFill="1" applyBorder="1"/>
    <xf numFmtId="0" fontId="5" fillId="6" borderId="280" xfId="0" applyFont="1" applyFill="1" applyBorder="1"/>
    <xf numFmtId="4" fontId="24" fillId="6" borderId="336" xfId="0" applyNumberFormat="1" applyFont="1" applyFill="1" applyBorder="1" applyAlignment="1">
      <alignment vertical="center"/>
    </xf>
    <xf numFmtId="4" fontId="24" fillId="6" borderId="258" xfId="0" applyNumberFormat="1" applyFont="1" applyFill="1" applyBorder="1" applyAlignment="1">
      <alignment vertical="center"/>
    </xf>
    <xf numFmtId="4" fontId="4" fillId="6" borderId="265" xfId="0" applyNumberFormat="1" applyFont="1" applyFill="1" applyBorder="1" applyAlignment="1">
      <alignment vertical="center"/>
    </xf>
    <xf numFmtId="4" fontId="4" fillId="6" borderId="263" xfId="0" applyNumberFormat="1" applyFont="1" applyFill="1" applyBorder="1" applyAlignment="1">
      <alignment vertical="center"/>
    </xf>
    <xf numFmtId="0" fontId="0" fillId="6" borderId="335" xfId="0" applyFont="1" applyFill="1" applyBorder="1" applyAlignment="1">
      <alignment vertical="center"/>
    </xf>
    <xf numFmtId="0" fontId="3" fillId="6" borderId="335" xfId="0" applyFont="1" applyFill="1" applyBorder="1" applyAlignment="1">
      <alignment vertical="center"/>
    </xf>
    <xf numFmtId="4" fontId="0" fillId="6" borderId="337" xfId="0" applyNumberFormat="1" applyFont="1" applyFill="1" applyBorder="1" applyAlignment="1">
      <alignment vertical="center"/>
    </xf>
    <xf numFmtId="4" fontId="80" fillId="6" borderId="332" xfId="0" applyNumberFormat="1" applyFont="1" applyFill="1" applyBorder="1" applyAlignment="1">
      <alignment vertical="center"/>
    </xf>
    <xf numFmtId="4" fontId="3" fillId="6" borderId="115" xfId="0" applyNumberFormat="1" applyFont="1" applyFill="1" applyBorder="1" applyAlignment="1">
      <alignment vertical="center"/>
    </xf>
    <xf numFmtId="4" fontId="81" fillId="6" borderId="332" xfId="0" applyNumberFormat="1" applyFont="1" applyFill="1" applyBorder="1" applyAlignment="1">
      <alignment vertical="center"/>
    </xf>
    <xf numFmtId="0" fontId="8" fillId="6" borderId="332" xfId="0" applyFont="1" applyFill="1" applyBorder="1" applyAlignment="1">
      <alignment vertical="center"/>
    </xf>
    <xf numFmtId="4" fontId="24" fillId="6" borderId="209" xfId="0" applyNumberFormat="1" applyFont="1" applyFill="1" applyBorder="1"/>
    <xf numFmtId="4" fontId="24" fillId="6" borderId="271" xfId="0" applyNumberFormat="1" applyFont="1" applyFill="1" applyBorder="1"/>
    <xf numFmtId="4" fontId="4" fillId="6" borderId="334" xfId="0" applyNumberFormat="1" applyFont="1" applyFill="1" applyBorder="1" applyAlignment="1">
      <alignment vertical="center"/>
    </xf>
    <xf numFmtId="4" fontId="24" fillId="6" borderId="267" xfId="0" applyNumberFormat="1" applyFont="1" applyFill="1" applyBorder="1"/>
    <xf numFmtId="4" fontId="24" fillId="6" borderId="338" xfId="0" applyNumberFormat="1" applyFont="1" applyFill="1" applyBorder="1"/>
    <xf numFmtId="4" fontId="24" fillId="6" borderId="339" xfId="0" applyNumberFormat="1" applyFont="1" applyFill="1" applyBorder="1"/>
    <xf numFmtId="0" fontId="0" fillId="6" borderId="335" xfId="0" applyFont="1" applyFill="1" applyBorder="1" applyAlignment="1">
      <alignment horizontal="left" vertical="center"/>
    </xf>
    <xf numFmtId="4" fontId="0" fillId="6" borderId="340" xfId="0" applyNumberFormat="1" applyFont="1" applyFill="1" applyBorder="1" applyAlignment="1">
      <alignment vertical="center"/>
    </xf>
    <xf numFmtId="4" fontId="0" fillId="0" borderId="332" xfId="0" applyNumberFormat="1" applyFont="1" applyFill="1" applyBorder="1" applyAlignment="1">
      <alignment vertical="center"/>
    </xf>
    <xf numFmtId="4" fontId="80" fillId="0" borderId="332" xfId="0" applyNumberFormat="1" applyFont="1" applyFill="1" applyBorder="1" applyAlignment="1">
      <alignment vertical="center"/>
    </xf>
    <xf numFmtId="0" fontId="3" fillId="0" borderId="335" xfId="0" applyFont="1" applyFill="1" applyBorder="1" applyAlignment="1">
      <alignment vertical="center"/>
    </xf>
    <xf numFmtId="0" fontId="8" fillId="0" borderId="332" xfId="0" applyFont="1" applyFill="1" applyBorder="1" applyAlignment="1">
      <alignment vertical="center"/>
    </xf>
    <xf numFmtId="4" fontId="80" fillId="0" borderId="141" xfId="0" applyNumberFormat="1" applyFont="1" applyFill="1" applyBorder="1" applyAlignment="1">
      <alignment vertical="center"/>
    </xf>
    <xf numFmtId="4" fontId="4" fillId="6" borderId="341" xfId="0" applyNumberFormat="1" applyFont="1" applyFill="1" applyBorder="1" applyAlignment="1">
      <alignment vertical="center"/>
    </xf>
    <xf numFmtId="4" fontId="30" fillId="6" borderId="131" xfId="0" applyNumberFormat="1" applyFont="1" applyFill="1" applyBorder="1"/>
    <xf numFmtId="4" fontId="30" fillId="6" borderId="23" xfId="0" applyNumberFormat="1" applyFont="1" applyFill="1" applyBorder="1"/>
    <xf numFmtId="4" fontId="4" fillId="6" borderId="4" xfId="0" applyNumberFormat="1" applyFont="1" applyFill="1" applyBorder="1" applyAlignment="1">
      <alignment vertical="center"/>
    </xf>
    <xf numFmtId="4" fontId="0" fillId="6" borderId="4" xfId="0" applyNumberFormat="1" applyFont="1" applyFill="1" applyBorder="1" applyAlignment="1">
      <alignment vertical="center" shrinkToFit="1"/>
    </xf>
    <xf numFmtId="4" fontId="0" fillId="6" borderId="190" xfId="0" applyNumberFormat="1" applyFont="1" applyFill="1" applyBorder="1" applyAlignment="1">
      <alignment vertical="center" shrinkToFit="1"/>
    </xf>
    <xf numFmtId="4" fontId="0" fillId="6" borderId="4" xfId="0" applyNumberFormat="1" applyFont="1" applyFill="1" applyBorder="1" applyAlignment="1">
      <alignment vertical="center"/>
    </xf>
    <xf numFmtId="4" fontId="4" fillId="6" borderId="44" xfId="0" applyNumberFormat="1" applyFont="1" applyFill="1" applyBorder="1" applyAlignment="1">
      <alignment vertical="center"/>
    </xf>
    <xf numFmtId="4" fontId="55" fillId="0" borderId="265" xfId="0" applyNumberFormat="1" applyFont="1" applyFill="1" applyBorder="1" applyAlignment="1">
      <alignment vertical="center"/>
    </xf>
    <xf numFmtId="4" fontId="89" fillId="0" borderId="204" xfId="0" applyNumberFormat="1" applyFont="1" applyFill="1" applyBorder="1"/>
    <xf numFmtId="4" fontId="4" fillId="0" borderId="342" xfId="0" applyNumberFormat="1" applyFont="1" applyFill="1" applyBorder="1" applyAlignment="1">
      <alignment vertical="center"/>
    </xf>
    <xf numFmtId="4" fontId="4" fillId="0" borderId="343" xfId="0" applyNumberFormat="1" applyFont="1" applyFill="1" applyBorder="1" applyAlignment="1">
      <alignment vertical="center"/>
    </xf>
    <xf numFmtId="4" fontId="24" fillId="0" borderId="257" xfId="0" applyNumberFormat="1" applyFont="1" applyFill="1" applyBorder="1"/>
    <xf numFmtId="4" fontId="18" fillId="0" borderId="257" xfId="0" applyNumberFormat="1" applyFont="1" applyFill="1" applyBorder="1" applyAlignment="1">
      <alignment shrinkToFit="1"/>
    </xf>
    <xf numFmtId="0" fontId="28" fillId="0" borderId="203" xfId="0" applyFont="1" applyFill="1" applyBorder="1"/>
    <xf numFmtId="0" fontId="21" fillId="0" borderId="160" xfId="0" applyFont="1" applyFill="1" applyBorder="1"/>
    <xf numFmtId="4" fontId="6" fillId="0" borderId="344" xfId="0" applyNumberFormat="1" applyFont="1" applyFill="1" applyBorder="1"/>
    <xf numFmtId="4" fontId="6" fillId="0" borderId="345" xfId="0" applyNumberFormat="1" applyFont="1" applyFill="1" applyBorder="1"/>
    <xf numFmtId="4" fontId="44" fillId="0" borderId="346" xfId="0" applyNumberFormat="1" applyFont="1" applyFill="1" applyBorder="1" applyAlignment="1">
      <alignment vertical="center"/>
    </xf>
    <xf numFmtId="4" fontId="24" fillId="6" borderId="204" xfId="0" applyNumberFormat="1" applyFont="1" applyFill="1" applyBorder="1" applyAlignment="1">
      <alignment vertical="center"/>
    </xf>
    <xf numFmtId="4" fontId="0" fillId="0" borderId="92" xfId="0" applyNumberFormat="1" applyFont="1" applyFill="1" applyBorder="1" applyAlignment="1">
      <alignment vertical="center"/>
    </xf>
    <xf numFmtId="4" fontId="24" fillId="0" borderId="204" xfId="0" applyNumberFormat="1" applyFont="1" applyFill="1" applyBorder="1" applyAlignment="1">
      <alignment vertical="center"/>
    </xf>
    <xf numFmtId="4" fontId="44" fillId="0" borderId="337" xfId="0" applyNumberFormat="1" applyFont="1" applyFill="1" applyBorder="1" applyAlignment="1">
      <alignment vertical="center"/>
    </xf>
    <xf numFmtId="4" fontId="0" fillId="6" borderId="248" xfId="0" applyNumberFormat="1" applyFont="1" applyFill="1" applyBorder="1" applyAlignment="1">
      <alignment vertical="center"/>
    </xf>
    <xf numFmtId="4" fontId="0" fillId="6" borderId="201" xfId="0" applyNumberFormat="1" applyFont="1" applyFill="1" applyBorder="1" applyAlignment="1">
      <alignment vertical="center"/>
    </xf>
    <xf numFmtId="4" fontId="44" fillId="6" borderId="337" xfId="0" applyNumberFormat="1" applyFont="1" applyFill="1" applyBorder="1" applyAlignment="1">
      <alignment vertical="center"/>
    </xf>
    <xf numFmtId="4" fontId="44" fillId="0" borderId="340" xfId="0" applyNumberFormat="1" applyFont="1" applyFill="1" applyBorder="1" applyAlignment="1">
      <alignment vertical="center"/>
    </xf>
    <xf numFmtId="4" fontId="44" fillId="6" borderId="340" xfId="0" applyNumberFormat="1" applyFont="1" applyFill="1" applyBorder="1" applyAlignment="1">
      <alignment vertical="center"/>
    </xf>
    <xf numFmtId="4" fontId="44" fillId="6" borderId="332" xfId="0" applyNumberFormat="1" applyFont="1" applyFill="1" applyBorder="1" applyAlignment="1">
      <alignment vertical="center"/>
    </xf>
    <xf numFmtId="4" fontId="0" fillId="0" borderId="347" xfId="0" applyNumberFormat="1" applyFont="1" applyFill="1" applyBorder="1" applyAlignment="1">
      <alignment vertical="center"/>
    </xf>
    <xf numFmtId="4" fontId="0" fillId="0" borderId="348" xfId="0" applyNumberFormat="1" applyFont="1" applyFill="1" applyBorder="1" applyAlignment="1">
      <alignment vertical="center"/>
    </xf>
    <xf numFmtId="4" fontId="24" fillId="0" borderId="349" xfId="0" applyNumberFormat="1" applyFont="1" applyFill="1" applyBorder="1" applyAlignment="1">
      <alignment vertical="center"/>
    </xf>
    <xf numFmtId="4" fontId="44" fillId="6" borderId="65" xfId="0" applyNumberFormat="1" applyFont="1" applyFill="1" applyBorder="1" applyAlignment="1">
      <alignment vertical="center"/>
    </xf>
    <xf numFmtId="4" fontId="0" fillId="0" borderId="201" xfId="0" applyNumberFormat="1" applyFont="1" applyFill="1" applyBorder="1"/>
    <xf numFmtId="4" fontId="0" fillId="0" borderId="350" xfId="0" applyNumberFormat="1" applyFont="1" applyFill="1" applyBorder="1" applyAlignment="1">
      <alignment vertical="center"/>
    </xf>
    <xf numFmtId="4" fontId="0" fillId="0" borderId="127" xfId="0" applyNumberFormat="1" applyFont="1" applyFill="1" applyBorder="1"/>
    <xf numFmtId="4" fontId="4" fillId="0" borderId="351" xfId="0" applyNumberFormat="1" applyFont="1" applyFill="1" applyBorder="1"/>
    <xf numFmtId="4" fontId="44" fillId="0" borderId="332" xfId="0" applyNumberFormat="1" applyFont="1" applyFill="1" applyBorder="1" applyAlignment="1">
      <alignment vertical="center"/>
    </xf>
    <xf numFmtId="4" fontId="0" fillId="0" borderId="274" xfId="0" applyNumberFormat="1" applyFont="1" applyFill="1" applyBorder="1" applyAlignment="1">
      <alignment vertical="center"/>
    </xf>
    <xf numFmtId="0" fontId="4" fillId="0" borderId="233" xfId="0" applyFont="1" applyFill="1" applyBorder="1" applyAlignment="1">
      <alignment horizontal="right" vertical="center"/>
    </xf>
    <xf numFmtId="49" fontId="4" fillId="0" borderId="275" xfId="0" applyNumberFormat="1" applyFont="1" applyFill="1" applyBorder="1" applyAlignment="1">
      <alignment vertical="center" wrapText="1"/>
    </xf>
    <xf numFmtId="4" fontId="64" fillId="0" borderId="187" xfId="0" applyNumberFormat="1" applyFont="1" applyFill="1" applyBorder="1" applyAlignment="1">
      <alignment vertical="center"/>
    </xf>
    <xf numFmtId="4" fontId="64" fillId="0" borderId="63" xfId="0" applyNumberFormat="1" applyFont="1" applyFill="1" applyBorder="1"/>
    <xf numFmtId="4" fontId="64" fillId="0" borderId="123" xfId="0" applyNumberFormat="1" applyFont="1" applyFill="1" applyBorder="1"/>
    <xf numFmtId="4" fontId="49" fillId="0" borderId="188" xfId="0" applyNumberFormat="1" applyFont="1" applyFill="1" applyBorder="1"/>
    <xf numFmtId="4" fontId="49" fillId="0" borderId="187" xfId="0" applyNumberFormat="1" applyFont="1" applyFill="1" applyBorder="1"/>
    <xf numFmtId="4" fontId="49" fillId="6" borderId="191" xfId="0" applyNumberFormat="1" applyFont="1" applyFill="1" applyBorder="1"/>
    <xf numFmtId="4" fontId="0" fillId="0" borderId="187" xfId="0" applyNumberFormat="1" applyFont="1" applyFill="1" applyBorder="1"/>
    <xf numFmtId="4" fontId="49" fillId="0" borderId="63" xfId="0" applyNumberFormat="1" applyFont="1" applyFill="1" applyBorder="1" applyAlignment="1">
      <alignment vertical="center"/>
    </xf>
    <xf numFmtId="4" fontId="49" fillId="0" borderId="123" xfId="0" applyNumberFormat="1" applyFont="1" applyFill="1" applyBorder="1" applyAlignment="1">
      <alignment vertical="center"/>
    </xf>
    <xf numFmtId="4" fontId="0" fillId="0" borderId="123" xfId="0" applyNumberFormat="1" applyFont="1" applyFill="1" applyBorder="1" applyAlignment="1">
      <alignment horizontal="right" vertical="center"/>
    </xf>
    <xf numFmtId="4" fontId="49" fillId="0" borderId="188" xfId="0" applyNumberFormat="1" applyFont="1" applyFill="1" applyBorder="1" applyAlignment="1">
      <alignment vertical="center"/>
    </xf>
    <xf numFmtId="4" fontId="49" fillId="0" borderId="187" xfId="0" applyNumberFormat="1" applyFont="1" applyFill="1" applyBorder="1" applyAlignment="1">
      <alignment vertical="center"/>
    </xf>
    <xf numFmtId="49" fontId="4" fillId="0" borderId="193" xfId="4" applyNumberFormat="1" applyFont="1" applyFill="1" applyBorder="1" applyAlignment="1">
      <alignment vertical="center" wrapText="1"/>
    </xf>
    <xf numFmtId="4" fontId="0" fillId="0" borderId="183" xfId="0" applyNumberFormat="1" applyFont="1" applyFill="1" applyBorder="1" applyAlignment="1">
      <alignment vertical="center"/>
    </xf>
    <xf numFmtId="4" fontId="0" fillId="0" borderId="208" xfId="0" applyNumberFormat="1" applyFont="1" applyFill="1" applyBorder="1" applyAlignment="1">
      <alignment vertical="center"/>
    </xf>
    <xf numFmtId="4" fontId="0" fillId="0" borderId="63" xfId="0" applyNumberFormat="1" applyFont="1" applyFill="1" applyBorder="1" applyAlignment="1">
      <alignment vertical="center" wrapText="1"/>
    </xf>
    <xf numFmtId="4" fontId="0" fillId="0" borderId="123" xfId="0" applyNumberFormat="1" applyFont="1" applyFill="1" applyBorder="1" applyAlignment="1">
      <alignment vertical="center" wrapText="1"/>
    </xf>
    <xf numFmtId="0" fontId="56" fillId="0" borderId="330" xfId="0" applyFont="1" applyFill="1" applyBorder="1" applyAlignment="1">
      <alignment horizontal="right" vertical="center"/>
    </xf>
    <xf numFmtId="4" fontId="0" fillId="6" borderId="330" xfId="0" applyNumberFormat="1" applyFont="1" applyFill="1" applyBorder="1" applyAlignment="1">
      <alignment vertical="center"/>
    </xf>
    <xf numFmtId="4" fontId="3" fillId="0" borderId="0" xfId="0" applyNumberFormat="1" applyFont="1" applyFill="1"/>
    <xf numFmtId="0" fontId="21" fillId="0" borderId="256" xfId="0" applyFont="1" applyFill="1" applyBorder="1" applyAlignment="1">
      <alignment horizontal="center" vertical="center"/>
    </xf>
    <xf numFmtId="4" fontId="21" fillId="0" borderId="268" xfId="0" applyNumberFormat="1" applyFont="1" applyFill="1" applyBorder="1" applyAlignment="1">
      <alignment vertical="center"/>
    </xf>
    <xf numFmtId="4" fontId="21" fillId="0" borderId="264" xfId="0" applyNumberFormat="1" applyFont="1" applyFill="1" applyBorder="1" applyAlignment="1">
      <alignment vertical="center"/>
    </xf>
    <xf numFmtId="4" fontId="64" fillId="0" borderId="19" xfId="0" applyNumberFormat="1" applyFont="1" applyFill="1" applyBorder="1" applyAlignment="1">
      <alignment vertical="center"/>
    </xf>
    <xf numFmtId="4" fontId="64" fillId="6" borderId="19" xfId="0" applyNumberFormat="1" applyFont="1" applyFill="1" applyBorder="1" applyAlignment="1">
      <alignment horizontal="right" vertical="center"/>
    </xf>
    <xf numFmtId="4" fontId="95" fillId="6" borderId="186" xfId="0" applyNumberFormat="1" applyFont="1" applyFill="1" applyBorder="1" applyAlignment="1">
      <alignment vertical="center"/>
    </xf>
    <xf numFmtId="4" fontId="64" fillId="0" borderId="123" xfId="0" applyNumberFormat="1" applyFont="1" applyFill="1" applyBorder="1" applyAlignment="1">
      <alignment horizontal="right" vertical="center"/>
    </xf>
    <xf numFmtId="4" fontId="0" fillId="6" borderId="186" xfId="0" applyNumberFormat="1" applyFont="1" applyFill="1" applyBorder="1" applyAlignment="1">
      <alignment vertical="center"/>
    </xf>
    <xf numFmtId="4" fontId="6" fillId="0" borderId="352" xfId="0" applyNumberFormat="1" applyFont="1" applyFill="1" applyBorder="1"/>
    <xf numFmtId="4" fontId="6" fillId="0" borderId="353" xfId="0" applyNumberFormat="1" applyFont="1" applyFill="1" applyBorder="1"/>
    <xf numFmtId="0" fontId="3" fillId="0" borderId="114" xfId="0" applyFont="1" applyFill="1" applyBorder="1" applyAlignment="1">
      <alignment vertical="center"/>
    </xf>
    <xf numFmtId="0" fontId="8" fillId="0" borderId="331" xfId="0" applyFont="1" applyFill="1" applyBorder="1" applyAlignment="1">
      <alignment vertical="center"/>
    </xf>
    <xf numFmtId="4" fontId="23" fillId="0" borderId="0" xfId="0" applyNumberFormat="1" applyFont="1" applyFill="1" applyBorder="1"/>
    <xf numFmtId="4" fontId="23" fillId="0" borderId="253" xfId="0" applyNumberFormat="1" applyFont="1" applyFill="1" applyBorder="1"/>
    <xf numFmtId="4" fontId="74" fillId="0" borderId="0" xfId="0" applyNumberFormat="1" applyFont="1" applyFill="1" applyBorder="1"/>
    <xf numFmtId="4" fontId="4" fillId="6" borderId="0" xfId="0" applyNumberFormat="1" applyFont="1" applyFill="1" applyBorder="1" applyAlignment="1">
      <alignment vertical="center"/>
    </xf>
    <xf numFmtId="4" fontId="4" fillId="0" borderId="168" xfId="0" applyNumberFormat="1" applyFont="1" applyFill="1" applyBorder="1" applyAlignment="1">
      <alignment vertical="center"/>
    </xf>
    <xf numFmtId="4" fontId="4" fillId="6" borderId="179" xfId="0" applyNumberFormat="1" applyFont="1" applyFill="1" applyBorder="1" applyAlignment="1">
      <alignment vertical="center"/>
    </xf>
    <xf numFmtId="4" fontId="4" fillId="6" borderId="335" xfId="0" applyNumberFormat="1" applyFont="1" applyFill="1" applyBorder="1" applyAlignment="1">
      <alignment vertical="center"/>
    </xf>
    <xf numFmtId="4" fontId="0" fillId="6" borderId="335" xfId="0" applyNumberFormat="1" applyFont="1" applyFill="1" applyBorder="1" applyAlignment="1">
      <alignment vertical="center" shrinkToFit="1"/>
    </xf>
    <xf numFmtId="4" fontId="0" fillId="6" borderId="335" xfId="0" applyNumberFormat="1" applyFont="1" applyFill="1" applyBorder="1" applyAlignment="1">
      <alignment vertical="center"/>
    </xf>
    <xf numFmtId="4" fontId="4" fillId="6" borderId="137" xfId="0" applyNumberFormat="1" applyFont="1" applyFill="1" applyBorder="1" applyAlignment="1">
      <alignment vertical="center"/>
    </xf>
    <xf numFmtId="4" fontId="18" fillId="0" borderId="69" xfId="0" applyNumberFormat="1" applyFont="1" applyFill="1" applyBorder="1" applyAlignment="1">
      <alignment shrinkToFit="1"/>
    </xf>
    <xf numFmtId="4" fontId="4" fillId="6" borderId="332" xfId="0" applyNumberFormat="1" applyFont="1" applyFill="1" applyBorder="1" applyAlignment="1">
      <alignment vertical="center"/>
    </xf>
    <xf numFmtId="4" fontId="0" fillId="6" borderId="332" xfId="0" applyNumberFormat="1" applyFont="1" applyFill="1" applyBorder="1" applyAlignment="1">
      <alignment vertical="center" shrinkToFit="1"/>
    </xf>
    <xf numFmtId="0" fontId="3" fillId="0" borderId="310" xfId="0" applyFont="1" applyFill="1" applyBorder="1" applyAlignment="1">
      <alignment vertical="center"/>
    </xf>
    <xf numFmtId="0" fontId="0" fillId="0" borderId="140" xfId="0" applyFont="1" applyFill="1" applyBorder="1" applyAlignment="1" applyProtection="1">
      <alignment vertical="center"/>
      <protection locked="0"/>
    </xf>
    <xf numFmtId="4" fontId="0" fillId="0" borderId="354" xfId="0" applyNumberFormat="1" applyFont="1" applyFill="1" applyBorder="1" applyAlignment="1">
      <alignment vertical="center"/>
    </xf>
    <xf numFmtId="4" fontId="0" fillId="0" borderId="294" xfId="0" applyNumberFormat="1" applyFont="1" applyFill="1" applyBorder="1" applyAlignment="1">
      <alignment vertical="center"/>
    </xf>
    <xf numFmtId="4" fontId="4" fillId="6" borderId="294" xfId="0" applyNumberFormat="1" applyFont="1" applyFill="1" applyBorder="1" applyAlignment="1">
      <alignment vertical="center"/>
    </xf>
    <xf numFmtId="4" fontId="0" fillId="0" borderId="281" xfId="0" applyNumberFormat="1" applyFont="1" applyFill="1" applyBorder="1" applyAlignment="1">
      <alignment vertical="center"/>
    </xf>
    <xf numFmtId="4" fontId="4" fillId="6" borderId="281" xfId="0" applyNumberFormat="1" applyFont="1" applyFill="1" applyBorder="1" applyAlignment="1">
      <alignment vertical="center"/>
    </xf>
    <xf numFmtId="4" fontId="45" fillId="6" borderId="204" xfId="0" applyNumberFormat="1" applyFont="1" applyFill="1" applyBorder="1" applyAlignment="1">
      <alignment vertical="center"/>
    </xf>
    <xf numFmtId="4" fontId="44" fillId="0" borderId="252" xfId="0" applyNumberFormat="1" applyFont="1" applyFill="1" applyBorder="1" applyAlignment="1">
      <alignment vertical="center"/>
    </xf>
    <xf numFmtId="4" fontId="0" fillId="0" borderId="355" xfId="0" applyNumberFormat="1" applyFont="1" applyFill="1" applyBorder="1" applyAlignment="1">
      <alignment vertical="center"/>
    </xf>
    <xf numFmtId="0" fontId="30" fillId="0" borderId="0" xfId="0" applyFont="1" applyFill="1" applyBorder="1"/>
    <xf numFmtId="4" fontId="0" fillId="0" borderId="356" xfId="0" applyNumberFormat="1" applyFont="1" applyFill="1" applyBorder="1" applyAlignment="1">
      <alignment vertical="center"/>
    </xf>
    <xf numFmtId="4" fontId="0" fillId="0" borderId="357" xfId="0" applyNumberFormat="1" applyFont="1" applyFill="1" applyBorder="1" applyAlignment="1">
      <alignment vertical="center"/>
    </xf>
    <xf numFmtId="0" fontId="0" fillId="0" borderId="318" xfId="0" applyFont="1" applyFill="1" applyBorder="1" applyAlignment="1">
      <alignment vertical="center"/>
    </xf>
    <xf numFmtId="0" fontId="0" fillId="0" borderId="76" xfId="0" applyFont="1" applyFill="1" applyBorder="1" applyAlignment="1">
      <alignment vertical="center"/>
    </xf>
    <xf numFmtId="0" fontId="0" fillId="0" borderId="186" xfId="0" applyFont="1" applyFill="1" applyBorder="1" applyAlignment="1">
      <alignment vertical="center"/>
    </xf>
    <xf numFmtId="0" fontId="3" fillId="6" borderId="335" xfId="0" applyFont="1" applyFill="1" applyBorder="1" applyAlignment="1">
      <alignment vertical="center" wrapText="1"/>
    </xf>
    <xf numFmtId="4" fontId="3" fillId="6" borderId="66" xfId="0" applyNumberFormat="1" applyFont="1" applyFill="1" applyBorder="1" applyAlignment="1">
      <alignment vertical="center"/>
    </xf>
    <xf numFmtId="4" fontId="4" fillId="0" borderId="73" xfId="0" applyNumberFormat="1" applyFont="1" applyFill="1" applyBorder="1" applyAlignment="1">
      <alignment horizontal="right" vertical="center"/>
    </xf>
    <xf numFmtId="0" fontId="30" fillId="0" borderId="332" xfId="0" applyFont="1" applyFill="1" applyBorder="1" applyAlignment="1">
      <alignment vertical="center"/>
    </xf>
    <xf numFmtId="0" fontId="21" fillId="0" borderId="204" xfId="0" applyFont="1" applyFill="1" applyBorder="1"/>
    <xf numFmtId="4" fontId="0" fillId="0" borderId="332" xfId="0" applyNumberFormat="1" applyFont="1" applyFill="1" applyBorder="1"/>
    <xf numFmtId="0" fontId="30" fillId="0" borderId="335" xfId="0" applyFont="1" applyFill="1" applyBorder="1"/>
    <xf numFmtId="4" fontId="30" fillId="0" borderId="335" xfId="0" applyNumberFormat="1" applyFont="1" applyFill="1" applyBorder="1"/>
    <xf numFmtId="0" fontId="97" fillId="0" borderId="0" xfId="7" applyFont="1" applyAlignment="1">
      <alignment vertical="center"/>
    </xf>
    <xf numFmtId="0" fontId="98" fillId="0" borderId="0" xfId="7" applyFont="1" applyAlignment="1">
      <alignment horizontal="center" vertical="center"/>
    </xf>
    <xf numFmtId="0" fontId="98" fillId="0" borderId="0" xfId="7" applyFont="1" applyAlignment="1">
      <alignment vertical="center"/>
    </xf>
    <xf numFmtId="0" fontId="97" fillId="0" borderId="0" xfId="7" applyFont="1" applyAlignment="1">
      <alignment horizontal="justify" vertical="justify"/>
    </xf>
    <xf numFmtId="0" fontId="100" fillId="0" borderId="0" xfId="7" applyFont="1" applyAlignment="1">
      <alignment vertical="center"/>
    </xf>
    <xf numFmtId="0" fontId="100" fillId="0" borderId="0" xfId="7" applyFont="1" applyAlignment="1">
      <alignment horizontal="center" vertical="center"/>
    </xf>
    <xf numFmtId="0" fontId="101" fillId="0" borderId="0" xfId="7" applyFont="1" applyAlignment="1">
      <alignment horizontal="right" vertical="justify"/>
    </xf>
    <xf numFmtId="49" fontId="101" fillId="8" borderId="367" xfId="7" applyNumberFormat="1" applyFont="1" applyFill="1" applyBorder="1" applyAlignment="1">
      <alignment horizontal="center" vertical="center"/>
    </xf>
    <xf numFmtId="0" fontId="103" fillId="0" borderId="370" xfId="7" applyFont="1" applyBorder="1" applyAlignment="1">
      <alignment horizontal="center" vertical="center"/>
    </xf>
    <xf numFmtId="0" fontId="103" fillId="0" borderId="371" xfId="7" applyFont="1" applyBorder="1" applyAlignment="1">
      <alignment horizontal="center" vertical="center" wrapText="1"/>
    </xf>
    <xf numFmtId="0" fontId="104" fillId="0" borderId="372" xfId="7" applyFont="1" applyBorder="1" applyAlignment="1">
      <alignment horizontal="left" vertical="center" wrapText="1"/>
    </xf>
    <xf numFmtId="3" fontId="104" fillId="0" borderId="372" xfId="7" applyNumberFormat="1" applyFont="1" applyBorder="1" applyAlignment="1">
      <alignment vertical="center"/>
    </xf>
    <xf numFmtId="3" fontId="104" fillId="0" borderId="372" xfId="7" applyNumberFormat="1" applyFont="1" applyBorder="1" applyAlignment="1">
      <alignment horizontal="right" vertical="center"/>
    </xf>
    <xf numFmtId="3" fontId="104" fillId="8" borderId="372" xfId="8" applyNumberFormat="1" applyFont="1" applyFill="1" applyBorder="1" applyAlignment="1">
      <alignment horizontal="right" vertical="center"/>
    </xf>
    <xf numFmtId="0" fontId="104" fillId="0" borderId="373" xfId="8" applyFont="1" applyBorder="1" applyAlignment="1">
      <alignment horizontal="justify" vertical="center" wrapText="1"/>
    </xf>
    <xf numFmtId="3" fontId="101" fillId="8" borderId="378" xfId="7" applyNumberFormat="1" applyFont="1" applyFill="1" applyBorder="1" applyAlignment="1">
      <alignment vertical="center"/>
    </xf>
    <xf numFmtId="3" fontId="101" fillId="8" borderId="379" xfId="7" applyNumberFormat="1" applyFont="1" applyFill="1" applyBorder="1" applyAlignment="1">
      <alignment horizontal="justify" vertical="center"/>
    </xf>
    <xf numFmtId="0" fontId="105" fillId="0" borderId="0" xfId="7" applyFont="1" applyAlignment="1">
      <alignment horizontal="center" vertical="center" wrapText="1"/>
    </xf>
    <xf numFmtId="3" fontId="105" fillId="0" borderId="0" xfId="7" applyNumberFormat="1" applyFont="1" applyAlignment="1">
      <alignment horizontal="center" vertical="center" wrapText="1"/>
    </xf>
    <xf numFmtId="3" fontId="98" fillId="0" borderId="0" xfId="7" applyNumberFormat="1" applyFont="1" applyAlignment="1">
      <alignment vertical="center"/>
    </xf>
    <xf numFmtId="0" fontId="105" fillId="0" borderId="0" xfId="7" applyFont="1" applyAlignment="1">
      <alignment vertical="center"/>
    </xf>
    <xf numFmtId="4" fontId="4" fillId="0" borderId="337" xfId="0" applyNumberFormat="1" applyFont="1" applyFill="1" applyBorder="1" applyAlignment="1">
      <alignment vertical="center"/>
    </xf>
    <xf numFmtId="4" fontId="18" fillId="0" borderId="109" xfId="0" applyNumberFormat="1" applyFont="1" applyFill="1" applyBorder="1" applyAlignment="1">
      <alignment vertical="center"/>
    </xf>
    <xf numFmtId="4" fontId="4" fillId="0" borderId="65" xfId="0" applyNumberFormat="1" applyFont="1" applyFill="1" applyBorder="1" applyAlignment="1">
      <alignment horizontal="right" vertical="center"/>
    </xf>
    <xf numFmtId="0" fontId="30" fillId="0" borderId="331" xfId="0" applyFont="1" applyFill="1" applyBorder="1" applyAlignment="1">
      <alignment vertical="center"/>
    </xf>
    <xf numFmtId="4" fontId="30" fillId="6" borderId="89" xfId="0" applyNumberFormat="1" applyFont="1" applyFill="1" applyBorder="1" applyAlignment="1">
      <alignment vertical="center"/>
    </xf>
    <xf numFmtId="4" fontId="3" fillId="6" borderId="89" xfId="0" applyNumberFormat="1" applyFont="1" applyFill="1" applyBorder="1" applyAlignment="1">
      <alignment shrinkToFit="1"/>
    </xf>
    <xf numFmtId="4" fontId="0" fillId="6" borderId="89" xfId="0" applyNumberFormat="1" applyFont="1" applyFill="1" applyBorder="1" applyAlignment="1">
      <alignment horizontal="right" vertical="center"/>
    </xf>
    <xf numFmtId="4" fontId="0" fillId="6" borderId="89" xfId="0" applyNumberFormat="1" applyFont="1" applyFill="1" applyBorder="1" applyAlignment="1">
      <alignment shrinkToFit="1"/>
    </xf>
    <xf numFmtId="4" fontId="4" fillId="6" borderId="89" xfId="0" applyNumberFormat="1" applyFont="1" applyFill="1" applyBorder="1" applyAlignment="1">
      <alignment vertical="center" shrinkToFit="1"/>
    </xf>
    <xf numFmtId="4" fontId="3" fillId="6" borderId="89" xfId="0" applyNumberFormat="1" applyFont="1" applyFill="1" applyBorder="1" applyAlignment="1">
      <alignment vertical="center" shrinkToFit="1"/>
    </xf>
    <xf numFmtId="4" fontId="3" fillId="6" borderId="137" xfId="0" applyNumberFormat="1" applyFont="1" applyFill="1" applyBorder="1" applyAlignment="1">
      <alignment shrinkToFit="1"/>
    </xf>
    <xf numFmtId="4" fontId="3" fillId="6" borderId="136" xfId="0" applyNumberFormat="1" applyFont="1" applyFill="1" applyBorder="1" applyAlignment="1">
      <alignment shrinkToFit="1"/>
    </xf>
    <xf numFmtId="4" fontId="3" fillId="6" borderId="162" xfId="0" applyNumberFormat="1" applyFont="1" applyFill="1" applyBorder="1" applyAlignment="1">
      <alignment shrinkToFit="1"/>
    </xf>
    <xf numFmtId="4" fontId="4" fillId="0" borderId="335" xfId="0" applyNumberFormat="1" applyFont="1" applyFill="1" applyBorder="1" applyAlignment="1">
      <alignment vertical="center"/>
    </xf>
    <xf numFmtId="0" fontId="0" fillId="0" borderId="335" xfId="0" applyFont="1" applyFill="1" applyBorder="1" applyAlignment="1">
      <alignment vertical="center"/>
    </xf>
    <xf numFmtId="4" fontId="0" fillId="0" borderId="334" xfId="0" applyNumberFormat="1" applyFont="1" applyFill="1" applyBorder="1" applyAlignment="1">
      <alignment vertical="center"/>
    </xf>
    <xf numFmtId="4" fontId="0" fillId="0" borderId="335" xfId="0" applyNumberFormat="1" applyFont="1" applyFill="1" applyBorder="1" applyAlignment="1">
      <alignment vertical="center"/>
    </xf>
    <xf numFmtId="4" fontId="0" fillId="0" borderId="340" xfId="0" applyNumberFormat="1" applyFont="1" applyFill="1" applyBorder="1" applyAlignment="1">
      <alignment vertical="center"/>
    </xf>
    <xf numFmtId="0" fontId="30" fillId="6" borderId="335" xfId="0" applyFont="1" applyFill="1" applyBorder="1" applyAlignment="1">
      <alignment vertical="center" wrapText="1"/>
    </xf>
    <xf numFmtId="0" fontId="5" fillId="6" borderId="176" xfId="0" applyFont="1" applyFill="1" applyBorder="1"/>
    <xf numFmtId="4" fontId="4" fillId="6" borderId="13" xfId="0" applyNumberFormat="1" applyFont="1" applyFill="1" applyBorder="1" applyAlignment="1">
      <alignment shrinkToFit="1"/>
    </xf>
    <xf numFmtId="4" fontId="4" fillId="6" borderId="63" xfId="0" applyNumberFormat="1" applyFont="1" applyFill="1" applyBorder="1" applyAlignment="1">
      <alignment shrinkToFit="1"/>
    </xf>
    <xf numFmtId="4" fontId="4" fillId="6" borderId="89" xfId="0" applyNumberFormat="1" applyFont="1" applyFill="1" applyBorder="1" applyAlignment="1">
      <alignment shrinkToFit="1"/>
    </xf>
    <xf numFmtId="4" fontId="4" fillId="6" borderId="19" xfId="0" applyNumberFormat="1" applyFont="1" applyFill="1" applyBorder="1" applyAlignment="1">
      <alignment shrinkToFit="1"/>
    </xf>
    <xf numFmtId="4" fontId="18" fillId="6" borderId="276" xfId="0" applyNumberFormat="1" applyFont="1" applyFill="1" applyBorder="1"/>
    <xf numFmtId="4" fontId="4" fillId="6" borderId="135" xfId="0" applyNumberFormat="1" applyFont="1" applyFill="1" applyBorder="1" applyAlignment="1">
      <alignment vertical="center"/>
    </xf>
    <xf numFmtId="0" fontId="78" fillId="0" borderId="0" xfId="0" applyFont="1" applyFill="1" applyBorder="1" applyAlignment="1">
      <alignment vertical="center" wrapText="1"/>
    </xf>
    <xf numFmtId="0" fontId="78" fillId="0" borderId="176" xfId="0" applyFont="1" applyFill="1" applyBorder="1" applyAlignment="1">
      <alignment vertical="center" wrapText="1"/>
    </xf>
    <xf numFmtId="4" fontId="4" fillId="0" borderId="332" xfId="0" applyNumberFormat="1" applyFont="1" applyFill="1" applyBorder="1" applyAlignment="1">
      <alignment vertical="center"/>
    </xf>
    <xf numFmtId="0" fontId="32" fillId="0" borderId="115" xfId="0" applyFont="1" applyFill="1" applyBorder="1" applyAlignment="1">
      <alignment horizontal="right" vertical="center"/>
    </xf>
    <xf numFmtId="4" fontId="4" fillId="6" borderId="70" xfId="0" applyNumberFormat="1" applyFont="1" applyFill="1" applyBorder="1" applyAlignment="1">
      <alignment vertical="center"/>
    </xf>
    <xf numFmtId="4" fontId="4" fillId="6" borderId="68" xfId="0" applyNumberFormat="1" applyFont="1" applyFill="1" applyBorder="1" applyAlignment="1">
      <alignment vertical="center"/>
    </xf>
    <xf numFmtId="4" fontId="4" fillId="6" borderId="7" xfId="0" applyNumberFormat="1" applyFont="1" applyFill="1" applyBorder="1" applyAlignment="1">
      <alignment vertical="center"/>
    </xf>
    <xf numFmtId="4" fontId="18" fillId="6" borderId="119" xfId="0" applyNumberFormat="1" applyFont="1" applyFill="1" applyBorder="1"/>
    <xf numFmtId="4" fontId="4" fillId="6" borderId="337" xfId="0" applyNumberFormat="1" applyFont="1" applyFill="1" applyBorder="1" applyAlignment="1">
      <alignment vertical="center"/>
    </xf>
    <xf numFmtId="4" fontId="0" fillId="6" borderId="123" xfId="0" applyNumberFormat="1" applyFont="1" applyFill="1" applyBorder="1"/>
    <xf numFmtId="4" fontId="18" fillId="6" borderId="2" xfId="0" applyNumberFormat="1" applyFont="1" applyFill="1" applyBorder="1" applyAlignment="1">
      <alignment shrinkToFit="1"/>
    </xf>
    <xf numFmtId="4" fontId="18" fillId="6" borderId="17" xfId="0" applyNumberFormat="1" applyFont="1" applyFill="1" applyBorder="1" applyAlignment="1">
      <alignment shrinkToFit="1"/>
    </xf>
    <xf numFmtId="4" fontId="18" fillId="6" borderId="62" xfId="0" applyNumberFormat="1" applyFont="1" applyFill="1" applyBorder="1"/>
    <xf numFmtId="4" fontId="18" fillId="6" borderId="2" xfId="0" applyNumberFormat="1" applyFont="1" applyFill="1" applyBorder="1"/>
    <xf numFmtId="4" fontId="18" fillId="6" borderId="17" xfId="0" applyNumberFormat="1" applyFont="1" applyFill="1" applyBorder="1"/>
    <xf numFmtId="4" fontId="18" fillId="6" borderId="3" xfId="0" applyNumberFormat="1" applyFont="1" applyFill="1" applyBorder="1"/>
    <xf numFmtId="4" fontId="21" fillId="6" borderId="62" xfId="0" applyNumberFormat="1" applyFont="1" applyFill="1" applyBorder="1" applyAlignment="1">
      <alignment vertical="center" shrinkToFit="1"/>
    </xf>
    <xf numFmtId="4" fontId="21" fillId="6" borderId="2" xfId="0" applyNumberFormat="1" applyFont="1" applyFill="1" applyBorder="1" applyAlignment="1">
      <alignment vertical="center" shrinkToFit="1"/>
    </xf>
    <xf numFmtId="4" fontId="21" fillId="6" borderId="17" xfId="0" applyNumberFormat="1" applyFont="1" applyFill="1" applyBorder="1" applyAlignment="1">
      <alignment vertical="center" shrinkToFit="1"/>
    </xf>
    <xf numFmtId="4" fontId="6" fillId="6" borderId="62" xfId="0" applyNumberFormat="1" applyFont="1" applyFill="1" applyBorder="1" applyAlignment="1">
      <alignment shrinkToFit="1"/>
    </xf>
    <xf numFmtId="4" fontId="6" fillId="6" borderId="17" xfId="0" applyNumberFormat="1" applyFont="1" applyFill="1" applyBorder="1" applyAlignment="1">
      <alignment shrinkToFit="1"/>
    </xf>
    <xf numFmtId="4" fontId="18" fillId="6" borderId="71" xfId="0" applyNumberFormat="1" applyFont="1" applyFill="1" applyBorder="1" applyAlignment="1">
      <alignment shrinkToFit="1"/>
    </xf>
    <xf numFmtId="4" fontId="21" fillId="6" borderId="62" xfId="0" applyNumberFormat="1" applyFont="1" applyFill="1" applyBorder="1" applyAlignment="1">
      <alignment shrinkToFit="1"/>
    </xf>
    <xf numFmtId="4" fontId="21" fillId="6" borderId="17" xfId="0" applyNumberFormat="1" applyFont="1" applyFill="1" applyBorder="1" applyAlignment="1">
      <alignment shrinkToFit="1"/>
    </xf>
    <xf numFmtId="4" fontId="21" fillId="6" borderId="100" xfId="0" applyNumberFormat="1" applyFont="1" applyFill="1" applyBorder="1" applyAlignment="1">
      <alignment shrinkToFit="1"/>
    </xf>
    <xf numFmtId="4" fontId="75" fillId="6" borderId="62" xfId="0" applyNumberFormat="1" applyFont="1" applyFill="1" applyBorder="1" applyAlignment="1">
      <alignment vertical="center"/>
    </xf>
    <xf numFmtId="4" fontId="75" fillId="6" borderId="2" xfId="0" applyNumberFormat="1" applyFont="1" applyFill="1" applyBorder="1"/>
    <xf numFmtId="4" fontId="75" fillId="6" borderId="2" xfId="0" applyNumberFormat="1" applyFont="1" applyFill="1" applyBorder="1" applyAlignment="1">
      <alignment vertical="center"/>
    </xf>
    <xf numFmtId="4" fontId="75" fillId="6" borderId="243" xfId="0" applyNumberFormat="1" applyFont="1" applyFill="1" applyBorder="1" applyAlignment="1">
      <alignment vertical="center"/>
    </xf>
    <xf numFmtId="4" fontId="75" fillId="6" borderId="100" xfId="0" applyNumberFormat="1" applyFont="1" applyFill="1" applyBorder="1" applyAlignment="1">
      <alignment vertical="center"/>
    </xf>
    <xf numFmtId="4" fontId="75" fillId="6" borderId="163" xfId="0" applyNumberFormat="1" applyFont="1" applyFill="1" applyBorder="1" applyAlignment="1">
      <alignment vertical="center"/>
    </xf>
    <xf numFmtId="4" fontId="75" fillId="6" borderId="241" xfId="0" applyNumberFormat="1" applyFont="1" applyFill="1" applyBorder="1" applyAlignment="1">
      <alignment vertical="center"/>
    </xf>
    <xf numFmtId="4" fontId="75" fillId="6" borderId="204" xfId="0" applyNumberFormat="1" applyFont="1" applyFill="1" applyBorder="1" applyAlignment="1">
      <alignment vertical="center"/>
    </xf>
    <xf numFmtId="4" fontId="75" fillId="6" borderId="15" xfId="0" applyNumberFormat="1" applyFont="1" applyFill="1" applyBorder="1" applyAlignment="1">
      <alignment vertical="center"/>
    </xf>
    <xf numFmtId="4" fontId="75" fillId="6" borderId="103" xfId="0" applyNumberFormat="1" applyFont="1" applyFill="1" applyBorder="1" applyAlignment="1">
      <alignment vertical="center"/>
    </xf>
    <xf numFmtId="4" fontId="6" fillId="6" borderId="113" xfId="0" applyNumberFormat="1" applyFont="1" applyFill="1" applyBorder="1"/>
    <xf numFmtId="4" fontId="6" fillId="6" borderId="17" xfId="0" applyNumberFormat="1" applyFont="1" applyFill="1" applyBorder="1"/>
    <xf numFmtId="4" fontId="18" fillId="6" borderId="103" xfId="0" applyNumberFormat="1" applyFont="1" applyFill="1" applyBorder="1"/>
    <xf numFmtId="4" fontId="6" fillId="6" borderId="112" xfId="0" applyNumberFormat="1" applyFont="1" applyFill="1" applyBorder="1"/>
    <xf numFmtId="4" fontId="6" fillId="6" borderId="108" xfId="0" applyNumberFormat="1" applyFont="1" applyFill="1" applyBorder="1"/>
    <xf numFmtId="4" fontId="6" fillId="6" borderId="78" xfId="0" applyNumberFormat="1" applyFont="1" applyFill="1" applyBorder="1"/>
    <xf numFmtId="4" fontId="6" fillId="6" borderId="3" xfId="0" applyNumberFormat="1" applyFont="1" applyFill="1" applyBorder="1"/>
    <xf numFmtId="4" fontId="18" fillId="6" borderId="90" xfId="0" applyNumberFormat="1" applyFont="1" applyFill="1" applyBorder="1" applyAlignment="1">
      <alignment vertical="center"/>
    </xf>
    <xf numFmtId="4" fontId="18" fillId="6" borderId="2" xfId="0" applyNumberFormat="1" applyFont="1" applyFill="1" applyBorder="1" applyAlignment="1">
      <alignment vertical="center"/>
    </xf>
    <xf numFmtId="4" fontId="18" fillId="6" borderId="11" xfId="0" applyNumberFormat="1" applyFont="1" applyFill="1" applyBorder="1" applyAlignment="1">
      <alignment vertical="center"/>
    </xf>
    <xf numFmtId="4" fontId="18" fillId="6" borderId="17" xfId="0" applyNumberFormat="1" applyFont="1" applyFill="1" applyBorder="1" applyAlignment="1">
      <alignment vertical="center"/>
    </xf>
    <xf numFmtId="4" fontId="18" fillId="6" borderId="96" xfId="0" applyNumberFormat="1" applyFont="1" applyFill="1" applyBorder="1" applyAlignment="1">
      <alignment vertical="center"/>
    </xf>
    <xf numFmtId="4" fontId="18" fillId="6" borderId="62" xfId="0" applyNumberFormat="1" applyFont="1" applyFill="1" applyBorder="1" applyAlignment="1">
      <alignment vertical="center"/>
    </xf>
    <xf numFmtId="4" fontId="18" fillId="6" borderId="100" xfId="0" applyNumberFormat="1" applyFont="1" applyFill="1" applyBorder="1" applyAlignment="1">
      <alignment vertical="center"/>
    </xf>
    <xf numFmtId="4" fontId="18" fillId="6" borderId="87" xfId="0" applyNumberFormat="1" applyFont="1" applyFill="1" applyBorder="1"/>
    <xf numFmtId="4" fontId="18" fillId="6" borderId="100" xfId="0" applyNumberFormat="1" applyFont="1" applyFill="1" applyBorder="1"/>
    <xf numFmtId="4" fontId="18" fillId="6" borderId="112" xfId="0" applyNumberFormat="1" applyFont="1" applyFill="1" applyBorder="1"/>
    <xf numFmtId="4" fontId="18" fillId="6" borderId="72" xfId="0" applyNumberFormat="1" applyFont="1" applyFill="1" applyBorder="1"/>
    <xf numFmtId="4" fontId="18" fillId="6" borderId="113" xfId="0" applyNumberFormat="1" applyFont="1" applyFill="1" applyBorder="1" applyAlignment="1">
      <alignment vertical="center"/>
    </xf>
    <xf numFmtId="4" fontId="18" fillId="6" borderId="10" xfId="0" applyNumberFormat="1" applyFont="1" applyFill="1" applyBorder="1" applyAlignment="1">
      <alignment vertical="center"/>
    </xf>
    <xf numFmtId="4" fontId="18" fillId="6" borderId="82" xfId="0" applyNumberFormat="1" applyFont="1" applyFill="1" applyBorder="1" applyAlignment="1">
      <alignment vertical="center"/>
    </xf>
    <xf numFmtId="4" fontId="18" fillId="6" borderId="103" xfId="0" applyNumberFormat="1" applyFont="1" applyFill="1" applyBorder="1" applyAlignment="1">
      <alignment vertical="center"/>
    </xf>
    <xf numFmtId="4" fontId="18" fillId="6" borderId="118" xfId="0" applyNumberFormat="1" applyFont="1" applyFill="1" applyBorder="1"/>
    <xf numFmtId="4" fontId="18" fillId="6" borderId="116" xfId="0" applyNumberFormat="1" applyFont="1" applyFill="1" applyBorder="1"/>
    <xf numFmtId="4" fontId="18" fillId="6" borderId="117" xfId="0" applyNumberFormat="1" applyFont="1" applyFill="1" applyBorder="1"/>
    <xf numFmtId="4" fontId="18" fillId="6" borderId="90" xfId="0" applyNumberFormat="1" applyFont="1" applyFill="1" applyBorder="1" applyAlignment="1">
      <alignment shrinkToFit="1"/>
    </xf>
    <xf numFmtId="4" fontId="18" fillId="6" borderId="11" xfId="0" applyNumberFormat="1" applyFont="1" applyFill="1" applyBorder="1" applyAlignment="1">
      <alignment shrinkToFit="1"/>
    </xf>
    <xf numFmtId="4" fontId="18" fillId="6" borderId="15" xfId="0" applyNumberFormat="1" applyFont="1" applyFill="1" applyBorder="1" applyAlignment="1">
      <alignment shrinkToFit="1"/>
    </xf>
    <xf numFmtId="4" fontId="18" fillId="6" borderId="96" xfId="0" applyNumberFormat="1" applyFont="1" applyFill="1" applyBorder="1" applyAlignment="1">
      <alignment shrinkToFit="1"/>
    </xf>
    <xf numFmtId="4" fontId="18" fillId="6" borderId="62" xfId="0" applyNumberFormat="1" applyFont="1" applyFill="1" applyBorder="1" applyAlignment="1">
      <alignment shrinkToFit="1"/>
    </xf>
    <xf numFmtId="4" fontId="18" fillId="6" borderId="100" xfId="0" applyNumberFormat="1" applyFont="1" applyFill="1" applyBorder="1" applyAlignment="1">
      <alignment shrinkToFit="1"/>
    </xf>
    <xf numFmtId="4" fontId="6" fillId="6" borderId="62" xfId="0" applyNumberFormat="1" applyFont="1" applyFill="1" applyBorder="1" applyAlignment="1">
      <alignment vertical="center"/>
    </xf>
    <xf numFmtId="4" fontId="6" fillId="6" borderId="2" xfId="0" applyNumberFormat="1" applyFont="1" applyFill="1" applyBorder="1" applyAlignment="1">
      <alignment vertical="center"/>
    </xf>
    <xf numFmtId="4" fontId="6" fillId="6" borderId="17" xfId="0" applyNumberFormat="1" applyFont="1" applyFill="1" applyBorder="1" applyAlignment="1">
      <alignment vertical="center"/>
    </xf>
    <xf numFmtId="4" fontId="21" fillId="6" borderId="62" xfId="0" applyNumberFormat="1" applyFont="1" applyFill="1" applyBorder="1"/>
    <xf numFmtId="4" fontId="21" fillId="6" borderId="2" xfId="0" applyNumberFormat="1" applyFont="1" applyFill="1" applyBorder="1"/>
    <xf numFmtId="4" fontId="21" fillId="6" borderId="17" xfId="0" applyNumberFormat="1" applyFont="1" applyFill="1" applyBorder="1"/>
    <xf numFmtId="4" fontId="21" fillId="6" borderId="105" xfId="0" applyNumberFormat="1" applyFont="1" applyFill="1" applyBorder="1"/>
    <xf numFmtId="4" fontId="0" fillId="6" borderId="70" xfId="0" applyNumberFormat="1" applyFont="1" applyFill="1" applyBorder="1" applyAlignment="1">
      <alignment horizontal="right" vertical="center"/>
    </xf>
    <xf numFmtId="4" fontId="0" fillId="6" borderId="66" xfId="0" applyNumberFormat="1" applyFont="1" applyFill="1" applyBorder="1" applyAlignment="1">
      <alignment horizontal="right" vertical="center"/>
    </xf>
    <xf numFmtId="4" fontId="0" fillId="6" borderId="188" xfId="0" applyNumberFormat="1" applyFont="1" applyFill="1" applyBorder="1" applyAlignment="1">
      <alignment horizontal="right" vertical="center"/>
    </xf>
    <xf numFmtId="4" fontId="4" fillId="0" borderId="262" xfId="0" applyNumberFormat="1" applyFont="1" applyFill="1" applyBorder="1" applyAlignment="1">
      <alignment horizontal="right" vertical="center" shrinkToFit="1"/>
    </xf>
    <xf numFmtId="4" fontId="4" fillId="0" borderId="191" xfId="0" applyNumberFormat="1" applyFont="1" applyFill="1" applyBorder="1" applyAlignment="1">
      <alignment horizontal="right" vertical="center" shrinkToFit="1"/>
    </xf>
    <xf numFmtId="4" fontId="4" fillId="0" borderId="70" xfId="0" applyNumberFormat="1" applyFont="1" applyFill="1" applyBorder="1" applyAlignment="1">
      <alignment horizontal="right" vertical="center"/>
    </xf>
    <xf numFmtId="4" fontId="4" fillId="0" borderId="188" xfId="0" applyNumberFormat="1" applyFont="1" applyFill="1" applyBorder="1" applyAlignment="1">
      <alignment horizontal="right" vertical="center"/>
    </xf>
    <xf numFmtId="4" fontId="4" fillId="0" borderId="0" xfId="0" applyNumberFormat="1" applyFont="1" applyFill="1" applyBorder="1" applyAlignment="1">
      <alignment horizontal="right" vertical="center" shrinkToFit="1"/>
    </xf>
    <xf numFmtId="4" fontId="4" fillId="0" borderId="229" xfId="0" applyNumberFormat="1" applyFont="1" applyFill="1" applyBorder="1" applyAlignment="1">
      <alignment horizontal="right" vertical="center" shrinkToFit="1"/>
    </xf>
    <xf numFmtId="4" fontId="4" fillId="0" borderId="140" xfId="0" applyNumberFormat="1" applyFont="1" applyFill="1" applyBorder="1" applyAlignment="1">
      <alignment horizontal="right" vertical="center" shrinkToFit="1"/>
    </xf>
    <xf numFmtId="0" fontId="101" fillId="0" borderId="374" xfId="7" applyFont="1" applyBorder="1" applyAlignment="1">
      <alignment horizontal="left" vertical="center" wrapText="1"/>
    </xf>
    <xf numFmtId="0" fontId="101" fillId="0" borderId="375" xfId="7" applyFont="1" applyBorder="1" applyAlignment="1">
      <alignment horizontal="left" vertical="center" wrapText="1"/>
    </xf>
    <xf numFmtId="0" fontId="101" fillId="0" borderId="376" xfId="7" applyFont="1" applyBorder="1" applyAlignment="1">
      <alignment horizontal="left" vertical="center" wrapText="1"/>
    </xf>
    <xf numFmtId="0" fontId="101" fillId="8" borderId="270" xfId="7" applyFont="1" applyFill="1" applyBorder="1" applyAlignment="1">
      <alignment vertical="center"/>
    </xf>
    <xf numFmtId="0" fontId="104" fillId="8" borderId="264" xfId="7" applyFont="1" applyFill="1" applyBorder="1" applyAlignment="1">
      <alignment vertical="center"/>
    </xf>
    <xf numFmtId="0" fontId="104" fillId="8" borderId="377" xfId="7" applyFont="1" applyFill="1" applyBorder="1" applyAlignment="1">
      <alignment vertical="center"/>
    </xf>
    <xf numFmtId="0" fontId="101" fillId="0" borderId="69" xfId="7" applyFont="1" applyBorder="1" applyAlignment="1">
      <alignment horizontal="left" vertical="center" wrapText="1"/>
    </xf>
    <xf numFmtId="0" fontId="101" fillId="0" borderId="0" xfId="7" applyFont="1" applyAlignment="1">
      <alignment horizontal="left" vertical="center" wrapText="1"/>
    </xf>
    <xf numFmtId="0" fontId="101" fillId="0" borderId="133" xfId="7" applyFont="1" applyBorder="1" applyAlignment="1">
      <alignment horizontal="left" vertical="center" wrapText="1"/>
    </xf>
    <xf numFmtId="0" fontId="102" fillId="0" borderId="0" xfId="7" applyFont="1" applyAlignment="1">
      <alignment horizontal="left" vertical="center" wrapText="1"/>
    </xf>
    <xf numFmtId="0" fontId="102" fillId="0" borderId="133" xfId="7" applyFont="1" applyBorder="1" applyAlignment="1">
      <alignment horizontal="left" vertical="center" wrapText="1"/>
    </xf>
    <xf numFmtId="0" fontId="99" fillId="0" borderId="0" xfId="7" applyFont="1" applyAlignment="1">
      <alignment horizontal="center" vertical="center" wrapText="1"/>
    </xf>
    <xf numFmtId="3" fontId="101" fillId="8" borderId="358" xfId="7" applyNumberFormat="1" applyFont="1" applyFill="1" applyBorder="1" applyAlignment="1">
      <alignment horizontal="center" vertical="center" wrapText="1"/>
    </xf>
    <xf numFmtId="3" fontId="101" fillId="8" borderId="365" xfId="7" applyNumberFormat="1" applyFont="1" applyFill="1" applyBorder="1" applyAlignment="1">
      <alignment horizontal="center" vertical="center" wrapText="1"/>
    </xf>
    <xf numFmtId="0" fontId="102" fillId="8" borderId="359" xfId="7" applyFont="1" applyFill="1" applyBorder="1" applyAlignment="1">
      <alignment horizontal="center" vertical="center"/>
    </xf>
    <xf numFmtId="0" fontId="102" fillId="8" borderId="366" xfId="7" applyFont="1" applyFill="1" applyBorder="1" applyAlignment="1">
      <alignment horizontal="center" vertical="center"/>
    </xf>
    <xf numFmtId="0" fontId="101" fillId="8" borderId="360" xfId="7" applyFont="1" applyFill="1" applyBorder="1" applyAlignment="1">
      <alignment horizontal="center" vertical="center"/>
    </xf>
    <xf numFmtId="0" fontId="101" fillId="8" borderId="367" xfId="7" applyFont="1" applyFill="1" applyBorder="1" applyAlignment="1">
      <alignment horizontal="center" vertical="center"/>
    </xf>
    <xf numFmtId="3" fontId="101" fillId="8" borderId="361" xfId="7" applyNumberFormat="1" applyFont="1" applyFill="1" applyBorder="1" applyAlignment="1">
      <alignment horizontal="center" vertical="center" wrapText="1"/>
    </xf>
    <xf numFmtId="3" fontId="101" fillId="8" borderId="368" xfId="7" applyNumberFormat="1" applyFont="1" applyFill="1" applyBorder="1" applyAlignment="1">
      <alignment horizontal="center" vertical="center" wrapText="1"/>
    </xf>
    <xf numFmtId="3" fontId="101" fillId="8" borderId="362" xfId="7" applyNumberFormat="1" applyFont="1" applyFill="1" applyBorder="1" applyAlignment="1">
      <alignment horizontal="center" vertical="center" wrapText="1"/>
    </xf>
    <xf numFmtId="0" fontId="96" fillId="8" borderId="362" xfId="7" applyFont="1" applyFill="1" applyBorder="1" applyAlignment="1">
      <alignment horizontal="center" vertical="center" wrapText="1"/>
    </xf>
    <xf numFmtId="0" fontId="96" fillId="8" borderId="363" xfId="7" applyFont="1" applyFill="1" applyBorder="1" applyAlignment="1">
      <alignment horizontal="center" vertical="center" wrapText="1"/>
    </xf>
    <xf numFmtId="0" fontId="101" fillId="8" borderId="364" xfId="7" applyFont="1" applyFill="1" applyBorder="1" applyAlignment="1">
      <alignment horizontal="center" vertical="center"/>
    </xf>
    <xf numFmtId="0" fontId="101" fillId="8" borderId="369" xfId="7" applyFont="1" applyFill="1" applyBorder="1" applyAlignment="1">
      <alignment horizontal="center" vertical="center"/>
    </xf>
  </cellXfs>
  <cellStyles count="9">
    <cellStyle name="Čárka" xfId="1" builtinId="3"/>
    <cellStyle name="Čárka 2" xfId="6"/>
    <cellStyle name="Excel_BuiltIn_Poznámka 1" xfId="2"/>
    <cellStyle name="Excel_BuiltIn_Poznámka 2" xfId="3"/>
    <cellStyle name="Normální" xfId="0" builtinId="0"/>
    <cellStyle name="normální 2" xfId="4"/>
    <cellStyle name="Normální 2 2 2" xfId="5"/>
    <cellStyle name="Normální 3" xfId="7"/>
    <cellStyle name="normální_List1" xfId="8"/>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EDEDED"/>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nas\ku\Users\stankova2598\AppData\Local\Microsoft\Windows\INetCache\Content.Outlook\P53HJRV8\ORJ14_P&#345;ehled%20projekt&#367;%202014-2020_n&#225;vrh%202020_nov&#253;.xlsx"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Akce%20reprodukce%20majetku%20kraje"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ýdaje dle STAVU"/>
      <sheetName val="Výdaje podle odvětví"/>
      <sheetName val="Příjmy podle odvětví"/>
      <sheetName val="ZÁLOHOVÉ PROJEKTY"/>
      <sheetName val="rozhodnutí"/>
      <sheetName val="rekapitulace"/>
      <sheetName val="Projekty P.O."/>
      <sheetName val="Udržitelnost podle odvětví"/>
      <sheetName val="List1"/>
      <sheetName val="neinvestiční projekty"/>
      <sheetName val="usnesení"/>
    </sheetNames>
    <sheetDataSet>
      <sheetData sheetId="0" refreshError="1"/>
      <sheetData sheetId="1"/>
      <sheetData sheetId="2" refreshError="1"/>
      <sheetData sheetId="3"/>
      <sheetData sheetId="4">
        <row r="31">
          <cell r="N31">
            <v>25.54</v>
          </cell>
        </row>
      </sheetData>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kce reprodukce majetku kraje"/>
    </sheetNames>
    <sheetDataSet>
      <sheetData sheetId="0" refreshError="1"/>
    </sheetDataSet>
  </externalBook>
</externalLink>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celář">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22"/>
    <pageSetUpPr fitToPage="1"/>
  </sheetPr>
  <dimension ref="A1:IV926"/>
  <sheetViews>
    <sheetView topLeftCell="B1" zoomScaleSheetLayoutView="100" workbookViewId="0">
      <pane ySplit="2" topLeftCell="A3" activePane="bottomLeft" state="frozen"/>
      <selection activeCell="B1" sqref="B1"/>
      <selection pane="bottomLeft" activeCell="J7" sqref="J7"/>
    </sheetView>
  </sheetViews>
  <sheetFormatPr defaultColWidth="9.5703125" defaultRowHeight="12.75" x14ac:dyDescent="0.2"/>
  <cols>
    <col min="1" max="1" width="20.85546875" style="1" customWidth="1"/>
    <col min="2" max="2" width="97" style="1" customWidth="1"/>
    <col min="3" max="3" width="24.85546875" style="1" customWidth="1"/>
    <col min="4" max="4" width="28.42578125" style="1" customWidth="1"/>
    <col min="5" max="5" width="24.28515625" style="1" customWidth="1"/>
    <col min="6" max="6" width="0.140625" style="2" customWidth="1"/>
    <col min="7" max="7" width="24.28515625" style="1" customWidth="1"/>
    <col min="8" max="8" width="16.42578125" style="1" customWidth="1"/>
    <col min="9" max="16384" width="9.5703125" style="1"/>
  </cols>
  <sheetData>
    <row r="1" spans="1:8" ht="18.75" customHeight="1" x14ac:dyDescent="0.25">
      <c r="C1" s="3"/>
      <c r="D1" s="3"/>
      <c r="E1" s="4"/>
      <c r="F1" s="5"/>
      <c r="G1" s="6" t="s">
        <v>0</v>
      </c>
      <c r="H1" s="7"/>
    </row>
    <row r="2" spans="1:8" s="12" customFormat="1" ht="60" customHeight="1" x14ac:dyDescent="0.2">
      <c r="A2" s="8" t="s">
        <v>1</v>
      </c>
      <c r="B2" s="9" t="s">
        <v>2</v>
      </c>
      <c r="C2" s="10" t="s">
        <v>3</v>
      </c>
      <c r="D2" s="11" t="s">
        <v>4</v>
      </c>
      <c r="E2" s="11" t="s">
        <v>5</v>
      </c>
      <c r="F2" s="11" t="s">
        <v>6</v>
      </c>
      <c r="G2" s="11" t="s">
        <v>7</v>
      </c>
      <c r="H2" s="7"/>
    </row>
    <row r="3" spans="1:8" s="19" customFormat="1" ht="18" customHeight="1" x14ac:dyDescent="0.25">
      <c r="A3" s="13"/>
      <c r="B3" s="14" t="s">
        <v>8</v>
      </c>
      <c r="C3" s="15"/>
      <c r="D3" s="15"/>
      <c r="E3" s="16"/>
      <c r="F3" s="17"/>
      <c r="G3" s="18"/>
      <c r="H3" s="7"/>
    </row>
    <row r="4" spans="1:8" s="24" customFormat="1" ht="15.75" customHeight="1" x14ac:dyDescent="0.2">
      <c r="A4" s="20"/>
      <c r="B4" s="21" t="s">
        <v>9</v>
      </c>
      <c r="C4" s="22">
        <f>C53</f>
        <v>444580702</v>
      </c>
      <c r="D4" s="22">
        <f>D53</f>
        <v>371511957.44</v>
      </c>
      <c r="E4" s="22">
        <v>370879661.44</v>
      </c>
      <c r="F4" s="22">
        <f>F53</f>
        <v>255798528.65000004</v>
      </c>
      <c r="G4" s="22">
        <v>388416000</v>
      </c>
      <c r="H4" s="23"/>
    </row>
    <row r="5" spans="1:8" s="24" customFormat="1" ht="15.75" customHeight="1" x14ac:dyDescent="0.2">
      <c r="A5" s="25"/>
      <c r="B5" s="21" t="s">
        <v>10</v>
      </c>
      <c r="C5" s="26">
        <f>C87</f>
        <v>127930181</v>
      </c>
      <c r="D5" s="26">
        <f>D87</f>
        <v>68787440.480000004</v>
      </c>
      <c r="E5" s="26">
        <v>123158006.55</v>
      </c>
      <c r="F5" s="26">
        <f>F87</f>
        <v>86272625.189999998</v>
      </c>
      <c r="G5" s="26">
        <v>127407541.26000001</v>
      </c>
      <c r="H5" s="23"/>
    </row>
    <row r="6" spans="1:8" s="24" customFormat="1" ht="15.75" customHeight="1" x14ac:dyDescent="0.2">
      <c r="A6" s="21"/>
      <c r="B6" s="21" t="s">
        <v>11</v>
      </c>
      <c r="C6" s="26">
        <f>C177</f>
        <v>52475517</v>
      </c>
      <c r="D6" s="26">
        <f>D177</f>
        <v>52226112.700000003</v>
      </c>
      <c r="E6" s="26">
        <v>16516319.699999999</v>
      </c>
      <c r="F6" s="26">
        <f>F177</f>
        <v>15702229.899999999</v>
      </c>
      <c r="G6" s="26">
        <f>G177</f>
        <v>109511899.31</v>
      </c>
      <c r="H6" s="23"/>
    </row>
    <row r="7" spans="1:8" s="24" customFormat="1" ht="15.75" customHeight="1" x14ac:dyDescent="0.2">
      <c r="A7" s="21"/>
      <c r="B7" s="21" t="s">
        <v>12</v>
      </c>
      <c r="C7" s="26">
        <f>C198</f>
        <v>59771600.0035</v>
      </c>
      <c r="D7" s="26">
        <f>D198</f>
        <v>138526988.82350001</v>
      </c>
      <c r="E7" s="26">
        <v>134539129.30000001</v>
      </c>
      <c r="F7" s="26">
        <f>F198</f>
        <v>120624289.91999999</v>
      </c>
      <c r="G7" s="26">
        <v>81229895.709999993</v>
      </c>
      <c r="H7" s="23"/>
    </row>
    <row r="8" spans="1:8" s="19" customFormat="1" ht="18" x14ac:dyDescent="0.25">
      <c r="A8" s="27"/>
      <c r="B8" s="28" t="s">
        <v>13</v>
      </c>
      <c r="C8" s="29">
        <v>684761000</v>
      </c>
      <c r="D8" s="29">
        <f>D252</f>
        <v>631052499.44350004</v>
      </c>
      <c r="E8" s="29">
        <v>645093116.99000001</v>
      </c>
      <c r="F8" s="29">
        <f>F252</f>
        <v>478397673.65999997</v>
      </c>
      <c r="G8" s="29">
        <v>706565336.27999997</v>
      </c>
      <c r="H8" s="30"/>
    </row>
    <row r="9" spans="1:8" s="24" customFormat="1" ht="15" x14ac:dyDescent="0.2">
      <c r="A9" s="31"/>
      <c r="B9" s="31" t="s">
        <v>14</v>
      </c>
      <c r="C9" s="32">
        <f>C254</f>
        <v>185331265.00000003</v>
      </c>
      <c r="D9" s="32">
        <f>D254</f>
        <v>169553420.91000003</v>
      </c>
      <c r="E9" s="32">
        <v>135875963.61000001</v>
      </c>
      <c r="F9" s="32">
        <f>F254</f>
        <v>-56083079.149999999</v>
      </c>
      <c r="G9" s="32">
        <v>195741180.47</v>
      </c>
      <c r="H9" s="33"/>
    </row>
    <row r="10" spans="1:8" s="38" customFormat="1" ht="23.25" x14ac:dyDescent="0.35">
      <c r="A10" s="34"/>
      <c r="B10" s="35" t="s">
        <v>15</v>
      </c>
      <c r="C10" s="36">
        <f>C263</f>
        <v>870089265.00349998</v>
      </c>
      <c r="D10" s="36">
        <f>D263</f>
        <v>800605920.35350013</v>
      </c>
      <c r="E10" s="36">
        <v>780969080.60000002</v>
      </c>
      <c r="F10" s="36">
        <f>F263</f>
        <v>422314594.50999999</v>
      </c>
      <c r="G10" s="36">
        <v>902306516.75</v>
      </c>
      <c r="H10" s="37"/>
    </row>
    <row r="11" spans="1:8" s="19" customFormat="1" ht="18" x14ac:dyDescent="0.25">
      <c r="A11" s="13"/>
      <c r="B11" s="14" t="s">
        <v>16</v>
      </c>
      <c r="C11" s="39"/>
      <c r="D11" s="39"/>
      <c r="E11" s="39"/>
      <c r="F11" s="40"/>
      <c r="G11" s="41"/>
      <c r="H11" s="30"/>
    </row>
    <row r="12" spans="1:8" s="19" customFormat="1" ht="18" x14ac:dyDescent="0.25">
      <c r="A12" s="13"/>
      <c r="B12" s="21" t="s">
        <v>17</v>
      </c>
      <c r="C12" s="42">
        <f>C50-C13</f>
        <v>603990895</v>
      </c>
      <c r="D12" s="42">
        <f>D50-D13</f>
        <v>661093281.42999995</v>
      </c>
      <c r="E12" s="42">
        <f>E50-E13</f>
        <v>619317145.48000002</v>
      </c>
      <c r="F12" s="42">
        <f>F50-F13</f>
        <v>426567811.58000004</v>
      </c>
      <c r="G12" s="42">
        <f>G50-G13</f>
        <v>640650917.12</v>
      </c>
      <c r="H12" s="33"/>
    </row>
    <row r="13" spans="1:8" s="19" customFormat="1" ht="18.75" customHeight="1" x14ac:dyDescent="0.25">
      <c r="A13" s="13"/>
      <c r="B13" s="21" t="s">
        <v>18</v>
      </c>
      <c r="C13" s="42">
        <v>266098370</v>
      </c>
      <c r="D13" s="42">
        <v>205239504.96000001</v>
      </c>
      <c r="E13" s="43">
        <v>161651935.12</v>
      </c>
      <c r="F13" s="43">
        <v>68757015.640000001</v>
      </c>
      <c r="G13" s="44">
        <v>261655599.63</v>
      </c>
      <c r="H13" s="33"/>
    </row>
    <row r="14" spans="1:8" s="19" customFormat="1" ht="15.75" customHeight="1" x14ac:dyDescent="0.25">
      <c r="A14" s="13"/>
      <c r="B14" s="45" t="s">
        <v>19</v>
      </c>
      <c r="C14" s="39"/>
      <c r="D14" s="39"/>
      <c r="E14" s="46"/>
      <c r="F14" s="47"/>
      <c r="G14" s="46"/>
    </row>
    <row r="15" spans="1:8" s="19" customFormat="1" ht="18.75" x14ac:dyDescent="0.25">
      <c r="A15" s="13"/>
      <c r="B15" s="48" t="s">
        <v>20</v>
      </c>
      <c r="C15" s="49">
        <f t="shared" ref="C15:G16" si="0">C266</f>
        <v>52448677</v>
      </c>
      <c r="D15" s="49">
        <f t="shared" si="0"/>
        <v>50917338</v>
      </c>
      <c r="E15" s="49">
        <f t="shared" si="0"/>
        <v>47778764.609999999</v>
      </c>
      <c r="F15" s="49">
        <f t="shared" si="0"/>
        <v>26310888.520000003</v>
      </c>
      <c r="G15" s="49">
        <f t="shared" si="0"/>
        <v>47057788.329999998</v>
      </c>
    </row>
    <row r="16" spans="1:8" s="24" customFormat="1" ht="15.75" customHeight="1" x14ac:dyDescent="0.25">
      <c r="A16" s="50"/>
      <c r="B16" s="51" t="s">
        <v>21</v>
      </c>
      <c r="C16" s="26">
        <f t="shared" si="0"/>
        <v>1895000</v>
      </c>
      <c r="D16" s="26">
        <f t="shared" si="0"/>
        <v>1895000</v>
      </c>
      <c r="E16" s="26">
        <f t="shared" si="0"/>
        <v>1895000</v>
      </c>
      <c r="F16" s="26">
        <f t="shared" si="0"/>
        <v>440288.54000000004</v>
      </c>
      <c r="G16" s="26">
        <f t="shared" si="0"/>
        <v>1985000</v>
      </c>
      <c r="H16" s="23"/>
    </row>
    <row r="17" spans="1:84" s="24" customFormat="1" ht="15.75" customHeight="1" x14ac:dyDescent="0.2">
      <c r="A17" s="21"/>
      <c r="B17" s="52" t="s">
        <v>22</v>
      </c>
      <c r="C17" s="26">
        <f>C280</f>
        <v>28251000</v>
      </c>
      <c r="D17" s="26">
        <f>D280</f>
        <v>26869575</v>
      </c>
      <c r="E17" s="26">
        <f>E280</f>
        <v>24033615</v>
      </c>
      <c r="F17" s="26">
        <f>F280</f>
        <v>14287648.27</v>
      </c>
      <c r="G17" s="26">
        <f>G280</f>
        <v>27050000</v>
      </c>
      <c r="H17" s="23"/>
    </row>
    <row r="18" spans="1:84" s="24" customFormat="1" ht="15.75" customHeight="1" x14ac:dyDescent="0.2">
      <c r="A18" s="52"/>
      <c r="B18" s="52" t="s">
        <v>23</v>
      </c>
      <c r="C18" s="22">
        <f>C301</f>
        <v>6934000</v>
      </c>
      <c r="D18" s="22">
        <f>D301</f>
        <v>6934000</v>
      </c>
      <c r="E18" s="22">
        <f>E301</f>
        <v>6639123.5999999996</v>
      </c>
      <c r="F18" s="22">
        <f>F301</f>
        <v>3111784.6</v>
      </c>
      <c r="G18" s="22">
        <f>G301</f>
        <v>2334000</v>
      </c>
      <c r="H18" s="23"/>
    </row>
    <row r="19" spans="1:84" s="24" customFormat="1" ht="15.75" customHeight="1" x14ac:dyDescent="0.2">
      <c r="A19" s="53"/>
      <c r="B19" s="53" t="s">
        <v>24</v>
      </c>
      <c r="C19" s="32">
        <f>C315</f>
        <v>15368677</v>
      </c>
      <c r="D19" s="32">
        <f>D315</f>
        <v>15218763</v>
      </c>
      <c r="E19" s="32">
        <f>E315</f>
        <v>15211026.01</v>
      </c>
      <c r="F19" s="32">
        <f>F315</f>
        <v>8471167.1100000013</v>
      </c>
      <c r="G19" s="32">
        <f>G315</f>
        <v>15688788.33</v>
      </c>
      <c r="H19" s="23"/>
    </row>
    <row r="20" spans="1:84" s="24" customFormat="1" ht="18.75" x14ac:dyDescent="0.25">
      <c r="A20" s="52"/>
      <c r="B20" s="54" t="s">
        <v>25</v>
      </c>
      <c r="C20" s="49">
        <f t="shared" ref="C20:F21" si="1">C354</f>
        <v>79701343</v>
      </c>
      <c r="D20" s="49">
        <f t="shared" si="1"/>
        <v>69000343</v>
      </c>
      <c r="E20" s="49">
        <f t="shared" si="1"/>
        <v>1689192.23</v>
      </c>
      <c r="F20" s="49">
        <f t="shared" si="1"/>
        <v>5818563.0100000007</v>
      </c>
      <c r="G20" s="49">
        <f>SUM(G21:G25)</f>
        <v>114484000</v>
      </c>
      <c r="H20" s="19"/>
    </row>
    <row r="21" spans="1:84" s="24" customFormat="1" ht="15.75" customHeight="1" x14ac:dyDescent="0.2">
      <c r="A21" s="21"/>
      <c r="B21" s="51" t="s">
        <v>26</v>
      </c>
      <c r="C21" s="26">
        <f t="shared" si="1"/>
        <v>1000000</v>
      </c>
      <c r="D21" s="26">
        <f t="shared" si="1"/>
        <v>1004840</v>
      </c>
      <c r="E21" s="26">
        <f t="shared" si="1"/>
        <v>374258.72</v>
      </c>
      <c r="F21" s="26">
        <f t="shared" si="1"/>
        <v>380258.72</v>
      </c>
      <c r="G21" s="26">
        <f>G355</f>
        <v>5530000</v>
      </c>
      <c r="H21" s="23"/>
    </row>
    <row r="22" spans="1:84" s="24" customFormat="1" ht="15.75" customHeight="1" x14ac:dyDescent="0.2">
      <c r="A22" s="21"/>
      <c r="B22" s="52" t="s">
        <v>27</v>
      </c>
      <c r="C22" s="26">
        <f>C370</f>
        <v>28360000</v>
      </c>
      <c r="D22" s="26">
        <f>D370</f>
        <v>26188160</v>
      </c>
      <c r="E22" s="26">
        <f>E370</f>
        <v>850886.86</v>
      </c>
      <c r="F22" s="26">
        <f>F370</f>
        <v>3217923.7600000002</v>
      </c>
      <c r="G22" s="26">
        <v>38460500</v>
      </c>
      <c r="H22" s="23"/>
    </row>
    <row r="23" spans="1:84" s="24" customFormat="1" ht="15.75" customHeight="1" x14ac:dyDescent="0.2">
      <c r="A23" s="21"/>
      <c r="B23" s="52" t="s">
        <v>28</v>
      </c>
      <c r="C23" s="26">
        <f>C432</f>
        <v>10270000</v>
      </c>
      <c r="D23" s="26">
        <f>D432</f>
        <v>4360000</v>
      </c>
      <c r="E23" s="26">
        <f>E432</f>
        <v>1000</v>
      </c>
      <c r="F23" s="26">
        <f>F432</f>
        <v>1152211.8800000001</v>
      </c>
      <c r="G23" s="26">
        <f>G432</f>
        <v>6295000</v>
      </c>
      <c r="H23" s="23"/>
    </row>
    <row r="24" spans="1:84" s="24" customFormat="1" ht="15.75" customHeight="1" x14ac:dyDescent="0.2">
      <c r="A24" s="21"/>
      <c r="B24" s="21" t="s">
        <v>29</v>
      </c>
      <c r="C24" s="26">
        <f>C445</f>
        <v>38897343</v>
      </c>
      <c r="D24" s="26">
        <f>D445</f>
        <v>36797343</v>
      </c>
      <c r="E24" s="26">
        <f>E445</f>
        <v>313046.65000000002</v>
      </c>
      <c r="F24" s="26">
        <f>F445</f>
        <v>963168.65</v>
      </c>
      <c r="G24" s="26">
        <v>63726000</v>
      </c>
      <c r="H24" s="23"/>
    </row>
    <row r="25" spans="1:84" s="24" customFormat="1" ht="15.75" customHeight="1" x14ac:dyDescent="0.2">
      <c r="A25" s="55"/>
      <c r="B25" s="56" t="s">
        <v>30</v>
      </c>
      <c r="C25" s="57">
        <f>C476</f>
        <v>1174000</v>
      </c>
      <c r="D25" s="57">
        <f>D476</f>
        <v>650000</v>
      </c>
      <c r="E25" s="57">
        <f>E476</f>
        <v>150000</v>
      </c>
      <c r="F25" s="57">
        <f>F476</f>
        <v>105000</v>
      </c>
      <c r="G25" s="57">
        <f>G476</f>
        <v>472500</v>
      </c>
      <c r="H25" s="23"/>
    </row>
    <row r="26" spans="1:84" s="24" customFormat="1" ht="18.75" x14ac:dyDescent="0.3">
      <c r="A26" s="58"/>
      <c r="B26" s="59" t="s">
        <v>31</v>
      </c>
      <c r="C26" s="60">
        <f>C481</f>
        <v>3086000</v>
      </c>
      <c r="D26" s="60">
        <f>D481</f>
        <v>4456000</v>
      </c>
      <c r="E26" s="60">
        <f>E481</f>
        <v>4273000</v>
      </c>
      <c r="F26" s="60">
        <f>F481</f>
        <v>3290243</v>
      </c>
      <c r="G26" s="60">
        <f>G481</f>
        <v>3640000</v>
      </c>
    </row>
    <row r="27" spans="1:84" s="63" customFormat="1" ht="18.75" x14ac:dyDescent="0.3">
      <c r="A27" s="53"/>
      <c r="B27" s="61" t="s">
        <v>32</v>
      </c>
      <c r="C27" s="62">
        <f>C486</f>
        <v>10612697</v>
      </c>
      <c r="D27" s="62">
        <v>9354593</v>
      </c>
      <c r="E27" s="62">
        <v>9354593</v>
      </c>
      <c r="F27" s="62">
        <v>5300735.47</v>
      </c>
      <c r="G27" s="62">
        <v>10752956</v>
      </c>
    </row>
    <row r="28" spans="1:84" s="24" customFormat="1" ht="18.75" x14ac:dyDescent="0.3">
      <c r="A28" s="58"/>
      <c r="B28" s="59" t="s">
        <v>33</v>
      </c>
      <c r="C28" s="60">
        <f>C492</f>
        <v>6426417</v>
      </c>
      <c r="D28" s="60">
        <f>D492</f>
        <v>6357417</v>
      </c>
      <c r="E28" s="60">
        <f>E492</f>
        <v>6413417</v>
      </c>
      <c r="F28" s="60">
        <f>F492</f>
        <v>4365980.75</v>
      </c>
      <c r="G28" s="60">
        <f>G492</f>
        <v>7038417</v>
      </c>
    </row>
    <row r="29" spans="1:84" s="24" customFormat="1" ht="18.75" x14ac:dyDescent="0.3">
      <c r="A29" s="55"/>
      <c r="B29" s="64" t="s">
        <v>34</v>
      </c>
      <c r="C29" s="65">
        <f>C503</f>
        <v>112000</v>
      </c>
      <c r="D29" s="65">
        <f>D503</f>
        <v>112000</v>
      </c>
      <c r="E29" s="65">
        <f>E503</f>
        <v>73000</v>
      </c>
      <c r="F29" s="65">
        <f>F503</f>
        <v>33098</v>
      </c>
      <c r="G29" s="65">
        <f>G503</f>
        <v>112000</v>
      </c>
      <c r="H29" s="23"/>
    </row>
    <row r="30" spans="1:84" s="69" customFormat="1" ht="18.75" x14ac:dyDescent="0.25">
      <c r="A30" s="66"/>
      <c r="B30" s="67" t="s">
        <v>35</v>
      </c>
      <c r="C30" s="68">
        <f>C507</f>
        <v>500000</v>
      </c>
      <c r="D30" s="68">
        <f>D507</f>
        <v>1201000</v>
      </c>
      <c r="E30" s="68">
        <f>E507</f>
        <v>701000</v>
      </c>
      <c r="F30" s="68">
        <f>F507</f>
        <v>1201000</v>
      </c>
      <c r="G30" s="68">
        <f>G507</f>
        <v>500000</v>
      </c>
      <c r="H30" s="23"/>
      <c r="I30" s="24"/>
      <c r="J30" s="24"/>
      <c r="K30" s="24"/>
      <c r="L30" s="24"/>
      <c r="M30" s="24"/>
      <c r="N30" s="24"/>
      <c r="O30" s="24"/>
      <c r="P30" s="24"/>
      <c r="Q30" s="24"/>
      <c r="R30" s="24"/>
      <c r="S30" s="24"/>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row>
    <row r="31" spans="1:84" s="24" customFormat="1" ht="18.75" x14ac:dyDescent="0.3">
      <c r="A31" s="70"/>
      <c r="B31" s="71" t="s">
        <v>36</v>
      </c>
      <c r="C31" s="72">
        <f t="shared" ref="C31:F32" si="2">C511</f>
        <v>117286140</v>
      </c>
      <c r="D31" s="73">
        <f t="shared" si="2"/>
        <v>125496783.28</v>
      </c>
      <c r="E31" s="73">
        <f t="shared" si="2"/>
        <v>125496783.28</v>
      </c>
      <c r="F31" s="73">
        <f t="shared" si="2"/>
        <v>82606294.439999998</v>
      </c>
      <c r="G31" s="73">
        <f>SUM(G32:G34)</f>
        <v>165843398.80000001</v>
      </c>
    </row>
    <row r="32" spans="1:84" s="24" customFormat="1" ht="15.75" customHeight="1" x14ac:dyDescent="0.25">
      <c r="A32" s="50"/>
      <c r="B32" s="21" t="s">
        <v>37</v>
      </c>
      <c r="C32" s="26">
        <f t="shared" si="2"/>
        <v>55530000</v>
      </c>
      <c r="D32" s="26">
        <f t="shared" si="2"/>
        <v>50086908.670000002</v>
      </c>
      <c r="E32" s="26">
        <f t="shared" si="2"/>
        <v>50086908.670000002</v>
      </c>
      <c r="F32" s="26">
        <f t="shared" si="2"/>
        <v>24467486.900000002</v>
      </c>
      <c r="G32" s="26">
        <v>84320582.799999997</v>
      </c>
      <c r="H32" s="23"/>
    </row>
    <row r="33" spans="1:8" s="24" customFormat="1" ht="15.75" customHeight="1" x14ac:dyDescent="0.2">
      <c r="A33" s="21"/>
      <c r="B33" s="21" t="s">
        <v>38</v>
      </c>
      <c r="C33" s="26">
        <v>39914000</v>
      </c>
      <c r="D33" s="26">
        <f>D564</f>
        <v>60000</v>
      </c>
      <c r="E33" s="26">
        <v>39435236.609999999</v>
      </c>
      <c r="F33" s="26">
        <f>F564</f>
        <v>23782.41</v>
      </c>
      <c r="G33" s="26">
        <v>63946000</v>
      </c>
      <c r="H33" s="23"/>
    </row>
    <row r="34" spans="1:8" s="24" customFormat="1" ht="15.75" customHeight="1" x14ac:dyDescent="0.2">
      <c r="A34" s="53"/>
      <c r="B34" s="56" t="s">
        <v>39</v>
      </c>
      <c r="C34" s="32">
        <v>21842.14</v>
      </c>
      <c r="D34" s="32">
        <f>D589</f>
        <v>150000</v>
      </c>
      <c r="E34" s="32">
        <v>35974638</v>
      </c>
      <c r="F34" s="32">
        <f>F589</f>
        <v>59769</v>
      </c>
      <c r="G34" s="32">
        <v>17576816</v>
      </c>
      <c r="H34" s="23"/>
    </row>
    <row r="35" spans="1:8" s="24" customFormat="1" ht="18.75" x14ac:dyDescent="0.3">
      <c r="A35" s="56"/>
      <c r="B35" s="74" t="s">
        <v>40</v>
      </c>
      <c r="C35" s="75">
        <f>C604</f>
        <v>24216100</v>
      </c>
      <c r="D35" s="75">
        <f>D604</f>
        <v>26216100</v>
      </c>
      <c r="E35" s="75">
        <f>E604</f>
        <v>26000000</v>
      </c>
      <c r="F35" s="75">
        <f>F604</f>
        <v>16002050.35</v>
      </c>
      <c r="G35" s="75">
        <f>G604</f>
        <v>24084500</v>
      </c>
    </row>
    <row r="36" spans="1:8" s="24" customFormat="1" ht="18.75" x14ac:dyDescent="0.3">
      <c r="A36" s="56"/>
      <c r="B36" s="74" t="s">
        <v>41</v>
      </c>
      <c r="C36" s="75">
        <f>C608</f>
        <v>36789421</v>
      </c>
      <c r="D36" s="75">
        <f>D608</f>
        <v>33301421</v>
      </c>
      <c r="E36" s="75">
        <f>E608</f>
        <v>30587183.09</v>
      </c>
      <c r="F36" s="75">
        <f>F608</f>
        <v>14768627.58</v>
      </c>
      <c r="G36" s="75">
        <f>G608</f>
        <v>34895800</v>
      </c>
    </row>
    <row r="37" spans="1:8" s="24" customFormat="1" ht="18.75" x14ac:dyDescent="0.2">
      <c r="A37" s="58"/>
      <c r="B37" s="76" t="s">
        <v>42</v>
      </c>
      <c r="C37" s="77">
        <f>C625</f>
        <v>153267660</v>
      </c>
      <c r="D37" s="78">
        <f>D625</f>
        <v>152405979</v>
      </c>
      <c r="E37" s="78">
        <f>E625</f>
        <v>152405979</v>
      </c>
      <c r="F37" s="78">
        <f>F625</f>
        <v>87122082</v>
      </c>
      <c r="G37" s="78">
        <f>G625</f>
        <v>149365960</v>
      </c>
    </row>
    <row r="38" spans="1:8" s="24" customFormat="1" ht="18.75" x14ac:dyDescent="0.3">
      <c r="A38" s="79"/>
      <c r="B38" s="71" t="s">
        <v>43</v>
      </c>
      <c r="C38" s="73">
        <f t="shared" ref="C38:G39" si="3">C633</f>
        <v>10199000</v>
      </c>
      <c r="D38" s="73">
        <f t="shared" si="3"/>
        <v>10026000</v>
      </c>
      <c r="E38" s="73">
        <f t="shared" si="3"/>
        <v>8890100</v>
      </c>
      <c r="F38" s="73">
        <f t="shared" si="3"/>
        <v>6802858.8700000001</v>
      </c>
      <c r="G38" s="73">
        <f t="shared" si="3"/>
        <v>10937288</v>
      </c>
      <c r="H38" s="23"/>
    </row>
    <row r="39" spans="1:8" s="24" customFormat="1" ht="16.5" customHeight="1" x14ac:dyDescent="0.2">
      <c r="A39" s="80"/>
      <c r="B39" s="80" t="s">
        <v>44</v>
      </c>
      <c r="C39" s="26">
        <f t="shared" si="3"/>
        <v>3459000</v>
      </c>
      <c r="D39" s="26">
        <f t="shared" si="3"/>
        <v>3286000</v>
      </c>
      <c r="E39" s="26">
        <f t="shared" si="3"/>
        <v>2734100</v>
      </c>
      <c r="F39" s="26">
        <f t="shared" si="3"/>
        <v>769858.87000000011</v>
      </c>
      <c r="G39" s="26">
        <f t="shared" si="3"/>
        <v>3067000</v>
      </c>
      <c r="H39" s="23"/>
    </row>
    <row r="40" spans="1:8" s="24" customFormat="1" ht="16.5" customHeight="1" x14ac:dyDescent="0.2">
      <c r="A40" s="53"/>
      <c r="B40" s="53" t="s">
        <v>45</v>
      </c>
      <c r="C40" s="32">
        <f>C662</f>
        <v>6740000</v>
      </c>
      <c r="D40" s="32">
        <f>D662</f>
        <v>6740000</v>
      </c>
      <c r="E40" s="32">
        <f>E662</f>
        <v>6156000</v>
      </c>
      <c r="F40" s="32">
        <f>F662</f>
        <v>6033000</v>
      </c>
      <c r="G40" s="32">
        <f>G662</f>
        <v>7870288</v>
      </c>
    </row>
    <row r="41" spans="1:8" s="24" customFormat="1" ht="18.75" x14ac:dyDescent="0.3">
      <c r="A41" s="79"/>
      <c r="B41" s="81" t="s">
        <v>46</v>
      </c>
      <c r="C41" s="82">
        <f>C673</f>
        <v>14255100</v>
      </c>
      <c r="D41" s="82">
        <f>D673</f>
        <v>20033588</v>
      </c>
      <c r="E41" s="82">
        <f>E673</f>
        <v>20033588</v>
      </c>
      <c r="F41" s="82">
        <f>F673</f>
        <v>7184316.8099999996</v>
      </c>
      <c r="G41" s="82">
        <f>G673</f>
        <v>13505100</v>
      </c>
    </row>
    <row r="42" spans="1:8" s="24" customFormat="1" ht="16.5" customHeight="1" x14ac:dyDescent="0.3">
      <c r="A42" s="21"/>
      <c r="B42" s="83" t="s">
        <v>47</v>
      </c>
      <c r="C42" s="84">
        <f t="shared" ref="C42:G44" si="4">C675</f>
        <v>6911500</v>
      </c>
      <c r="D42" s="84">
        <f t="shared" si="4"/>
        <v>10203820</v>
      </c>
      <c r="E42" s="84">
        <f t="shared" si="4"/>
        <v>10203820</v>
      </c>
      <c r="F42" s="84">
        <f t="shared" si="4"/>
        <v>3433058.91</v>
      </c>
      <c r="G42" s="84">
        <f t="shared" si="4"/>
        <v>6835500</v>
      </c>
    </row>
    <row r="43" spans="1:8" s="24" customFormat="1" ht="16.5" customHeight="1" x14ac:dyDescent="0.3">
      <c r="A43" s="52"/>
      <c r="B43" s="85" t="s">
        <v>48</v>
      </c>
      <c r="C43" s="73">
        <f t="shared" si="4"/>
        <v>1796800</v>
      </c>
      <c r="D43" s="73">
        <f t="shared" si="4"/>
        <v>2479432</v>
      </c>
      <c r="E43" s="73">
        <f t="shared" si="4"/>
        <v>2479432</v>
      </c>
      <c r="F43" s="73">
        <f t="shared" si="4"/>
        <v>763396.3</v>
      </c>
      <c r="G43" s="73">
        <f t="shared" si="4"/>
        <v>1739300</v>
      </c>
    </row>
    <row r="44" spans="1:8" s="24" customFormat="1" ht="16.5" customHeight="1" x14ac:dyDescent="0.3">
      <c r="A44" s="56"/>
      <c r="B44" s="86" t="s">
        <v>49</v>
      </c>
      <c r="C44" s="75">
        <f t="shared" si="4"/>
        <v>5546800</v>
      </c>
      <c r="D44" s="75">
        <f t="shared" si="4"/>
        <v>7350336</v>
      </c>
      <c r="E44" s="75">
        <f t="shared" si="4"/>
        <v>7350336</v>
      </c>
      <c r="F44" s="75">
        <f t="shared" si="4"/>
        <v>2987864.6</v>
      </c>
      <c r="G44" s="75">
        <f t="shared" si="4"/>
        <v>4930300</v>
      </c>
      <c r="H44" s="23"/>
    </row>
    <row r="45" spans="1:8" s="24" customFormat="1" ht="18.75" x14ac:dyDescent="0.3">
      <c r="A45" s="87"/>
      <c r="B45" s="59" t="s">
        <v>50</v>
      </c>
      <c r="C45" s="60">
        <f>C679</f>
        <v>48341000</v>
      </c>
      <c r="D45" s="60">
        <f>D679</f>
        <v>48246622</v>
      </c>
      <c r="E45" s="60">
        <f>E679</f>
        <v>48220555</v>
      </c>
      <c r="F45" s="60">
        <f>F679</f>
        <v>26931631</v>
      </c>
      <c r="G45" s="60">
        <f>G679</f>
        <v>58483000</v>
      </c>
    </row>
    <row r="46" spans="1:8" s="24" customFormat="1" ht="18.75" customHeight="1" x14ac:dyDescent="0.3">
      <c r="A46" s="87"/>
      <c r="B46" s="59" t="s">
        <v>51</v>
      </c>
      <c r="C46" s="88">
        <f>C702</f>
        <v>272420000</v>
      </c>
      <c r="D46" s="60">
        <f>D702</f>
        <v>198055883.74000001</v>
      </c>
      <c r="E46" s="60">
        <v>183951155.44</v>
      </c>
      <c r="F46" s="60">
        <f>F702</f>
        <v>96334031.909999996</v>
      </c>
      <c r="G46" s="60">
        <v>224822000</v>
      </c>
      <c r="H46" s="89"/>
    </row>
    <row r="47" spans="1:8" s="24" customFormat="1" ht="19.5" customHeight="1" x14ac:dyDescent="0.3">
      <c r="A47" s="79"/>
      <c r="B47" s="90" t="s">
        <v>52</v>
      </c>
      <c r="C47" s="82">
        <f>C885</f>
        <v>1211750</v>
      </c>
      <c r="D47" s="82">
        <f>D885</f>
        <v>637750</v>
      </c>
      <c r="E47" s="82">
        <f>E885</f>
        <v>379640</v>
      </c>
      <c r="F47" s="82">
        <f>F885</f>
        <v>120303.64</v>
      </c>
      <c r="G47" s="82">
        <f>G885</f>
        <v>600000</v>
      </c>
      <c r="H47" s="12"/>
    </row>
    <row r="48" spans="1:8" s="24" customFormat="1" ht="15.75" customHeight="1" x14ac:dyDescent="0.2">
      <c r="A48" s="56"/>
      <c r="B48" s="91" t="s">
        <v>53</v>
      </c>
      <c r="C48" s="57">
        <f>C896</f>
        <v>574000</v>
      </c>
      <c r="D48" s="57">
        <f>D896</f>
        <v>0</v>
      </c>
      <c r="E48" s="57">
        <f>E896</f>
        <v>0</v>
      </c>
      <c r="F48" s="57">
        <f>F896</f>
        <v>0</v>
      </c>
      <c r="G48" s="57">
        <f>G896</f>
        <v>0</v>
      </c>
      <c r="H48" s="92"/>
    </row>
    <row r="49" spans="1:8" s="24" customFormat="1" ht="18.75" x14ac:dyDescent="0.3">
      <c r="A49" s="55"/>
      <c r="B49" s="71" t="s">
        <v>54</v>
      </c>
      <c r="C49" s="73">
        <f>C899</f>
        <v>39215960</v>
      </c>
      <c r="D49" s="73">
        <f>D899</f>
        <v>110513968.37</v>
      </c>
      <c r="E49" s="73">
        <f>E899</f>
        <v>104362912.75</v>
      </c>
      <c r="F49" s="73">
        <f>F899</f>
        <v>111132121.87</v>
      </c>
      <c r="G49" s="73">
        <f>G899</f>
        <v>36184308.620000005</v>
      </c>
      <c r="H49" s="92"/>
    </row>
    <row r="50" spans="1:8" s="19" customFormat="1" ht="23.25" customHeight="1" x14ac:dyDescent="0.3">
      <c r="A50" s="93"/>
      <c r="B50" s="94" t="s">
        <v>55</v>
      </c>
      <c r="C50" s="95">
        <f>C922</f>
        <v>870089265</v>
      </c>
      <c r="D50" s="95">
        <f>D922</f>
        <v>866332786.38999999</v>
      </c>
      <c r="E50" s="95">
        <v>780969080.60000002</v>
      </c>
      <c r="F50" s="95">
        <f>F922</f>
        <v>495324827.22000003</v>
      </c>
      <c r="G50" s="95">
        <v>902306516.75</v>
      </c>
      <c r="H50" s="96"/>
    </row>
    <row r="51" spans="1:8" s="19" customFormat="1" ht="23.25" hidden="1" customHeight="1" x14ac:dyDescent="0.3">
      <c r="A51" s="93"/>
      <c r="B51" s="94"/>
      <c r="C51" s="97"/>
      <c r="D51" s="97"/>
      <c r="E51" s="97"/>
      <c r="F51" s="97"/>
      <c r="G51" s="97"/>
      <c r="H51" s="96"/>
    </row>
    <row r="52" spans="1:8" s="12" customFormat="1" ht="22.5" hidden="1" customHeight="1" x14ac:dyDescent="0.3">
      <c r="A52" s="98"/>
      <c r="B52" s="99" t="s">
        <v>56</v>
      </c>
      <c r="C52" s="100"/>
      <c r="D52" s="100"/>
      <c r="E52" s="101"/>
      <c r="F52" s="102"/>
      <c r="G52" s="103"/>
      <c r="H52" s="96"/>
    </row>
    <row r="53" spans="1:8" s="107" customFormat="1" ht="18" hidden="1" x14ac:dyDescent="0.25">
      <c r="A53" s="104"/>
      <c r="B53" s="105" t="s">
        <v>57</v>
      </c>
      <c r="C53" s="106">
        <f>SUM(C54:C66,C70,C73:C76,C83:C85)</f>
        <v>444580702</v>
      </c>
      <c r="D53" s="106">
        <f>SUM(D54:D66,D70,D73:D76,D83:D85)</f>
        <v>371511957.44</v>
      </c>
      <c r="E53" s="106">
        <f>SUM(E54:E66,E70,E73:E76,E83:E85)</f>
        <v>371694661.44</v>
      </c>
      <c r="F53" s="106">
        <f>SUM(F54:F66,F70,F73:F76,F83:F85)</f>
        <v>255798528.65000004</v>
      </c>
      <c r="G53" s="106">
        <f>SUM(G54:G66,G70,G73:G76,G83:G85)</f>
        <v>387416000</v>
      </c>
      <c r="H53" s="96"/>
    </row>
    <row r="54" spans="1:8" s="107" customFormat="1" ht="12.75" hidden="1" customHeight="1" x14ac:dyDescent="0.2">
      <c r="A54" s="108">
        <v>1111</v>
      </c>
      <c r="B54" s="109" t="s">
        <v>58</v>
      </c>
      <c r="C54" s="110">
        <f>(55413000*0.164351/100)*1000-0.63</f>
        <v>91071819</v>
      </c>
      <c r="D54" s="110">
        <f>(55413000*0.164351/100)*1000-0.63-18000000</f>
        <v>73071819</v>
      </c>
      <c r="E54" s="110">
        <f>(55413000*0.164351/100)*1000-0.63-18000000</f>
        <v>73071819</v>
      </c>
      <c r="F54" s="110">
        <v>48301217.43</v>
      </c>
      <c r="G54" s="111">
        <f>(85460000-83860000)/2+83860000</f>
        <v>84660000</v>
      </c>
      <c r="H54" s="96"/>
    </row>
    <row r="55" spans="1:8" s="116" customFormat="1" ht="12.75" hidden="1" customHeight="1" x14ac:dyDescent="0.2">
      <c r="A55" s="112">
        <v>1111</v>
      </c>
      <c r="B55" s="113" t="s">
        <v>59</v>
      </c>
      <c r="C55" s="114">
        <f>(3525000*0.272848/100)*1000</f>
        <v>9617892</v>
      </c>
      <c r="D55" s="114">
        <v>7617892</v>
      </c>
      <c r="E55" s="114">
        <v>7617892</v>
      </c>
      <c r="F55" s="115">
        <v>5100983.9800000004</v>
      </c>
      <c r="G55" s="111">
        <f>(8650000-8490000)/2+8490000</f>
        <v>8570000</v>
      </c>
      <c r="H55" s="96"/>
    </row>
    <row r="56" spans="1:8" s="116" customFormat="1" ht="12.75" hidden="1" customHeight="1" x14ac:dyDescent="0.2">
      <c r="A56" s="112">
        <v>1112</v>
      </c>
      <c r="B56" s="113" t="s">
        <v>60</v>
      </c>
      <c r="C56" s="110">
        <f>(1100000*0.164351/100)*1000</f>
        <v>1807861</v>
      </c>
      <c r="D56" s="110">
        <v>970159</v>
      </c>
      <c r="E56" s="110">
        <v>970159</v>
      </c>
      <c r="F56" s="110">
        <v>574554.49</v>
      </c>
      <c r="G56" s="111">
        <f>(1280000-1140000)/2+1140000</f>
        <v>1210000</v>
      </c>
      <c r="H56" s="96"/>
    </row>
    <row r="57" spans="1:8" s="116" customFormat="1" ht="12.75" hidden="1" customHeight="1" x14ac:dyDescent="0.2">
      <c r="A57" s="112">
        <v>1113</v>
      </c>
      <c r="B57" s="113" t="s">
        <v>61</v>
      </c>
      <c r="C57" s="110">
        <f>(4900000*0.164351/100)*1000</f>
        <v>8053199.0000000009</v>
      </c>
      <c r="D57" s="110">
        <f>(4900000*0.164351/100)*1000-2000000</f>
        <v>6053199.0000000009</v>
      </c>
      <c r="E57" s="110">
        <f>(4900000*0.164351/100)*1000-2000000</f>
        <v>6053199.0000000009</v>
      </c>
      <c r="F57" s="115">
        <v>5051465.68</v>
      </c>
      <c r="G57" s="111">
        <v>8425000</v>
      </c>
      <c r="H57" s="96"/>
    </row>
    <row r="58" spans="1:8" s="116" customFormat="1" ht="12.75" hidden="1" customHeight="1" x14ac:dyDescent="0.2">
      <c r="A58" s="112">
        <v>1121</v>
      </c>
      <c r="B58" s="113" t="s">
        <v>62</v>
      </c>
      <c r="C58" s="110">
        <f>(45100000*0.164351/100)*1000</f>
        <v>74122300.999999985</v>
      </c>
      <c r="D58" s="110">
        <f>(45100000*0.164351/100)*1000-16000000</f>
        <v>58122300.999999985</v>
      </c>
      <c r="E58" s="110">
        <f>(45100000*0.164351/100)*1000-16000000</f>
        <v>58122300.999999985</v>
      </c>
      <c r="F58" s="115">
        <v>33335383.719999999</v>
      </c>
      <c r="G58" s="111">
        <f>(50430000-49560000)/2+49560000</f>
        <v>49995000</v>
      </c>
      <c r="H58" s="96"/>
    </row>
    <row r="59" spans="1:8" s="116" customFormat="1" ht="12.75" hidden="1" customHeight="1" x14ac:dyDescent="0.2">
      <c r="A59" s="112">
        <v>1122</v>
      </c>
      <c r="B59" s="113" t="s">
        <v>63</v>
      </c>
      <c r="C59" s="115">
        <v>25000000</v>
      </c>
      <c r="D59" s="115">
        <v>22015870</v>
      </c>
      <c r="E59" s="115">
        <v>22015870</v>
      </c>
      <c r="F59" s="115">
        <v>22015870</v>
      </c>
      <c r="G59" s="115">
        <v>23000000</v>
      </c>
      <c r="H59" s="96"/>
    </row>
    <row r="60" spans="1:8" s="116" customFormat="1" ht="12.75" hidden="1" customHeight="1" x14ac:dyDescent="0.2">
      <c r="A60" s="112">
        <v>1211</v>
      </c>
      <c r="B60" s="113" t="s">
        <v>64</v>
      </c>
      <c r="C60" s="110">
        <f>(113000000*0.164351/100)*1000</f>
        <v>185716630</v>
      </c>
      <c r="D60" s="110">
        <f>(113000000*0.164351/100)*1000-26000000</f>
        <v>159716630</v>
      </c>
      <c r="E60" s="110">
        <f>(113000000*0.164351/100)*1000-26000000</f>
        <v>159716630</v>
      </c>
      <c r="F60" s="115">
        <v>105223217.38</v>
      </c>
      <c r="G60" s="111">
        <f>(168370000-160100000)/2+160100000</f>
        <v>164235000</v>
      </c>
      <c r="H60" s="96"/>
    </row>
    <row r="61" spans="1:8" s="116" customFormat="1" ht="12.75" hidden="1" customHeight="1" x14ac:dyDescent="0.2">
      <c r="A61" s="112">
        <v>1334</v>
      </c>
      <c r="B61" s="113" t="s">
        <v>65</v>
      </c>
      <c r="C61" s="115">
        <v>50000</v>
      </c>
      <c r="D61" s="115">
        <v>53936.2</v>
      </c>
      <c r="E61" s="115">
        <v>53936.2</v>
      </c>
      <c r="F61" s="114">
        <v>104468.8</v>
      </c>
      <c r="G61" s="111">
        <v>50000</v>
      </c>
      <c r="H61" s="96"/>
    </row>
    <row r="62" spans="1:8" s="116" customFormat="1" ht="12.75" hidden="1" customHeight="1" x14ac:dyDescent="0.2">
      <c r="A62" s="112">
        <v>1335</v>
      </c>
      <c r="B62" s="113" t="s">
        <v>66</v>
      </c>
      <c r="C62" s="115">
        <v>5000</v>
      </c>
      <c r="D62" s="115">
        <v>19055.240000000002</v>
      </c>
      <c r="E62" s="115">
        <v>19055.240000000002</v>
      </c>
      <c r="F62" s="115">
        <v>23555.24</v>
      </c>
      <c r="G62" s="111">
        <v>5000</v>
      </c>
      <c r="H62" s="96"/>
    </row>
    <row r="63" spans="1:8" s="116" customFormat="1" ht="12.75" hidden="1" customHeight="1" x14ac:dyDescent="0.2">
      <c r="A63" s="112">
        <v>1336</v>
      </c>
      <c r="B63" s="113" t="s">
        <v>67</v>
      </c>
      <c r="C63" s="115">
        <v>0</v>
      </c>
      <c r="D63" s="115">
        <v>2800</v>
      </c>
      <c r="E63" s="115">
        <v>2800</v>
      </c>
      <c r="F63" s="115">
        <v>2800</v>
      </c>
      <c r="G63" s="111">
        <v>0</v>
      </c>
      <c r="H63" s="96"/>
    </row>
    <row r="64" spans="1:8" s="116" customFormat="1" ht="26.25" hidden="1" customHeight="1" x14ac:dyDescent="0.2">
      <c r="A64" s="112">
        <v>1340</v>
      </c>
      <c r="B64" s="117" t="s">
        <v>68</v>
      </c>
      <c r="C64" s="115">
        <v>13000000</v>
      </c>
      <c r="D64" s="115">
        <v>13000000</v>
      </c>
      <c r="E64" s="115">
        <v>13000000</v>
      </c>
      <c r="F64" s="115">
        <v>11581542.619999999</v>
      </c>
      <c r="G64" s="115">
        <v>13000000</v>
      </c>
      <c r="H64" s="96"/>
    </row>
    <row r="65" spans="1:34" s="116" customFormat="1" ht="12.75" hidden="1" customHeight="1" x14ac:dyDescent="0.2">
      <c r="A65" s="112">
        <v>1341</v>
      </c>
      <c r="B65" s="113" t="s">
        <v>69</v>
      </c>
      <c r="C65" s="115">
        <v>650000</v>
      </c>
      <c r="D65" s="115">
        <v>650000</v>
      </c>
      <c r="E65" s="115">
        <v>650000</v>
      </c>
      <c r="F65" s="115">
        <v>593763.6</v>
      </c>
      <c r="G65" s="111">
        <v>650000</v>
      </c>
      <c r="H65" s="96"/>
    </row>
    <row r="66" spans="1:34" s="116" customFormat="1" ht="12.75" hidden="1" customHeight="1" x14ac:dyDescent="0.2">
      <c r="A66" s="112">
        <v>1343</v>
      </c>
      <c r="B66" s="113" t="s">
        <v>70</v>
      </c>
      <c r="C66" s="114">
        <f>SUM(C67:C69)</f>
        <v>405000</v>
      </c>
      <c r="D66" s="114">
        <f>SUM(D67:D69)</f>
        <v>305000</v>
      </c>
      <c r="E66" s="114">
        <f>SUM(E67:E69)</f>
        <v>280000</v>
      </c>
      <c r="F66" s="114">
        <f>SUM(F67:F69)</f>
        <v>200753</v>
      </c>
      <c r="G66" s="114">
        <f>SUM(G67:G69)</f>
        <v>385000</v>
      </c>
      <c r="H66" s="118"/>
    </row>
    <row r="67" spans="1:34" ht="12.75" hidden="1" customHeight="1" x14ac:dyDescent="0.2">
      <c r="A67" s="119"/>
      <c r="B67" s="120" t="s">
        <v>71</v>
      </c>
      <c r="C67" s="121">
        <v>300000</v>
      </c>
      <c r="D67" s="121">
        <v>200000</v>
      </c>
      <c r="E67" s="121">
        <v>180000</v>
      </c>
      <c r="F67" s="121">
        <v>153032</v>
      </c>
      <c r="G67" s="122">
        <v>300000</v>
      </c>
      <c r="H67" s="96"/>
    </row>
    <row r="68" spans="1:34" ht="12.75" hidden="1" customHeight="1" x14ac:dyDescent="0.2">
      <c r="A68" s="119"/>
      <c r="B68" s="120" t="s">
        <v>72</v>
      </c>
      <c r="C68" s="121">
        <v>55000</v>
      </c>
      <c r="D68" s="121">
        <v>55000</v>
      </c>
      <c r="E68" s="121">
        <v>50000</v>
      </c>
      <c r="F68" s="121">
        <v>35271</v>
      </c>
      <c r="G68" s="122">
        <v>60000</v>
      </c>
      <c r="H68" s="96"/>
    </row>
    <row r="69" spans="1:34" ht="12.75" hidden="1" customHeight="1" x14ac:dyDescent="0.2">
      <c r="A69" s="119"/>
      <c r="B69" s="120" t="s">
        <v>73</v>
      </c>
      <c r="C69" s="121">
        <v>50000</v>
      </c>
      <c r="D69" s="121">
        <v>50000</v>
      </c>
      <c r="E69" s="121">
        <v>50000</v>
      </c>
      <c r="F69" s="121">
        <v>12450</v>
      </c>
      <c r="G69" s="122">
        <v>25000</v>
      </c>
      <c r="H69" s="96"/>
    </row>
    <row r="70" spans="1:34" s="107" customFormat="1" ht="34.5" hidden="1" customHeight="1" x14ac:dyDescent="0.2">
      <c r="A70" s="123">
        <v>1346</v>
      </c>
      <c r="B70" s="124" t="s">
        <v>74</v>
      </c>
      <c r="C70" s="114">
        <f>SUM(C71:C72)</f>
        <v>90000</v>
      </c>
      <c r="D70" s="114">
        <f>SUM(D71:D72)</f>
        <v>122296</v>
      </c>
      <c r="E70" s="114">
        <f>SUM(E71:E72)</f>
        <v>156000</v>
      </c>
      <c r="F70" s="114">
        <f>SUM(F71:F72)</f>
        <v>132518</v>
      </c>
      <c r="G70" s="111">
        <f>SUM(G71:G72)</f>
        <v>95000</v>
      </c>
      <c r="H70" s="118"/>
    </row>
    <row r="71" spans="1:34" s="129" customFormat="1" hidden="1" x14ac:dyDescent="0.2">
      <c r="A71" s="125"/>
      <c r="B71" s="126" t="s">
        <v>75</v>
      </c>
      <c r="C71" s="127">
        <v>0</v>
      </c>
      <c r="D71" s="127">
        <v>7580</v>
      </c>
      <c r="E71" s="128">
        <v>16000</v>
      </c>
      <c r="F71" s="128">
        <v>12120</v>
      </c>
      <c r="G71" s="122">
        <v>5000</v>
      </c>
      <c r="H71" s="118"/>
    </row>
    <row r="72" spans="1:34" s="136" customFormat="1" hidden="1" x14ac:dyDescent="0.2">
      <c r="A72" s="130"/>
      <c r="B72" s="131" t="s">
        <v>76</v>
      </c>
      <c r="C72" s="132">
        <v>90000</v>
      </c>
      <c r="D72" s="132">
        <v>114716</v>
      </c>
      <c r="E72" s="133">
        <v>140000</v>
      </c>
      <c r="F72" s="133">
        <v>120398</v>
      </c>
      <c r="G72" s="134">
        <v>90000</v>
      </c>
      <c r="H72" s="135"/>
    </row>
    <row r="73" spans="1:34" s="107" customFormat="1" ht="12.75" hidden="1" customHeight="1" x14ac:dyDescent="0.2">
      <c r="A73" s="123">
        <v>1353</v>
      </c>
      <c r="B73" s="137" t="s">
        <v>77</v>
      </c>
      <c r="C73" s="138">
        <v>575000</v>
      </c>
      <c r="D73" s="138">
        <v>575000</v>
      </c>
      <c r="E73" s="115">
        <v>500000</v>
      </c>
      <c r="F73" s="115">
        <v>297300</v>
      </c>
      <c r="G73" s="111">
        <v>600000</v>
      </c>
      <c r="H73" s="96"/>
    </row>
    <row r="74" spans="1:34" s="116" customFormat="1" ht="12.75" hidden="1" customHeight="1" x14ac:dyDescent="0.2">
      <c r="A74" s="112">
        <v>1356</v>
      </c>
      <c r="B74" s="113" t="s">
        <v>78</v>
      </c>
      <c r="C74" s="115">
        <v>250000</v>
      </c>
      <c r="D74" s="115">
        <v>250000</v>
      </c>
      <c r="E74" s="115">
        <v>250000</v>
      </c>
      <c r="F74" s="115">
        <v>242547.84</v>
      </c>
      <c r="G74" s="115">
        <v>250000</v>
      </c>
      <c r="H74" s="118"/>
    </row>
    <row r="75" spans="1:34" s="116" customFormat="1" ht="12.75" hidden="1" customHeight="1" x14ac:dyDescent="0.2">
      <c r="A75" s="112">
        <v>1359</v>
      </c>
      <c r="B75" s="113" t="s">
        <v>79</v>
      </c>
      <c r="C75" s="115">
        <v>0</v>
      </c>
      <c r="D75" s="115">
        <v>0</v>
      </c>
      <c r="E75" s="115">
        <v>0</v>
      </c>
      <c r="F75" s="115">
        <v>45000</v>
      </c>
      <c r="G75" s="111">
        <v>0</v>
      </c>
      <c r="H75" s="118"/>
    </row>
    <row r="76" spans="1:34" s="116" customFormat="1" ht="12.75" hidden="1" customHeight="1" x14ac:dyDescent="0.2">
      <c r="A76" s="112">
        <v>1361</v>
      </c>
      <c r="B76" s="113" t="s">
        <v>80</v>
      </c>
      <c r="C76" s="114">
        <f>SUM(C77:C82)</f>
        <v>8666000</v>
      </c>
      <c r="D76" s="114">
        <f>SUM(D77:D82)</f>
        <v>7466000</v>
      </c>
      <c r="E76" s="114">
        <f>SUM(E77:E82)</f>
        <v>7515000</v>
      </c>
      <c r="F76" s="114">
        <f>SUM(F77:F82)</f>
        <v>6006885</v>
      </c>
      <c r="G76" s="114">
        <f>SUM(G77:G82)</f>
        <v>8086000</v>
      </c>
      <c r="H76" s="96"/>
    </row>
    <row r="77" spans="1:34" s="12" customFormat="1" ht="12.75" hidden="1" customHeight="1" x14ac:dyDescent="0.2">
      <c r="A77" s="139"/>
      <c r="B77" s="140" t="s">
        <v>81</v>
      </c>
      <c r="C77" s="127">
        <v>5000000</v>
      </c>
      <c r="D77" s="127">
        <v>5000000</v>
      </c>
      <c r="E77" s="121">
        <v>5000000</v>
      </c>
      <c r="F77" s="121">
        <v>4004540</v>
      </c>
      <c r="G77" s="122">
        <v>5500000</v>
      </c>
      <c r="H77" s="96"/>
    </row>
    <row r="78" spans="1:34" ht="39" hidden="1" customHeight="1" x14ac:dyDescent="0.2">
      <c r="A78" s="119"/>
      <c r="B78" s="141" t="s">
        <v>82</v>
      </c>
      <c r="C78" s="121">
        <f>(378+2+30+10)*1000</f>
        <v>420000</v>
      </c>
      <c r="D78" s="121">
        <v>300000</v>
      </c>
      <c r="E78" s="121">
        <v>391000</v>
      </c>
      <c r="F78" s="121">
        <v>276560</v>
      </c>
      <c r="G78" s="122">
        <v>400000</v>
      </c>
      <c r="H78" s="118"/>
    </row>
    <row r="79" spans="1:34" ht="12.75" hidden="1" customHeight="1" x14ac:dyDescent="0.2">
      <c r="A79" s="119"/>
      <c r="B79" s="120" t="s">
        <v>83</v>
      </c>
      <c r="C79" s="121">
        <v>1300000</v>
      </c>
      <c r="D79" s="121">
        <v>1000000</v>
      </c>
      <c r="E79" s="121">
        <v>1000000</v>
      </c>
      <c r="F79" s="121">
        <v>752450</v>
      </c>
      <c r="G79" s="122">
        <v>1000000</v>
      </c>
      <c r="H79" s="96"/>
    </row>
    <row r="80" spans="1:34" s="146" customFormat="1" ht="12.75" hidden="1" customHeight="1" x14ac:dyDescent="0.2">
      <c r="A80" s="142"/>
      <c r="B80" s="143" t="s">
        <v>84</v>
      </c>
      <c r="C80" s="132">
        <v>1780000</v>
      </c>
      <c r="D80" s="132">
        <v>1000000</v>
      </c>
      <c r="E80" s="132">
        <v>950000</v>
      </c>
      <c r="F80" s="132">
        <v>803265</v>
      </c>
      <c r="G80" s="134">
        <v>1000000</v>
      </c>
      <c r="H80" s="144"/>
      <c r="I80" s="145"/>
      <c r="J80" s="145"/>
      <c r="K80" s="145"/>
      <c r="L80" s="145"/>
      <c r="M80" s="145"/>
      <c r="N80" s="145"/>
      <c r="O80" s="145"/>
      <c r="P80" s="145"/>
      <c r="Q80" s="145"/>
      <c r="R80" s="145"/>
      <c r="S80" s="145"/>
      <c r="T80" s="145"/>
      <c r="U80" s="145"/>
      <c r="V80" s="145"/>
      <c r="W80" s="145"/>
      <c r="X80" s="145"/>
      <c r="Y80" s="145"/>
      <c r="Z80" s="145"/>
      <c r="AA80" s="145"/>
      <c r="AB80" s="145"/>
      <c r="AC80" s="145"/>
      <c r="AD80" s="145"/>
      <c r="AE80" s="145"/>
      <c r="AF80" s="145"/>
      <c r="AG80" s="145"/>
      <c r="AH80" s="145"/>
    </row>
    <row r="81" spans="1:8" ht="12.75" hidden="1" customHeight="1" x14ac:dyDescent="0.2">
      <c r="A81" s="119"/>
      <c r="B81" s="120" t="s">
        <v>85</v>
      </c>
      <c r="C81" s="121">
        <v>162000</v>
      </c>
      <c r="D81" s="121">
        <v>162000</v>
      </c>
      <c r="E81" s="121">
        <v>170000</v>
      </c>
      <c r="F81" s="121">
        <v>167170</v>
      </c>
      <c r="G81" s="121">
        <v>182000</v>
      </c>
      <c r="H81" s="96"/>
    </row>
    <row r="82" spans="1:8" ht="12.75" hidden="1" customHeight="1" x14ac:dyDescent="0.2">
      <c r="A82" s="119"/>
      <c r="B82" s="120" t="s">
        <v>86</v>
      </c>
      <c r="C82" s="121">
        <v>4000</v>
      </c>
      <c r="D82" s="121">
        <f>1200+2800</f>
        <v>4000</v>
      </c>
      <c r="E82" s="121">
        <v>4000</v>
      </c>
      <c r="F82" s="121">
        <f>100+2800</f>
        <v>2900</v>
      </c>
      <c r="G82" s="122">
        <v>4000</v>
      </c>
      <c r="H82" s="96"/>
    </row>
    <row r="83" spans="1:8" ht="12.75" hidden="1" customHeight="1" x14ac:dyDescent="0.2">
      <c r="A83" s="147">
        <v>1381</v>
      </c>
      <c r="B83" s="148" t="s">
        <v>87</v>
      </c>
      <c r="C83" s="115">
        <v>1500000</v>
      </c>
      <c r="D83" s="115">
        <v>1500000</v>
      </c>
      <c r="E83" s="115">
        <v>1700000</v>
      </c>
      <c r="F83" s="115">
        <v>1597761.76</v>
      </c>
      <c r="G83" s="111">
        <v>1700000</v>
      </c>
      <c r="H83" s="96"/>
    </row>
    <row r="84" spans="1:8" ht="12.75" hidden="1" customHeight="1" x14ac:dyDescent="0.2">
      <c r="A84" s="147">
        <v>1385</v>
      </c>
      <c r="B84" s="148" t="s">
        <v>88</v>
      </c>
      <c r="C84" s="115">
        <v>12000000</v>
      </c>
      <c r="D84" s="115">
        <v>8000000</v>
      </c>
      <c r="E84" s="115">
        <v>8000000</v>
      </c>
      <c r="F84" s="115">
        <v>6888358.1799999997</v>
      </c>
      <c r="G84" s="111">
        <v>10000000</v>
      </c>
      <c r="H84" s="96"/>
    </row>
    <row r="85" spans="1:8" s="116" customFormat="1" ht="12.75" hidden="1" customHeight="1" x14ac:dyDescent="0.2">
      <c r="A85" s="112">
        <v>1511</v>
      </c>
      <c r="B85" s="113" t="s">
        <v>89</v>
      </c>
      <c r="C85" s="115">
        <f>11000000+1000000</f>
        <v>12000000</v>
      </c>
      <c r="D85" s="115">
        <f>11000000+1000000</f>
        <v>12000000</v>
      </c>
      <c r="E85" s="115">
        <f>11000000+1000000</f>
        <v>12000000</v>
      </c>
      <c r="F85" s="115">
        <v>8478581.9299999997</v>
      </c>
      <c r="G85" s="115">
        <v>12500000</v>
      </c>
      <c r="H85" s="96"/>
    </row>
    <row r="86" spans="1:8" s="116" customFormat="1" ht="12.75" hidden="1" customHeight="1" x14ac:dyDescent="0.2">
      <c r="A86" s="149"/>
      <c r="B86" s="150"/>
      <c r="C86" s="151"/>
      <c r="D86" s="151"/>
      <c r="E86" s="152"/>
      <c r="F86" s="153"/>
      <c r="G86" s="154"/>
      <c r="H86" s="96"/>
    </row>
    <row r="87" spans="1:8" s="116" customFormat="1" ht="18.75" hidden="1" customHeight="1" x14ac:dyDescent="0.25">
      <c r="A87" s="155"/>
      <c r="B87" s="156" t="s">
        <v>10</v>
      </c>
      <c r="C87" s="157">
        <f>SUM(C88,C101:C104,C116:C117,C128:C129,C142:C145,C162:C163,C175)</f>
        <v>127930181</v>
      </c>
      <c r="D87" s="157">
        <f>SUM(D88,D101:D104,D116:D117,D128:D129,D142:D145,D162:D163,D175)</f>
        <v>68787440.480000004</v>
      </c>
      <c r="E87" s="157">
        <f>SUM(E88,E101:E104,E116:E117,E128:E129,E142:E145,E162:E163,E175)</f>
        <v>121409960.75000001</v>
      </c>
      <c r="F87" s="157">
        <f>SUM(F88,F101:F104,F116:F117,F128:F129,F142:F145,F162:F163,F175)</f>
        <v>86272625.189999998</v>
      </c>
      <c r="G87" s="157">
        <f>SUM(G88,G101:G104,G116:G117,G128:G129,G142:G145,G162:G163,G175)</f>
        <v>127897541.26000001</v>
      </c>
      <c r="H87" s="96"/>
    </row>
    <row r="88" spans="1:8" s="116" customFormat="1" ht="12.75" hidden="1" customHeight="1" x14ac:dyDescent="0.2">
      <c r="A88" s="158">
        <v>2111</v>
      </c>
      <c r="B88" s="159" t="s">
        <v>90</v>
      </c>
      <c r="C88" s="160">
        <f>SUM(C89:C100)</f>
        <v>13114500</v>
      </c>
      <c r="D88" s="160">
        <f>SUM(D89:D100)</f>
        <v>13361889.02</v>
      </c>
      <c r="E88" s="160">
        <f>SUM(E89:E100)</f>
        <v>12789499.02</v>
      </c>
      <c r="F88" s="160">
        <f>SUM(F89:F100)</f>
        <v>9157928.2999999989</v>
      </c>
      <c r="G88" s="160">
        <f>SUM(G89:G100)</f>
        <v>13681500</v>
      </c>
      <c r="H88" s="96"/>
    </row>
    <row r="89" spans="1:8" ht="12.75" hidden="1" customHeight="1" x14ac:dyDescent="0.2">
      <c r="A89" s="161"/>
      <c r="B89" s="143" t="s">
        <v>91</v>
      </c>
      <c r="C89" s="132">
        <v>0</v>
      </c>
      <c r="D89" s="132">
        <v>0</v>
      </c>
      <c r="E89" s="121">
        <v>510</v>
      </c>
      <c r="F89" s="121">
        <v>510</v>
      </c>
      <c r="G89" s="122">
        <v>0</v>
      </c>
      <c r="H89" s="96"/>
    </row>
    <row r="90" spans="1:8" ht="12.75" hidden="1" customHeight="1" x14ac:dyDescent="0.2">
      <c r="A90" s="161"/>
      <c r="B90" s="143" t="s">
        <v>92</v>
      </c>
      <c r="C90" s="132">
        <v>1000000</v>
      </c>
      <c r="D90" s="127">
        <v>1000000</v>
      </c>
      <c r="E90" s="127">
        <v>1000000</v>
      </c>
      <c r="F90" s="127">
        <v>241188</v>
      </c>
      <c r="G90" s="162">
        <v>1000000</v>
      </c>
      <c r="H90" s="96"/>
    </row>
    <row r="91" spans="1:8" s="145" customFormat="1" ht="12.75" hidden="1" customHeight="1" x14ac:dyDescent="0.2">
      <c r="A91" s="142"/>
      <c r="B91" s="143" t="s">
        <v>93</v>
      </c>
      <c r="C91" s="132">
        <v>720000</v>
      </c>
      <c r="D91" s="132">
        <v>440588</v>
      </c>
      <c r="E91" s="132">
        <v>440588</v>
      </c>
      <c r="F91" s="132">
        <v>367675.18</v>
      </c>
      <c r="G91" s="134">
        <v>720000</v>
      </c>
      <c r="H91" s="144"/>
    </row>
    <row r="92" spans="1:8" ht="12.75" hidden="1" customHeight="1" x14ac:dyDescent="0.2">
      <c r="A92" s="142"/>
      <c r="B92" s="143" t="s">
        <v>94</v>
      </c>
      <c r="C92" s="132">
        <v>10000</v>
      </c>
      <c r="D92" s="132">
        <v>8000</v>
      </c>
      <c r="E92" s="121">
        <v>7000</v>
      </c>
      <c r="F92" s="121">
        <v>6360</v>
      </c>
      <c r="G92" s="122">
        <v>0</v>
      </c>
      <c r="H92" s="96"/>
    </row>
    <row r="93" spans="1:8" ht="12.75" hidden="1" customHeight="1" x14ac:dyDescent="0.2">
      <c r="A93" s="142"/>
      <c r="B93" s="143" t="s">
        <v>95</v>
      </c>
      <c r="C93" s="132">
        <v>5000000</v>
      </c>
      <c r="D93" s="132">
        <v>3950000</v>
      </c>
      <c r="E93" s="132">
        <v>3950000</v>
      </c>
      <c r="F93" s="132">
        <v>2939196.16</v>
      </c>
      <c r="G93" s="122">
        <v>5200000</v>
      </c>
      <c r="H93" s="96"/>
    </row>
    <row r="94" spans="1:8" ht="12.75" hidden="1" customHeight="1" x14ac:dyDescent="0.2">
      <c r="A94" s="142"/>
      <c r="B94" s="143" t="s">
        <v>96</v>
      </c>
      <c r="C94" s="132">
        <v>1248000</v>
      </c>
      <c r="D94" s="132">
        <v>1248000</v>
      </c>
      <c r="E94" s="127">
        <v>800000</v>
      </c>
      <c r="F94" s="121">
        <v>670841.93999999994</v>
      </c>
      <c r="G94" s="122">
        <v>1600000</v>
      </c>
      <c r="H94" s="96"/>
    </row>
    <row r="95" spans="1:8" ht="12.75" hidden="1" customHeight="1" x14ac:dyDescent="0.2">
      <c r="A95" s="142"/>
      <c r="B95" s="143" t="s">
        <v>97</v>
      </c>
      <c r="C95" s="132">
        <v>2685000</v>
      </c>
      <c r="D95" s="132">
        <v>2685000</v>
      </c>
      <c r="E95" s="132">
        <v>2685000</v>
      </c>
      <c r="F95" s="121">
        <v>1781568</v>
      </c>
      <c r="G95" s="122">
        <v>2610000</v>
      </c>
      <c r="H95" s="96"/>
    </row>
    <row r="96" spans="1:8" ht="12.75" hidden="1" customHeight="1" x14ac:dyDescent="0.2">
      <c r="A96" s="142"/>
      <c r="B96" s="143" t="s">
        <v>98</v>
      </c>
      <c r="C96" s="132">
        <v>0</v>
      </c>
      <c r="D96" s="132">
        <v>1578801.02</v>
      </c>
      <c r="E96" s="132">
        <v>1578801.02</v>
      </c>
      <c r="F96" s="132">
        <v>1578801.02</v>
      </c>
      <c r="G96" s="163">
        <v>0</v>
      </c>
      <c r="H96" s="96"/>
    </row>
    <row r="97" spans="1:8" ht="12.75" hidden="1" customHeight="1" x14ac:dyDescent="0.2">
      <c r="A97" s="142"/>
      <c r="B97" s="143" t="s">
        <v>99</v>
      </c>
      <c r="C97" s="132">
        <v>0</v>
      </c>
      <c r="D97" s="132">
        <v>0</v>
      </c>
      <c r="E97" s="121">
        <v>2100</v>
      </c>
      <c r="F97" s="121">
        <v>2100</v>
      </c>
      <c r="G97" s="122">
        <v>0</v>
      </c>
      <c r="H97" s="96"/>
    </row>
    <row r="98" spans="1:8" ht="12.75" hidden="1" customHeight="1" x14ac:dyDescent="0.2">
      <c r="A98" s="142"/>
      <c r="B98" s="143" t="s">
        <v>100</v>
      </c>
      <c r="C98" s="132">
        <v>2400000</v>
      </c>
      <c r="D98" s="132">
        <v>2400000</v>
      </c>
      <c r="E98" s="127">
        <v>2300000</v>
      </c>
      <c r="F98" s="127">
        <v>1569489</v>
      </c>
      <c r="G98" s="122">
        <v>2500000</v>
      </c>
      <c r="H98" s="96"/>
    </row>
    <row r="99" spans="1:8" ht="12.75" hidden="1" customHeight="1" x14ac:dyDescent="0.2">
      <c r="A99" s="142"/>
      <c r="B99" s="143" t="s">
        <v>101</v>
      </c>
      <c r="C99" s="132">
        <v>51000</v>
      </c>
      <c r="D99" s="132">
        <v>51000</v>
      </c>
      <c r="E99" s="164">
        <v>25000</v>
      </c>
      <c r="F99" s="164">
        <v>0</v>
      </c>
      <c r="G99" s="122">
        <v>51000</v>
      </c>
      <c r="H99" s="96"/>
    </row>
    <row r="100" spans="1:8" ht="12.75" hidden="1" customHeight="1" x14ac:dyDescent="0.2">
      <c r="A100" s="142"/>
      <c r="B100" s="143" t="s">
        <v>102</v>
      </c>
      <c r="C100" s="132">
        <v>500</v>
      </c>
      <c r="D100" s="132">
        <v>500</v>
      </c>
      <c r="E100" s="121">
        <v>500</v>
      </c>
      <c r="F100" s="121">
        <v>199</v>
      </c>
      <c r="G100" s="122">
        <v>500</v>
      </c>
      <c r="H100" s="96"/>
    </row>
    <row r="101" spans="1:8" s="116" customFormat="1" ht="12.75" hidden="1" customHeight="1" x14ac:dyDescent="0.2">
      <c r="A101" s="161">
        <v>2119</v>
      </c>
      <c r="B101" s="165" t="s">
        <v>103</v>
      </c>
      <c r="C101" s="166">
        <v>1000000</v>
      </c>
      <c r="D101" s="166">
        <v>1000000</v>
      </c>
      <c r="E101" s="115">
        <v>500000</v>
      </c>
      <c r="F101" s="115">
        <v>318632.28000000003</v>
      </c>
      <c r="G101" s="111">
        <v>1700000</v>
      </c>
      <c r="H101" s="96"/>
    </row>
    <row r="102" spans="1:8" s="116" customFormat="1" ht="12.75" hidden="1" customHeight="1" x14ac:dyDescent="0.2">
      <c r="A102" s="161">
        <v>2122</v>
      </c>
      <c r="B102" s="165" t="s">
        <v>104</v>
      </c>
      <c r="C102" s="166">
        <v>2697894</v>
      </c>
      <c r="D102" s="166">
        <v>2697894</v>
      </c>
      <c r="E102" s="166">
        <v>2697894</v>
      </c>
      <c r="F102" s="115">
        <v>668259.12</v>
      </c>
      <c r="G102" s="111">
        <v>2798840.36</v>
      </c>
      <c r="H102" s="96"/>
    </row>
    <row r="103" spans="1:8" s="116" customFormat="1" ht="27" hidden="1" customHeight="1" x14ac:dyDescent="0.2">
      <c r="A103" s="161">
        <v>2131</v>
      </c>
      <c r="B103" s="167" t="s">
        <v>105</v>
      </c>
      <c r="C103" s="166">
        <v>2000000</v>
      </c>
      <c r="D103" s="166">
        <v>2000000</v>
      </c>
      <c r="E103" s="115">
        <v>1200000</v>
      </c>
      <c r="F103" s="121">
        <v>798850.94</v>
      </c>
      <c r="G103" s="111">
        <v>1650000</v>
      </c>
      <c r="H103" s="96"/>
    </row>
    <row r="104" spans="1:8" s="116" customFormat="1" ht="12.75" hidden="1" customHeight="1" x14ac:dyDescent="0.2">
      <c r="A104" s="161">
        <v>2132</v>
      </c>
      <c r="B104" s="165" t="s">
        <v>106</v>
      </c>
      <c r="C104" s="166">
        <f>SUM(C105:C115)</f>
        <v>88887787</v>
      </c>
      <c r="D104" s="166">
        <f>SUM(D105:D115)</f>
        <v>33418124</v>
      </c>
      <c r="E104" s="166">
        <f>SUM(E105:E115)</f>
        <v>88081881</v>
      </c>
      <c r="F104" s="166">
        <f>SUM(F105:F115)</f>
        <v>64267915.219999999</v>
      </c>
      <c r="G104" s="166">
        <f>SUM(G105:G115)</f>
        <v>92969200.900000006</v>
      </c>
      <c r="H104" s="96"/>
    </row>
    <row r="105" spans="1:8" ht="12.75" hidden="1" customHeight="1" x14ac:dyDescent="0.2">
      <c r="A105" s="142"/>
      <c r="B105" s="143" t="s">
        <v>107</v>
      </c>
      <c r="C105" s="132">
        <v>689530</v>
      </c>
      <c r="D105" s="132">
        <v>713477</v>
      </c>
      <c r="E105" s="121">
        <v>750000</v>
      </c>
      <c r="F105" s="121">
        <v>738822.71</v>
      </c>
      <c r="G105" s="122">
        <v>750000</v>
      </c>
      <c r="H105" s="96"/>
    </row>
    <row r="106" spans="1:8" ht="12.75" hidden="1" customHeight="1" x14ac:dyDescent="0.2">
      <c r="A106" s="142"/>
      <c r="B106" s="143" t="s">
        <v>108</v>
      </c>
      <c r="C106" s="132">
        <v>200</v>
      </c>
      <c r="D106" s="132">
        <v>200</v>
      </c>
      <c r="E106" s="121">
        <v>301</v>
      </c>
      <c r="F106" s="121">
        <v>301</v>
      </c>
      <c r="G106" s="122">
        <v>0</v>
      </c>
      <c r="H106" s="96"/>
    </row>
    <row r="107" spans="1:8" ht="12.75" hidden="1" customHeight="1" x14ac:dyDescent="0.2">
      <c r="A107" s="142"/>
      <c r="B107" s="143" t="s">
        <v>109</v>
      </c>
      <c r="C107" s="132">
        <v>600000</v>
      </c>
      <c r="D107" s="132">
        <v>600000</v>
      </c>
      <c r="E107" s="121">
        <v>800000</v>
      </c>
      <c r="F107" s="121">
        <v>624638.59</v>
      </c>
      <c r="G107" s="122">
        <v>600000</v>
      </c>
      <c r="H107" s="96"/>
    </row>
    <row r="108" spans="1:8" ht="12.75" hidden="1" customHeight="1" x14ac:dyDescent="0.2">
      <c r="A108" s="142"/>
      <c r="B108" s="143" t="s">
        <v>110</v>
      </c>
      <c r="C108" s="132">
        <v>270000</v>
      </c>
      <c r="D108" s="132">
        <v>275040</v>
      </c>
      <c r="E108" s="121">
        <v>275040</v>
      </c>
      <c r="F108" s="121">
        <v>254790</v>
      </c>
      <c r="G108" s="122">
        <v>276000</v>
      </c>
      <c r="H108" s="96"/>
    </row>
    <row r="109" spans="1:8" ht="25.5" hidden="1" customHeight="1" x14ac:dyDescent="0.2">
      <c r="A109" s="142"/>
      <c r="B109" s="168" t="s">
        <v>111</v>
      </c>
      <c r="C109" s="132">
        <v>50941650</v>
      </c>
      <c r="D109" s="127"/>
      <c r="E109" s="127">
        <v>50000000</v>
      </c>
      <c r="F109" s="121">
        <v>33165192.109999999</v>
      </c>
      <c r="G109" s="122">
        <v>52865000</v>
      </c>
      <c r="H109" s="96"/>
    </row>
    <row r="110" spans="1:8" ht="12.75" hidden="1" customHeight="1" x14ac:dyDescent="0.2">
      <c r="A110" s="142"/>
      <c r="B110" s="143" t="s">
        <v>112</v>
      </c>
      <c r="C110" s="132">
        <v>7405</v>
      </c>
      <c r="D110" s="132">
        <v>7405</v>
      </c>
      <c r="E110" s="121">
        <v>14000</v>
      </c>
      <c r="F110" s="121">
        <v>10430</v>
      </c>
      <c r="G110" s="122">
        <f>83405+3+1194792.9</f>
        <v>1278200.8999999999</v>
      </c>
      <c r="H110" s="96"/>
    </row>
    <row r="111" spans="1:8" ht="12.75" hidden="1" customHeight="1" x14ac:dyDescent="0.2">
      <c r="A111" s="142"/>
      <c r="B111" s="143" t="s">
        <v>113</v>
      </c>
      <c r="C111" s="132">
        <v>325002</v>
      </c>
      <c r="D111" s="132">
        <v>325002</v>
      </c>
      <c r="E111" s="121">
        <v>325002</v>
      </c>
      <c r="F111" s="121">
        <v>238617.99</v>
      </c>
      <c r="G111" s="122">
        <v>420000</v>
      </c>
      <c r="H111" s="96"/>
    </row>
    <row r="112" spans="1:8" ht="36.75" hidden="1" customHeight="1" x14ac:dyDescent="0.2">
      <c r="A112" s="142"/>
      <c r="B112" s="131" t="s">
        <v>114</v>
      </c>
      <c r="C112" s="132">
        <f>13000000+3000000+240000+12000+726000+150000</f>
        <v>17128000</v>
      </c>
      <c r="D112" s="132">
        <f>(13000000-1400000)+726000+12000+240000</f>
        <v>12578000</v>
      </c>
      <c r="E112" s="132">
        <v>17000000</v>
      </c>
      <c r="F112" s="121">
        <v>10326987.32</v>
      </c>
      <c r="G112" s="122">
        <f>13500000+3000000+240000+20000+746000+216000+134000</f>
        <v>17856000</v>
      </c>
      <c r="H112" s="96"/>
    </row>
    <row r="113" spans="1:47" ht="12.75" hidden="1" customHeight="1" x14ac:dyDescent="0.2">
      <c r="A113" s="142"/>
      <c r="B113" s="143" t="s">
        <v>115</v>
      </c>
      <c r="C113" s="132">
        <v>18881000</v>
      </c>
      <c r="D113" s="132">
        <v>18881000</v>
      </c>
      <c r="E113" s="121">
        <v>18881538</v>
      </c>
      <c r="F113" s="121">
        <v>18881538</v>
      </c>
      <c r="G113" s="122">
        <v>18881000</v>
      </c>
      <c r="H113" s="96"/>
    </row>
    <row r="114" spans="1:47" ht="12.75" hidden="1" customHeight="1" x14ac:dyDescent="0.2">
      <c r="A114" s="142"/>
      <c r="B114" s="143" t="s">
        <v>116</v>
      </c>
      <c r="C114" s="132">
        <v>18000</v>
      </c>
      <c r="D114" s="132">
        <v>18000</v>
      </c>
      <c r="E114" s="132">
        <v>18000</v>
      </c>
      <c r="F114" s="121">
        <f>9300+3056.5</f>
        <v>12356.5</v>
      </c>
      <c r="G114" s="122">
        <v>18000</v>
      </c>
      <c r="H114" s="169"/>
    </row>
    <row r="115" spans="1:47" ht="12.75" hidden="1" customHeight="1" x14ac:dyDescent="0.2">
      <c r="A115" s="142"/>
      <c r="B115" s="143" t="s">
        <v>117</v>
      </c>
      <c r="C115" s="132">
        <v>27000</v>
      </c>
      <c r="D115" s="132">
        <v>20000</v>
      </c>
      <c r="E115" s="121">
        <v>18000</v>
      </c>
      <c r="F115" s="121">
        <v>14241</v>
      </c>
      <c r="G115" s="122">
        <v>25000</v>
      </c>
      <c r="H115" s="96"/>
    </row>
    <row r="116" spans="1:47" s="116" customFormat="1" ht="12.75" hidden="1" customHeight="1" x14ac:dyDescent="0.2">
      <c r="A116" s="161">
        <v>2141</v>
      </c>
      <c r="B116" s="165" t="s">
        <v>118</v>
      </c>
      <c r="C116" s="166">
        <v>750000</v>
      </c>
      <c r="D116" s="166">
        <v>1000000</v>
      </c>
      <c r="E116" s="115">
        <v>1050000</v>
      </c>
      <c r="F116" s="115">
        <v>983498.08</v>
      </c>
      <c r="G116" s="111">
        <v>300000</v>
      </c>
      <c r="H116" s="96"/>
    </row>
    <row r="117" spans="1:47" s="116" customFormat="1" ht="12.75" hidden="1" customHeight="1" x14ac:dyDescent="0.2">
      <c r="A117" s="161">
        <v>2212</v>
      </c>
      <c r="B117" s="165" t="s">
        <v>119</v>
      </c>
      <c r="C117" s="166">
        <f>SUM(C118:C127)</f>
        <v>15260000</v>
      </c>
      <c r="D117" s="166">
        <f>SUM(D118:D127)</f>
        <v>10130000</v>
      </c>
      <c r="E117" s="166">
        <f>SUM(E118:E127)</f>
        <v>10025670.600000001</v>
      </c>
      <c r="F117" s="166">
        <f>SUM(F118:F127)</f>
        <v>5942047.5999999996</v>
      </c>
      <c r="G117" s="166">
        <f>SUM(G118:G127)</f>
        <v>11127000</v>
      </c>
      <c r="H117" s="96"/>
    </row>
    <row r="118" spans="1:47" ht="12.75" hidden="1" customHeight="1" x14ac:dyDescent="0.2">
      <c r="A118" s="142"/>
      <c r="B118" s="143" t="s">
        <v>120</v>
      </c>
      <c r="C118" s="132">
        <v>10000</v>
      </c>
      <c r="D118" s="132">
        <v>10000</v>
      </c>
      <c r="E118" s="121">
        <v>13000</v>
      </c>
      <c r="F118" s="121">
        <v>11100</v>
      </c>
      <c r="G118" s="122">
        <v>12000</v>
      </c>
      <c r="H118" s="96"/>
    </row>
    <row r="119" spans="1:47" ht="12.75" hidden="1" customHeight="1" x14ac:dyDescent="0.2">
      <c r="A119" s="142"/>
      <c r="B119" s="143" t="s">
        <v>121</v>
      </c>
      <c r="C119" s="132">
        <v>50000</v>
      </c>
      <c r="D119" s="132">
        <v>50000</v>
      </c>
      <c r="E119" s="121">
        <v>50000</v>
      </c>
      <c r="F119" s="121">
        <v>75300</v>
      </c>
      <c r="G119" s="122">
        <v>50000</v>
      </c>
      <c r="H119" s="96"/>
    </row>
    <row r="120" spans="1:47" ht="12.75" hidden="1" customHeight="1" x14ac:dyDescent="0.2">
      <c r="A120" s="142"/>
      <c r="B120" s="143" t="s">
        <v>122</v>
      </c>
      <c r="C120" s="132">
        <v>2600000</v>
      </c>
      <c r="D120" s="132">
        <v>2600000</v>
      </c>
      <c r="E120" s="121">
        <v>1800000</v>
      </c>
      <c r="F120" s="121">
        <v>1189645</v>
      </c>
      <c r="G120" s="122">
        <v>2000000</v>
      </c>
      <c r="H120" s="96"/>
    </row>
    <row r="121" spans="1:47" ht="12.75" hidden="1" customHeight="1" x14ac:dyDescent="0.2">
      <c r="A121" s="142"/>
      <c r="B121" s="143" t="s">
        <v>123</v>
      </c>
      <c r="C121" s="132">
        <v>11500000</v>
      </c>
      <c r="D121" s="132">
        <v>6500000</v>
      </c>
      <c r="E121" s="121">
        <v>7000000</v>
      </c>
      <c r="F121" s="121">
        <v>3920133</v>
      </c>
      <c r="G121" s="122">
        <v>8000000</v>
      </c>
      <c r="H121" s="96"/>
    </row>
    <row r="122" spans="1:47" ht="12.75" hidden="1" customHeight="1" x14ac:dyDescent="0.2">
      <c r="A122" s="142"/>
      <c r="B122" s="143" t="s">
        <v>124</v>
      </c>
      <c r="C122" s="132">
        <v>0</v>
      </c>
      <c r="D122" s="132">
        <v>0</v>
      </c>
      <c r="E122" s="121">
        <v>183943.8</v>
      </c>
      <c r="F122" s="121">
        <v>183943.8</v>
      </c>
      <c r="G122" s="122">
        <v>0</v>
      </c>
      <c r="H122" s="96"/>
    </row>
    <row r="123" spans="1:47" ht="12.75" hidden="1" customHeight="1" x14ac:dyDescent="0.2">
      <c r="A123" s="142"/>
      <c r="B123" s="143" t="s">
        <v>125</v>
      </c>
      <c r="C123" s="132">
        <v>0</v>
      </c>
      <c r="D123" s="132">
        <v>0</v>
      </c>
      <c r="E123" s="121">
        <v>3726.8</v>
      </c>
      <c r="F123" s="121">
        <v>3726.8</v>
      </c>
      <c r="G123" s="122">
        <v>0</v>
      </c>
      <c r="H123" s="96"/>
    </row>
    <row r="124" spans="1:47" ht="12.75" hidden="1" customHeight="1" x14ac:dyDescent="0.2">
      <c r="A124" s="142"/>
      <c r="B124" s="143" t="s">
        <v>126</v>
      </c>
      <c r="C124" s="132">
        <v>0</v>
      </c>
      <c r="D124" s="127">
        <v>0</v>
      </c>
      <c r="E124" s="127">
        <v>10000</v>
      </c>
      <c r="F124" s="127">
        <v>0</v>
      </c>
      <c r="G124" s="162">
        <v>0</v>
      </c>
      <c r="H124" s="96"/>
    </row>
    <row r="125" spans="1:47" ht="12.75" hidden="1" customHeight="1" x14ac:dyDescent="0.2">
      <c r="A125" s="142"/>
      <c r="B125" s="143" t="s">
        <v>127</v>
      </c>
      <c r="C125" s="132">
        <v>650000</v>
      </c>
      <c r="D125" s="132">
        <v>550000</v>
      </c>
      <c r="E125" s="121">
        <v>550000</v>
      </c>
      <c r="F125" s="121">
        <v>274358</v>
      </c>
      <c r="G125" s="122">
        <v>650000</v>
      </c>
      <c r="H125" s="96"/>
    </row>
    <row r="126" spans="1:47" ht="12.75" hidden="1" customHeight="1" x14ac:dyDescent="0.2">
      <c r="A126" s="142"/>
      <c r="B126" s="143" t="s">
        <v>128</v>
      </c>
      <c r="C126" s="132">
        <v>350000</v>
      </c>
      <c r="D126" s="132">
        <v>350000</v>
      </c>
      <c r="E126" s="121">
        <v>350000</v>
      </c>
      <c r="F126" s="121">
        <v>231991</v>
      </c>
      <c r="G126" s="122">
        <v>350000</v>
      </c>
      <c r="H126" s="96"/>
    </row>
    <row r="127" spans="1:47" s="146" customFormat="1" ht="12.75" hidden="1" customHeight="1" x14ac:dyDescent="0.2">
      <c r="A127" s="139"/>
      <c r="B127" s="140" t="s">
        <v>129</v>
      </c>
      <c r="C127" s="170">
        <v>100000</v>
      </c>
      <c r="D127" s="170">
        <v>70000</v>
      </c>
      <c r="E127" s="127">
        <v>65000</v>
      </c>
      <c r="F127" s="127">
        <v>51850</v>
      </c>
      <c r="G127" s="162">
        <v>65000</v>
      </c>
      <c r="H127" s="9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row>
    <row r="128" spans="1:47" s="116" customFormat="1" ht="12.75" hidden="1" customHeight="1" x14ac:dyDescent="0.2">
      <c r="A128" s="161">
        <v>2222</v>
      </c>
      <c r="B128" s="165" t="s">
        <v>130</v>
      </c>
      <c r="C128" s="166">
        <v>0</v>
      </c>
      <c r="D128" s="166">
        <v>18066.169999999998</v>
      </c>
      <c r="E128" s="166">
        <v>18066.169999999998</v>
      </c>
      <c r="F128" s="166">
        <v>18066.169999999998</v>
      </c>
      <c r="G128" s="111">
        <v>0</v>
      </c>
      <c r="H128" s="96"/>
    </row>
    <row r="129" spans="1:14" s="12" customFormat="1" ht="12.75" hidden="1" customHeight="1" x14ac:dyDescent="0.2">
      <c r="A129" s="123">
        <v>2229</v>
      </c>
      <c r="B129" s="137" t="s">
        <v>131</v>
      </c>
      <c r="C129" s="171">
        <f>SUM(C130:C141)</f>
        <v>0</v>
      </c>
      <c r="D129" s="171">
        <f>SUM(D130:D141)</f>
        <v>664078.59000000008</v>
      </c>
      <c r="E129" s="171">
        <f>SUM(E130:E141)</f>
        <v>755988.00000000012</v>
      </c>
      <c r="F129" s="171">
        <f>SUM(F130:F141)</f>
        <v>755988.00000000012</v>
      </c>
      <c r="G129" s="171">
        <f>SUM(G130:G141)</f>
        <v>0</v>
      </c>
      <c r="H129" s="172"/>
      <c r="N129" s="173"/>
    </row>
    <row r="130" spans="1:14" s="12" customFormat="1" ht="12.75" hidden="1" customHeight="1" x14ac:dyDescent="0.2">
      <c r="A130" s="140"/>
      <c r="B130" s="140" t="s">
        <v>132</v>
      </c>
      <c r="C130" s="174">
        <v>0</v>
      </c>
      <c r="D130" s="174">
        <v>452562.59</v>
      </c>
      <c r="E130" s="174">
        <v>452562.59</v>
      </c>
      <c r="F130" s="174">
        <v>452562.59</v>
      </c>
      <c r="G130" s="122">
        <v>0</v>
      </c>
      <c r="H130" s="172"/>
      <c r="N130" s="173"/>
    </row>
    <row r="131" spans="1:14" s="12" customFormat="1" ht="12.75" hidden="1" customHeight="1" x14ac:dyDescent="0.2">
      <c r="A131" s="140"/>
      <c r="B131" s="140" t="s">
        <v>133</v>
      </c>
      <c r="C131" s="174">
        <v>0</v>
      </c>
      <c r="D131" s="174">
        <v>7004</v>
      </c>
      <c r="E131" s="174">
        <v>7004</v>
      </c>
      <c r="F131" s="175">
        <v>7004</v>
      </c>
      <c r="G131" s="122">
        <v>0</v>
      </c>
      <c r="H131" s="172"/>
      <c r="N131" s="173"/>
    </row>
    <row r="132" spans="1:14" ht="12.75" hidden="1" customHeight="1" x14ac:dyDescent="0.2">
      <c r="A132" s="120"/>
      <c r="B132" s="120" t="s">
        <v>134</v>
      </c>
      <c r="C132" s="176">
        <v>0</v>
      </c>
      <c r="D132" s="176">
        <v>204512</v>
      </c>
      <c r="E132" s="177">
        <v>296297</v>
      </c>
      <c r="F132" s="177">
        <v>296297</v>
      </c>
      <c r="G132" s="122">
        <v>0</v>
      </c>
      <c r="H132" s="178"/>
      <c r="N132" s="179"/>
    </row>
    <row r="133" spans="1:14" s="12" customFormat="1" ht="12.75" hidden="1" customHeight="1" x14ac:dyDescent="0.2">
      <c r="A133" s="140"/>
      <c r="B133" s="140" t="s">
        <v>135</v>
      </c>
      <c r="C133" s="174">
        <v>0</v>
      </c>
      <c r="D133" s="174"/>
      <c r="E133" s="174"/>
      <c r="F133" s="175"/>
      <c r="G133" s="122">
        <v>0</v>
      </c>
      <c r="H133" s="172"/>
      <c r="N133" s="173"/>
    </row>
    <row r="134" spans="1:14" s="12" customFormat="1" ht="12.75" hidden="1" customHeight="1" x14ac:dyDescent="0.2">
      <c r="A134" s="140"/>
      <c r="B134" s="140" t="s">
        <v>136</v>
      </c>
      <c r="C134" s="174">
        <v>0</v>
      </c>
      <c r="D134" s="174"/>
      <c r="E134" s="174"/>
      <c r="F134" s="175"/>
      <c r="G134" s="122">
        <v>0</v>
      </c>
      <c r="H134" s="172"/>
      <c r="N134" s="173"/>
    </row>
    <row r="135" spans="1:14" s="12" customFormat="1" ht="12.75" hidden="1" customHeight="1" x14ac:dyDescent="0.2">
      <c r="A135" s="140"/>
      <c r="B135" s="140" t="s">
        <v>137</v>
      </c>
      <c r="C135" s="174">
        <v>0</v>
      </c>
      <c r="D135" s="174"/>
      <c r="E135" s="174"/>
      <c r="F135" s="175"/>
      <c r="G135" s="122">
        <v>0</v>
      </c>
      <c r="H135" s="172"/>
      <c r="N135" s="173"/>
    </row>
    <row r="136" spans="1:14" s="12" customFormat="1" ht="12.75" hidden="1" customHeight="1" x14ac:dyDescent="0.2">
      <c r="A136" s="140"/>
      <c r="B136" s="140" t="s">
        <v>138</v>
      </c>
      <c r="C136" s="174">
        <v>0</v>
      </c>
      <c r="D136" s="174"/>
      <c r="E136" s="174"/>
      <c r="F136" s="175"/>
      <c r="G136" s="122">
        <v>0</v>
      </c>
      <c r="H136" s="172"/>
      <c r="N136" s="173"/>
    </row>
    <row r="137" spans="1:14" s="12" customFormat="1" ht="12.75" hidden="1" customHeight="1" x14ac:dyDescent="0.2">
      <c r="A137" s="140"/>
      <c r="B137" s="140" t="s">
        <v>139</v>
      </c>
      <c r="C137" s="174">
        <v>0</v>
      </c>
      <c r="D137" s="174"/>
      <c r="E137" s="174"/>
      <c r="F137" s="175"/>
      <c r="G137" s="122">
        <v>0</v>
      </c>
      <c r="H137" s="172"/>
      <c r="N137" s="173"/>
    </row>
    <row r="138" spans="1:14" ht="12.75" hidden="1" customHeight="1" x14ac:dyDescent="0.2">
      <c r="A138" s="120"/>
      <c r="B138" s="120" t="s">
        <v>140</v>
      </c>
      <c r="C138" s="176">
        <v>0</v>
      </c>
      <c r="D138" s="176"/>
      <c r="E138" s="176"/>
      <c r="F138" s="177"/>
      <c r="G138" s="122">
        <v>0</v>
      </c>
      <c r="H138" s="178"/>
      <c r="N138" s="179"/>
    </row>
    <row r="139" spans="1:14" ht="12.75" hidden="1" customHeight="1" x14ac:dyDescent="0.2">
      <c r="A139" s="120"/>
      <c r="B139" s="120" t="s">
        <v>141</v>
      </c>
      <c r="C139" s="176">
        <v>0</v>
      </c>
      <c r="D139" s="176"/>
      <c r="E139" s="176"/>
      <c r="F139" s="177"/>
      <c r="G139" s="122">
        <v>0</v>
      </c>
      <c r="H139" s="178"/>
      <c r="N139" s="179"/>
    </row>
    <row r="140" spans="1:14" ht="12.75" hidden="1" customHeight="1" x14ac:dyDescent="0.2">
      <c r="A140" s="120"/>
      <c r="B140" s="120" t="s">
        <v>142</v>
      </c>
      <c r="C140" s="176">
        <v>0</v>
      </c>
      <c r="D140" s="176"/>
      <c r="E140" s="176"/>
      <c r="F140" s="177"/>
      <c r="G140" s="122">
        <v>0</v>
      </c>
      <c r="H140" s="178"/>
      <c r="N140" s="179"/>
    </row>
    <row r="141" spans="1:14" ht="12.75" hidden="1" customHeight="1" x14ac:dyDescent="0.2">
      <c r="A141" s="120"/>
      <c r="B141" s="120" t="s">
        <v>143</v>
      </c>
      <c r="C141" s="176">
        <v>0</v>
      </c>
      <c r="D141" s="176">
        <v>0</v>
      </c>
      <c r="E141" s="177">
        <v>124.41</v>
      </c>
      <c r="F141" s="177">
        <v>124.41</v>
      </c>
      <c r="G141" s="122">
        <v>0</v>
      </c>
      <c r="H141" s="178"/>
      <c r="N141" s="179"/>
    </row>
    <row r="142" spans="1:14" ht="12.75" hidden="1" customHeight="1" x14ac:dyDescent="0.2">
      <c r="A142" s="161">
        <v>2310</v>
      </c>
      <c r="B142" s="165" t="s">
        <v>144</v>
      </c>
      <c r="C142" s="166">
        <v>0</v>
      </c>
      <c r="D142" s="166">
        <v>0</v>
      </c>
      <c r="E142" s="115">
        <v>1746</v>
      </c>
      <c r="F142" s="180">
        <v>1746</v>
      </c>
      <c r="G142" s="111">
        <v>0</v>
      </c>
      <c r="H142" s="96"/>
    </row>
    <row r="143" spans="1:14" ht="12.75" hidden="1" customHeight="1" x14ac:dyDescent="0.2">
      <c r="A143" s="161">
        <v>2321</v>
      </c>
      <c r="B143" s="165" t="s">
        <v>145</v>
      </c>
      <c r="C143" s="166">
        <v>100000</v>
      </c>
      <c r="D143" s="181">
        <v>107200</v>
      </c>
      <c r="E143" s="115">
        <v>107200</v>
      </c>
      <c r="F143" s="180">
        <v>57200</v>
      </c>
      <c r="G143" s="111">
        <v>100000</v>
      </c>
      <c r="H143" s="96"/>
    </row>
    <row r="144" spans="1:14" ht="12.75" hidden="1" customHeight="1" x14ac:dyDescent="0.2">
      <c r="A144" s="161">
        <v>2322</v>
      </c>
      <c r="B144" s="165" t="s">
        <v>146</v>
      </c>
      <c r="C144" s="166">
        <v>250000</v>
      </c>
      <c r="D144" s="166">
        <v>250000</v>
      </c>
      <c r="E144" s="115">
        <f>67694.39+78579</f>
        <v>146273.39000000001</v>
      </c>
      <c r="F144" s="115">
        <f>67694.39+78579</f>
        <v>146273.39000000001</v>
      </c>
      <c r="G144" s="111">
        <v>0</v>
      </c>
      <c r="H144" s="96"/>
    </row>
    <row r="145" spans="1:8" s="116" customFormat="1" ht="12.75" hidden="1" customHeight="1" x14ac:dyDescent="0.2">
      <c r="A145" s="161">
        <v>2324</v>
      </c>
      <c r="B145" s="165" t="s">
        <v>147</v>
      </c>
      <c r="C145" s="166">
        <f>SUM(C146:C161)</f>
        <v>3510000</v>
      </c>
      <c r="D145" s="166">
        <f>SUM(D146:D161)</f>
        <v>3158112</v>
      </c>
      <c r="E145" s="166">
        <f>SUM(E146:E161)</f>
        <v>2960288.7800000003</v>
      </c>
      <c r="F145" s="166">
        <f>SUM(F146:F161)</f>
        <v>2184399.1100000003</v>
      </c>
      <c r="G145" s="166">
        <f>SUM(G146:G161)</f>
        <v>3211000</v>
      </c>
      <c r="H145" s="96"/>
    </row>
    <row r="146" spans="1:8" s="116" customFormat="1" ht="12.75" hidden="1" customHeight="1" x14ac:dyDescent="0.2">
      <c r="A146" s="161"/>
      <c r="B146" s="182" t="s">
        <v>148</v>
      </c>
      <c r="C146" s="132">
        <v>5000</v>
      </c>
      <c r="D146" s="132">
        <v>5000</v>
      </c>
      <c r="E146" s="121">
        <v>8000</v>
      </c>
      <c r="F146" s="121">
        <v>6393</v>
      </c>
      <c r="G146" s="122">
        <v>8000</v>
      </c>
      <c r="H146" s="96"/>
    </row>
    <row r="147" spans="1:8" s="116" customFormat="1" ht="12.75" hidden="1" customHeight="1" x14ac:dyDescent="0.2">
      <c r="A147" s="161"/>
      <c r="B147" s="182" t="s">
        <v>121</v>
      </c>
      <c r="C147" s="132">
        <v>30000</v>
      </c>
      <c r="D147" s="132">
        <v>30000</v>
      </c>
      <c r="E147" s="121">
        <v>30000</v>
      </c>
      <c r="F147" s="121">
        <v>28300</v>
      </c>
      <c r="G147" s="122">
        <v>30000</v>
      </c>
      <c r="H147" s="96"/>
    </row>
    <row r="148" spans="1:8" s="116" customFormat="1" ht="12.75" hidden="1" customHeight="1" x14ac:dyDescent="0.2">
      <c r="A148" s="161"/>
      <c r="B148" s="182" t="s">
        <v>149</v>
      </c>
      <c r="C148" s="132">
        <v>300000</v>
      </c>
      <c r="D148" s="132">
        <v>300000</v>
      </c>
      <c r="E148" s="183">
        <v>225000</v>
      </c>
      <c r="F148" s="183">
        <v>145163</v>
      </c>
      <c r="G148" s="122">
        <v>250000</v>
      </c>
      <c r="H148" s="96"/>
    </row>
    <row r="149" spans="1:8" s="116" customFormat="1" ht="12.75" hidden="1" customHeight="1" x14ac:dyDescent="0.2">
      <c r="A149" s="161"/>
      <c r="B149" s="182" t="s">
        <v>150</v>
      </c>
      <c r="C149" s="132">
        <v>400000</v>
      </c>
      <c r="D149" s="132">
        <v>400000</v>
      </c>
      <c r="E149" s="121">
        <v>253688.78</v>
      </c>
      <c r="F149" s="121">
        <v>253688.78</v>
      </c>
      <c r="G149" s="122">
        <v>200000</v>
      </c>
      <c r="H149" s="178"/>
    </row>
    <row r="150" spans="1:8" s="116" customFormat="1" ht="12.75" hidden="1" customHeight="1" x14ac:dyDescent="0.2">
      <c r="A150" s="161"/>
      <c r="B150" s="182" t="s">
        <v>151</v>
      </c>
      <c r="C150" s="132">
        <v>20000</v>
      </c>
      <c r="D150" s="132">
        <v>0</v>
      </c>
      <c r="E150" s="176">
        <v>6000</v>
      </c>
      <c r="F150" s="177">
        <f>3847.98+6384.85</f>
        <v>10232.83</v>
      </c>
      <c r="G150" s="122">
        <v>10000</v>
      </c>
      <c r="H150" s="178"/>
    </row>
    <row r="151" spans="1:8" ht="12.75" hidden="1" customHeight="1" x14ac:dyDescent="0.2">
      <c r="A151" s="184"/>
      <c r="B151" s="185" t="s">
        <v>152</v>
      </c>
      <c r="C151" s="132">
        <v>0</v>
      </c>
      <c r="D151" s="132">
        <v>17512</v>
      </c>
      <c r="E151" s="176">
        <v>0</v>
      </c>
      <c r="F151" s="177">
        <v>18269</v>
      </c>
      <c r="G151" s="122">
        <v>0</v>
      </c>
      <c r="H151" s="178"/>
    </row>
    <row r="152" spans="1:8" ht="12.75" hidden="1" customHeight="1" x14ac:dyDescent="0.2">
      <c r="A152" s="184"/>
      <c r="B152" s="185" t="s">
        <v>153</v>
      </c>
      <c r="C152" s="132">
        <v>0</v>
      </c>
      <c r="D152" s="132">
        <v>300000</v>
      </c>
      <c r="E152" s="132">
        <v>300000</v>
      </c>
      <c r="F152" s="132">
        <v>300000</v>
      </c>
      <c r="G152" s="122">
        <v>0</v>
      </c>
      <c r="H152" s="178"/>
    </row>
    <row r="153" spans="1:8" ht="12.75" hidden="1" customHeight="1" x14ac:dyDescent="0.2">
      <c r="A153" s="184"/>
      <c r="B153" s="185" t="s">
        <v>154</v>
      </c>
      <c r="C153" s="132">
        <v>0</v>
      </c>
      <c r="D153" s="132">
        <v>50600</v>
      </c>
      <c r="E153" s="132">
        <v>50600</v>
      </c>
      <c r="F153" s="132">
        <v>50600</v>
      </c>
      <c r="G153" s="122">
        <v>50000</v>
      </c>
      <c r="H153" s="178"/>
    </row>
    <row r="154" spans="1:8" s="186" customFormat="1" ht="12.75" hidden="1" customHeight="1" x14ac:dyDescent="0.2">
      <c r="A154" s="142"/>
      <c r="B154" s="143" t="s">
        <v>155</v>
      </c>
      <c r="C154" s="127">
        <v>2000000</v>
      </c>
      <c r="D154" s="127">
        <v>2000000</v>
      </c>
      <c r="E154" s="174">
        <v>2000000</v>
      </c>
      <c r="F154" s="175">
        <v>1303484.5</v>
      </c>
      <c r="G154" s="162">
        <v>2000000</v>
      </c>
      <c r="H154" s="178"/>
    </row>
    <row r="155" spans="1:8" s="186" customFormat="1" ht="12.75" hidden="1" customHeight="1" x14ac:dyDescent="0.2">
      <c r="A155" s="142"/>
      <c r="B155" s="143" t="s">
        <v>156</v>
      </c>
      <c r="C155" s="127">
        <v>0</v>
      </c>
      <c r="D155" s="127"/>
      <c r="E155" s="174"/>
      <c r="F155" s="175"/>
      <c r="G155" s="162">
        <v>0</v>
      </c>
      <c r="H155" s="178"/>
    </row>
    <row r="156" spans="1:8" s="186" customFormat="1" ht="12.75" hidden="1" customHeight="1" x14ac:dyDescent="0.2">
      <c r="A156" s="142"/>
      <c r="B156" s="143" t="s">
        <v>157</v>
      </c>
      <c r="C156" s="132">
        <v>0</v>
      </c>
      <c r="D156" s="132"/>
      <c r="E156" s="176"/>
      <c r="F156" s="177"/>
      <c r="G156" s="122">
        <v>0</v>
      </c>
      <c r="H156" s="178"/>
    </row>
    <row r="157" spans="1:8" s="186" customFormat="1" ht="12.75" hidden="1" customHeight="1" x14ac:dyDescent="0.2">
      <c r="A157" s="142"/>
      <c r="B157" s="143" t="s">
        <v>158</v>
      </c>
      <c r="C157" s="132">
        <v>5000</v>
      </c>
      <c r="D157" s="132">
        <v>5000</v>
      </c>
      <c r="E157" s="176">
        <v>2000</v>
      </c>
      <c r="F157" s="177">
        <v>783</v>
      </c>
      <c r="G157" s="122">
        <v>3000</v>
      </c>
      <c r="H157" s="178"/>
    </row>
    <row r="158" spans="1:8" s="186" customFormat="1" ht="12.75" hidden="1" customHeight="1" x14ac:dyDescent="0.2">
      <c r="A158" s="142"/>
      <c r="B158" s="143" t="s">
        <v>159</v>
      </c>
      <c r="C158" s="132">
        <v>50000</v>
      </c>
      <c r="D158" s="132">
        <v>50000</v>
      </c>
      <c r="E158" s="176">
        <v>85000</v>
      </c>
      <c r="F158" s="177">
        <v>67485</v>
      </c>
      <c r="G158" s="122">
        <v>70000</v>
      </c>
      <c r="H158" s="178"/>
    </row>
    <row r="159" spans="1:8" s="186" customFormat="1" ht="12.75" hidden="1" customHeight="1" x14ac:dyDescent="0.2">
      <c r="A159" s="142"/>
      <c r="B159" s="143" t="s">
        <v>160</v>
      </c>
      <c r="C159" s="132">
        <v>0</v>
      </c>
      <c r="D159" s="132"/>
      <c r="E159" s="176"/>
      <c r="F159" s="177"/>
      <c r="G159" s="122">
        <v>0</v>
      </c>
      <c r="H159" s="178"/>
    </row>
    <row r="160" spans="1:8" s="186" customFormat="1" ht="12.75" hidden="1" customHeight="1" x14ac:dyDescent="0.2">
      <c r="A160" s="142"/>
      <c r="B160" s="143" t="s">
        <v>161</v>
      </c>
      <c r="C160" s="132">
        <v>50000</v>
      </c>
      <c r="D160" s="132"/>
      <c r="E160" s="176"/>
      <c r="F160" s="177"/>
      <c r="G160" s="122">
        <v>0</v>
      </c>
      <c r="H160" s="178"/>
    </row>
    <row r="161" spans="1:14" s="186" customFormat="1" ht="12.75" hidden="1" customHeight="1" x14ac:dyDescent="0.2">
      <c r="A161" s="142"/>
      <c r="B161" s="143" t="s">
        <v>162</v>
      </c>
      <c r="C161" s="127">
        <v>650000</v>
      </c>
      <c r="D161" s="127">
        <v>0</v>
      </c>
      <c r="E161" s="174">
        <v>0</v>
      </c>
      <c r="F161" s="175">
        <v>0</v>
      </c>
      <c r="G161" s="162">
        <v>590000</v>
      </c>
      <c r="H161" s="178"/>
    </row>
    <row r="162" spans="1:14" ht="12.75" hidden="1" customHeight="1" x14ac:dyDescent="0.2">
      <c r="A162" s="161">
        <v>2328</v>
      </c>
      <c r="B162" s="165" t="s">
        <v>163</v>
      </c>
      <c r="C162" s="166">
        <v>0</v>
      </c>
      <c r="D162" s="166"/>
      <c r="E162" s="115"/>
      <c r="F162" s="115"/>
      <c r="G162" s="111">
        <v>0</v>
      </c>
      <c r="H162" s="96"/>
    </row>
    <row r="163" spans="1:14" s="116" customFormat="1" ht="12.75" hidden="1" customHeight="1" x14ac:dyDescent="0.2">
      <c r="A163" s="161">
        <v>2329</v>
      </c>
      <c r="B163" s="165" t="s">
        <v>164</v>
      </c>
      <c r="C163" s="166">
        <f>SUM(C164:C174)</f>
        <v>360000</v>
      </c>
      <c r="D163" s="166">
        <f>SUM(D164:D174)</f>
        <v>682076.7</v>
      </c>
      <c r="E163" s="166">
        <f>SUM(E164:E174)</f>
        <v>775453.79</v>
      </c>
      <c r="F163" s="166">
        <f>SUM(F164:F174)</f>
        <v>671820.98</v>
      </c>
      <c r="G163" s="166">
        <f>SUM(G164:G174)</f>
        <v>360000</v>
      </c>
      <c r="H163" s="178"/>
    </row>
    <row r="164" spans="1:14" s="116" customFormat="1" ht="12.75" hidden="1" customHeight="1" x14ac:dyDescent="0.2">
      <c r="A164" s="112"/>
      <c r="B164" s="187" t="s">
        <v>165</v>
      </c>
      <c r="C164" s="121">
        <v>0</v>
      </c>
      <c r="D164" s="121">
        <v>181121</v>
      </c>
      <c r="E164" s="121">
        <v>181121</v>
      </c>
      <c r="F164" s="121">
        <v>181121</v>
      </c>
      <c r="G164" s="122">
        <v>0</v>
      </c>
      <c r="H164" s="96"/>
      <c r="N164" s="179"/>
    </row>
    <row r="165" spans="1:14" ht="12.75" hidden="1" customHeight="1" x14ac:dyDescent="0.2">
      <c r="A165" s="142"/>
      <c r="B165" s="143" t="s">
        <v>166</v>
      </c>
      <c r="C165" s="132">
        <v>5000</v>
      </c>
      <c r="D165" s="132"/>
      <c r="E165" s="176"/>
      <c r="F165" s="177"/>
      <c r="G165" s="122">
        <v>0</v>
      </c>
      <c r="H165" s="178"/>
    </row>
    <row r="166" spans="1:14" ht="12.75" hidden="1" customHeight="1" x14ac:dyDescent="0.2">
      <c r="A166" s="142"/>
      <c r="B166" s="143" t="s">
        <v>167</v>
      </c>
      <c r="C166" s="132">
        <v>0</v>
      </c>
      <c r="D166" s="132">
        <v>145955.70000000001</v>
      </c>
      <c r="E166" s="176">
        <v>148964.69</v>
      </c>
      <c r="F166" s="176">
        <v>148964.69</v>
      </c>
      <c r="G166" s="122">
        <v>0</v>
      </c>
      <c r="H166" s="178"/>
    </row>
    <row r="167" spans="1:14" ht="12.75" hidden="1" customHeight="1" x14ac:dyDescent="0.2">
      <c r="A167" s="142"/>
      <c r="B167" s="143" t="s">
        <v>168</v>
      </c>
      <c r="C167" s="132">
        <v>0</v>
      </c>
      <c r="D167" s="132">
        <v>0</v>
      </c>
      <c r="E167" s="176">
        <v>57446.6</v>
      </c>
      <c r="F167" s="176">
        <v>57446.6</v>
      </c>
      <c r="G167" s="122">
        <v>0</v>
      </c>
      <c r="H167" s="178"/>
    </row>
    <row r="168" spans="1:14" ht="12.75" hidden="1" customHeight="1" x14ac:dyDescent="0.2">
      <c r="A168" s="142"/>
      <c r="B168" s="143" t="s">
        <v>169</v>
      </c>
      <c r="C168" s="132">
        <v>270000</v>
      </c>
      <c r="D168" s="132">
        <v>270000</v>
      </c>
      <c r="E168" s="176">
        <v>270000</v>
      </c>
      <c r="F168" s="177">
        <v>190060</v>
      </c>
      <c r="G168" s="122">
        <v>270000</v>
      </c>
      <c r="H168" s="178"/>
    </row>
    <row r="169" spans="1:14" ht="12.75" hidden="1" customHeight="1" x14ac:dyDescent="0.2">
      <c r="A169" s="142"/>
      <c r="B169" s="143" t="s">
        <v>170</v>
      </c>
      <c r="C169" s="132">
        <v>45000</v>
      </c>
      <c r="D169" s="132">
        <v>45000</v>
      </c>
      <c r="E169" s="176">
        <v>74865</v>
      </c>
      <c r="F169" s="177">
        <v>62807.19</v>
      </c>
      <c r="G169" s="122">
        <v>50000</v>
      </c>
      <c r="H169" s="178"/>
    </row>
    <row r="170" spans="1:14" ht="12.75" hidden="1" customHeight="1" x14ac:dyDescent="0.2">
      <c r="A170" s="142"/>
      <c r="B170" s="143" t="s">
        <v>171</v>
      </c>
      <c r="C170" s="132">
        <v>40000</v>
      </c>
      <c r="D170" s="132">
        <v>40000</v>
      </c>
      <c r="E170" s="176">
        <v>40000</v>
      </c>
      <c r="F170" s="188">
        <v>28365</v>
      </c>
      <c r="G170" s="122">
        <v>40000</v>
      </c>
      <c r="H170" s="172"/>
    </row>
    <row r="171" spans="1:14" ht="12.75" hidden="1" customHeight="1" x14ac:dyDescent="0.2">
      <c r="A171" s="142"/>
      <c r="B171" s="143" t="s">
        <v>172</v>
      </c>
      <c r="C171" s="132">
        <v>0</v>
      </c>
      <c r="D171" s="132">
        <v>0</v>
      </c>
      <c r="E171" s="176">
        <v>3056.5</v>
      </c>
      <c r="F171" s="176">
        <v>3056.5</v>
      </c>
      <c r="G171" s="122">
        <v>0</v>
      </c>
      <c r="H171" s="172"/>
    </row>
    <row r="172" spans="1:14" ht="12.75" hidden="1" customHeight="1" x14ac:dyDescent="0.2">
      <c r="A172" s="142"/>
      <c r="B172" s="143" t="s">
        <v>173</v>
      </c>
      <c r="C172" s="132">
        <v>0</v>
      </c>
      <c r="D172" s="132"/>
      <c r="E172" s="176"/>
      <c r="F172" s="188"/>
      <c r="G172" s="122">
        <v>0</v>
      </c>
      <c r="H172" s="172"/>
    </row>
    <row r="173" spans="1:14" ht="12.75" hidden="1" customHeight="1" x14ac:dyDescent="0.2">
      <c r="A173" s="142"/>
      <c r="B173" s="143" t="s">
        <v>174</v>
      </c>
      <c r="C173" s="132">
        <v>0</v>
      </c>
      <c r="D173" s="132"/>
      <c r="E173" s="176"/>
      <c r="F173" s="188"/>
      <c r="G173" s="122">
        <v>0</v>
      </c>
      <c r="H173" s="172"/>
    </row>
    <row r="174" spans="1:14" ht="12.75" hidden="1" customHeight="1" x14ac:dyDescent="0.2">
      <c r="A174" s="142"/>
      <c r="B174" s="143" t="s">
        <v>175</v>
      </c>
      <c r="C174" s="132">
        <v>0</v>
      </c>
      <c r="D174" s="132"/>
      <c r="E174" s="176"/>
      <c r="F174" s="188"/>
      <c r="G174" s="122">
        <v>0</v>
      </c>
      <c r="H174" s="172"/>
    </row>
    <row r="175" spans="1:14" ht="24.75" hidden="1" customHeight="1" x14ac:dyDescent="0.2">
      <c r="A175" s="161">
        <v>2411</v>
      </c>
      <c r="B175" s="167" t="s">
        <v>176</v>
      </c>
      <c r="C175" s="166">
        <v>0</v>
      </c>
      <c r="D175" s="166">
        <v>300000</v>
      </c>
      <c r="E175" s="115">
        <v>300000</v>
      </c>
      <c r="F175" s="115">
        <v>300000</v>
      </c>
      <c r="G175" s="111">
        <v>0</v>
      </c>
      <c r="H175" s="118"/>
    </row>
    <row r="176" spans="1:14" ht="12.75" hidden="1" customHeight="1" x14ac:dyDescent="0.2">
      <c r="A176" s="189"/>
      <c r="B176" s="190"/>
      <c r="C176" s="191"/>
      <c r="D176" s="191"/>
      <c r="E176" s="192"/>
      <c r="F176" s="193"/>
      <c r="G176" s="194"/>
      <c r="H176" s="178"/>
    </row>
    <row r="177" spans="1:8" s="116" customFormat="1" ht="18.75" hidden="1" customHeight="1" x14ac:dyDescent="0.25">
      <c r="A177" s="195"/>
      <c r="B177" s="196" t="s">
        <v>11</v>
      </c>
      <c r="C177" s="197">
        <f>SUM(C178,C179,C188:C192)</f>
        <v>52475517</v>
      </c>
      <c r="D177" s="197">
        <f>SUM(D178,D179,D188:D192)</f>
        <v>52226112.700000003</v>
      </c>
      <c r="E177" s="197">
        <f>SUM(E178,E179,E188:E192)</f>
        <v>23220062.699999999</v>
      </c>
      <c r="F177" s="197">
        <f>SUM(F178,F179,F188:F192)</f>
        <v>15702229.899999999</v>
      </c>
      <c r="G177" s="197">
        <f>SUM(G178,G179,G188:G192)</f>
        <v>109511899.31</v>
      </c>
      <c r="H177" s="178"/>
    </row>
    <row r="178" spans="1:8" s="116" customFormat="1" ht="25.5" hidden="1" x14ac:dyDescent="0.2">
      <c r="A178" s="158">
        <v>3111</v>
      </c>
      <c r="B178" s="198" t="s">
        <v>177</v>
      </c>
      <c r="C178" s="160">
        <v>37500000</v>
      </c>
      <c r="D178" s="160">
        <v>37500000</v>
      </c>
      <c r="E178" s="199">
        <v>7950000</v>
      </c>
      <c r="F178" s="200">
        <v>582367.19999999995</v>
      </c>
      <c r="G178" s="201">
        <f>(5.95+3.9+44.064+14.478+0.8+1.8+0.4+2.5)*1000000</f>
        <v>73892000</v>
      </c>
      <c r="H178" s="96"/>
    </row>
    <row r="179" spans="1:8" s="116" customFormat="1" ht="12.75" hidden="1" customHeight="1" x14ac:dyDescent="0.2">
      <c r="A179" s="161">
        <v>3112</v>
      </c>
      <c r="B179" s="161" t="s">
        <v>178</v>
      </c>
      <c r="C179" s="166">
        <f>SUM(C180:C187)</f>
        <v>10708739</v>
      </c>
      <c r="D179" s="166">
        <f>SUM(D180:D187)</f>
        <v>1875000</v>
      </c>
      <c r="E179" s="202">
        <f>SUM(E180:E187)</f>
        <v>2418950</v>
      </c>
      <c r="F179" s="203">
        <f>SUM(F180:F187)</f>
        <v>2268750</v>
      </c>
      <c r="G179" s="166">
        <f>SUM(G180:G187)</f>
        <v>19516800</v>
      </c>
      <c r="H179" s="96"/>
    </row>
    <row r="180" spans="1:8" s="116" customFormat="1" ht="12.75" hidden="1" customHeight="1" x14ac:dyDescent="0.2">
      <c r="A180" s="161"/>
      <c r="B180" s="204" t="s">
        <v>179</v>
      </c>
      <c r="C180" s="132">
        <v>2342000</v>
      </c>
      <c r="D180" s="132"/>
      <c r="E180" s="205">
        <v>0</v>
      </c>
      <c r="F180" s="206"/>
      <c r="G180" s="162">
        <v>1427000</v>
      </c>
      <c r="H180" s="96"/>
    </row>
    <row r="181" spans="1:8" s="116" customFormat="1" ht="12.75" hidden="1" customHeight="1" x14ac:dyDescent="0.2">
      <c r="A181" s="161"/>
      <c r="B181" s="204" t="s">
        <v>180</v>
      </c>
      <c r="C181" s="132">
        <v>1910000</v>
      </c>
      <c r="D181" s="132"/>
      <c r="E181" s="205">
        <v>0</v>
      </c>
      <c r="F181" s="206"/>
      <c r="G181" s="122">
        <v>0</v>
      </c>
      <c r="H181" s="96"/>
    </row>
    <row r="182" spans="1:8" s="116" customFormat="1" ht="12.75" hidden="1" customHeight="1" x14ac:dyDescent="0.2">
      <c r="A182" s="161"/>
      <c r="B182" s="204" t="s">
        <v>181</v>
      </c>
      <c r="C182" s="207">
        <v>2794000</v>
      </c>
      <c r="D182" s="208"/>
      <c r="E182" s="205">
        <v>150200</v>
      </c>
      <c r="F182" s="206"/>
      <c r="G182" s="121">
        <f>4209000-150200</f>
        <v>4058800</v>
      </c>
      <c r="H182" s="96"/>
    </row>
    <row r="183" spans="1:8" s="116" customFormat="1" ht="12.75" hidden="1" customHeight="1" x14ac:dyDescent="0.2">
      <c r="A183" s="161"/>
      <c r="B183" s="204" t="s">
        <v>182</v>
      </c>
      <c r="C183" s="208">
        <v>2364000</v>
      </c>
      <c r="D183" s="208"/>
      <c r="E183" s="205">
        <v>0</v>
      </c>
      <c r="F183" s="206"/>
      <c r="G183" s="121">
        <v>2581000</v>
      </c>
      <c r="H183" s="96"/>
    </row>
    <row r="184" spans="1:8" s="116" customFormat="1" ht="12.75" hidden="1" customHeight="1" x14ac:dyDescent="0.2">
      <c r="A184" s="161"/>
      <c r="B184" s="204" t="s">
        <v>183</v>
      </c>
      <c r="C184" s="208">
        <v>1298739</v>
      </c>
      <c r="D184" s="208"/>
      <c r="E184" s="205">
        <v>0</v>
      </c>
      <c r="F184" s="206"/>
      <c r="G184" s="122">
        <v>3000000</v>
      </c>
      <c r="H184" s="96"/>
    </row>
    <row r="185" spans="1:8" s="116" customFormat="1" ht="12.75" hidden="1" customHeight="1" x14ac:dyDescent="0.2">
      <c r="A185" s="161"/>
      <c r="B185" s="204" t="s">
        <v>184</v>
      </c>
      <c r="C185" s="208">
        <v>0</v>
      </c>
      <c r="D185" s="208">
        <v>0</v>
      </c>
      <c r="E185" s="205">
        <v>0</v>
      </c>
      <c r="F185" s="206">
        <v>0</v>
      </c>
      <c r="G185" s="122">
        <v>3000000</v>
      </c>
      <c r="H185" s="96"/>
    </row>
    <row r="186" spans="1:8" s="116" customFormat="1" ht="12.75" hidden="1" customHeight="1" x14ac:dyDescent="0.2">
      <c r="A186" s="161"/>
      <c r="B186" s="204" t="s">
        <v>185</v>
      </c>
      <c r="C186" s="208">
        <v>0</v>
      </c>
      <c r="D186" s="208"/>
      <c r="E186" s="205"/>
      <c r="F186" s="206"/>
      <c r="G186" s="122">
        <v>5450000</v>
      </c>
      <c r="H186" s="96"/>
    </row>
    <row r="187" spans="1:8" s="116" customFormat="1" ht="12.75" hidden="1" customHeight="1" x14ac:dyDescent="0.2">
      <c r="A187" s="161"/>
      <c r="B187" s="204" t="s">
        <v>186</v>
      </c>
      <c r="C187" s="208">
        <v>0</v>
      </c>
      <c r="D187" s="208">
        <v>1875000</v>
      </c>
      <c r="E187" s="205">
        <v>2268750</v>
      </c>
      <c r="F187" s="206">
        <v>2268750</v>
      </c>
      <c r="G187" s="122">
        <v>0</v>
      </c>
      <c r="H187" s="96"/>
    </row>
    <row r="188" spans="1:8" s="116" customFormat="1" ht="12.75" hidden="1" customHeight="1" x14ac:dyDescent="0.2">
      <c r="A188" s="161">
        <v>3113</v>
      </c>
      <c r="B188" s="161" t="s">
        <v>187</v>
      </c>
      <c r="C188" s="166">
        <v>0</v>
      </c>
      <c r="D188" s="166"/>
      <c r="E188" s="209"/>
      <c r="F188" s="210"/>
      <c r="G188" s="111">
        <v>0</v>
      </c>
      <c r="H188" s="96"/>
    </row>
    <row r="189" spans="1:8" s="116" customFormat="1" ht="12.75" hidden="1" customHeight="1" x14ac:dyDescent="0.2">
      <c r="A189" s="161">
        <v>3119</v>
      </c>
      <c r="B189" s="161" t="s">
        <v>188</v>
      </c>
      <c r="C189" s="166">
        <v>0</v>
      </c>
      <c r="D189" s="166">
        <v>12770000</v>
      </c>
      <c r="E189" s="202">
        <v>12770000</v>
      </c>
      <c r="F189" s="203">
        <v>12770000</v>
      </c>
      <c r="G189" s="111">
        <v>0</v>
      </c>
      <c r="H189" s="96"/>
    </row>
    <row r="190" spans="1:8" s="116" customFormat="1" ht="12.75" hidden="1" customHeight="1" x14ac:dyDescent="0.2">
      <c r="A190" s="161">
        <v>3121</v>
      </c>
      <c r="B190" s="161" t="s">
        <v>189</v>
      </c>
      <c r="C190" s="166">
        <v>0</v>
      </c>
      <c r="D190" s="166">
        <v>81112.7</v>
      </c>
      <c r="E190" s="209">
        <v>81112.7</v>
      </c>
      <c r="F190" s="210">
        <v>81112.7</v>
      </c>
      <c r="G190" s="111">
        <v>400000</v>
      </c>
      <c r="H190" s="96"/>
    </row>
    <row r="191" spans="1:8" s="116" customFormat="1" hidden="1" x14ac:dyDescent="0.2">
      <c r="A191" s="161">
        <v>3122</v>
      </c>
      <c r="B191" s="211" t="s">
        <v>190</v>
      </c>
      <c r="C191" s="166">
        <v>0</v>
      </c>
      <c r="D191" s="166"/>
      <c r="E191" s="209"/>
      <c r="F191" s="210"/>
      <c r="G191" s="111">
        <v>0</v>
      </c>
      <c r="H191" s="96"/>
    </row>
    <row r="192" spans="1:8" s="116" customFormat="1" ht="12.75" hidden="1" customHeight="1" x14ac:dyDescent="0.2">
      <c r="A192" s="161">
        <v>3129</v>
      </c>
      <c r="B192" s="161" t="s">
        <v>191</v>
      </c>
      <c r="C192" s="166">
        <f>SUM(C193:C195)</f>
        <v>4266778</v>
      </c>
      <c r="D192" s="166">
        <f>SUM(D193:D195)</f>
        <v>0</v>
      </c>
      <c r="E192" s="202">
        <f>SUM(E193:E195)</f>
        <v>0</v>
      </c>
      <c r="F192" s="203">
        <f>SUM(F193:F195)</f>
        <v>0</v>
      </c>
      <c r="G192" s="166">
        <f>SUM(G193:G196)</f>
        <v>15703099.310000001</v>
      </c>
      <c r="H192" s="96"/>
    </row>
    <row r="193" spans="1:8" s="116" customFormat="1" ht="12.75" hidden="1" customHeight="1" x14ac:dyDescent="0.2">
      <c r="A193" s="212"/>
      <c r="B193" s="204" t="s">
        <v>192</v>
      </c>
      <c r="C193" s="132">
        <v>500000</v>
      </c>
      <c r="D193" s="132"/>
      <c r="E193" s="205">
        <v>0</v>
      </c>
      <c r="F193" s="206"/>
      <c r="G193" s="122"/>
      <c r="H193" s="118"/>
    </row>
    <row r="194" spans="1:8" s="116" customFormat="1" ht="12.75" hidden="1" customHeight="1" x14ac:dyDescent="0.2">
      <c r="A194" s="212"/>
      <c r="B194" s="204" t="s">
        <v>193</v>
      </c>
      <c r="C194" s="132">
        <v>1200000</v>
      </c>
      <c r="D194" s="132"/>
      <c r="E194" s="205">
        <v>0</v>
      </c>
      <c r="F194" s="206"/>
      <c r="G194" s="122">
        <v>1053570</v>
      </c>
      <c r="H194" s="118"/>
    </row>
    <row r="195" spans="1:8" s="116" customFormat="1" ht="12" hidden="1" customHeight="1" x14ac:dyDescent="0.2">
      <c r="A195" s="161"/>
      <c r="B195" s="142" t="s">
        <v>194</v>
      </c>
      <c r="C195" s="132">
        <v>2566778</v>
      </c>
      <c r="D195" s="132"/>
      <c r="E195" s="205"/>
      <c r="F195" s="206"/>
      <c r="G195" s="121">
        <v>0</v>
      </c>
      <c r="H195" s="118"/>
    </row>
    <row r="196" spans="1:8" s="116" customFormat="1" ht="12" hidden="1" customHeight="1" x14ac:dyDescent="0.2">
      <c r="A196" s="212"/>
      <c r="B196" s="204" t="s">
        <v>195</v>
      </c>
      <c r="C196" s="132">
        <v>0</v>
      </c>
      <c r="D196" s="132">
        <v>0</v>
      </c>
      <c r="E196" s="213">
        <v>0</v>
      </c>
      <c r="F196" s="214">
        <v>0</v>
      </c>
      <c r="G196" s="122">
        <v>14649529.310000001</v>
      </c>
      <c r="H196" s="118"/>
    </row>
    <row r="197" spans="1:8" s="116" customFormat="1" hidden="1" x14ac:dyDescent="0.2">
      <c r="A197" s="212"/>
      <c r="B197" s="215"/>
      <c r="C197" s="216"/>
      <c r="D197" s="216"/>
      <c r="E197" s="213"/>
      <c r="F197" s="214"/>
      <c r="G197" s="194"/>
      <c r="H197" s="96"/>
    </row>
    <row r="198" spans="1:8" s="116" customFormat="1" ht="18.75" hidden="1" customHeight="1" x14ac:dyDescent="0.25">
      <c r="A198" s="217"/>
      <c r="B198" s="196" t="s">
        <v>196</v>
      </c>
      <c r="C198" s="197">
        <f>SUM(C199:C203,C215,C223,C229:C230,C235,C246)</f>
        <v>59771600.0035</v>
      </c>
      <c r="D198" s="197">
        <f>SUM(D199,D202:D203,D215,D223,D229:D230,D235,D246)</f>
        <v>138526988.82350001</v>
      </c>
      <c r="E198" s="197">
        <f>SUM(E199,E202:E203,E215,E223,E229:E230,E235,E246)</f>
        <v>129994865.9535</v>
      </c>
      <c r="F198" s="218">
        <f>SUM(F199,F202:F203,F215,F223,F229:F230,F235,F246)</f>
        <v>120624289.91999999</v>
      </c>
      <c r="G198" s="197">
        <f>SUM(G199,G202:G203,G215,G223,G229:G230,G235,G246)</f>
        <v>80631238.653500006</v>
      </c>
      <c r="H198" s="96"/>
    </row>
    <row r="199" spans="1:8" s="116" customFormat="1" ht="12.75" hidden="1" customHeight="1" x14ac:dyDescent="0.2">
      <c r="A199" s="219">
        <v>4111</v>
      </c>
      <c r="B199" s="219" t="s">
        <v>197</v>
      </c>
      <c r="C199" s="220">
        <f>SUM(C200:C201)</f>
        <v>0</v>
      </c>
      <c r="D199" s="220">
        <f>SUM(D200:D201)</f>
        <v>29776000</v>
      </c>
      <c r="E199" s="220">
        <f>SUM(E200:E201)</f>
        <v>29776000</v>
      </c>
      <c r="F199" s="221">
        <f>SUM(F200:F201)</f>
        <v>29776000</v>
      </c>
      <c r="G199" s="220">
        <f>SUM(G200:G201)</f>
        <v>0</v>
      </c>
      <c r="H199" s="96"/>
    </row>
    <row r="200" spans="1:8" s="116" customFormat="1" ht="12.75" hidden="1" customHeight="1" x14ac:dyDescent="0.2">
      <c r="A200" s="219"/>
      <c r="B200" s="222" t="s">
        <v>198</v>
      </c>
      <c r="C200" s="223">
        <v>0</v>
      </c>
      <c r="D200" s="223">
        <v>29075000</v>
      </c>
      <c r="E200" s="223">
        <v>29075000</v>
      </c>
      <c r="F200" s="224">
        <v>29075000</v>
      </c>
      <c r="G200" s="223">
        <v>0</v>
      </c>
      <c r="H200" s="96"/>
    </row>
    <row r="201" spans="1:8" s="116" customFormat="1" ht="12.75" hidden="1" customHeight="1" x14ac:dyDescent="0.2">
      <c r="A201" s="219"/>
      <c r="B201" s="222" t="s">
        <v>199</v>
      </c>
      <c r="C201" s="223">
        <v>0</v>
      </c>
      <c r="D201" s="223">
        <v>701000</v>
      </c>
      <c r="E201" s="223">
        <v>701000</v>
      </c>
      <c r="F201" s="224">
        <v>701000</v>
      </c>
      <c r="G201" s="223">
        <v>0</v>
      </c>
      <c r="H201" s="96"/>
    </row>
    <row r="202" spans="1:8" ht="89.25" hidden="1" x14ac:dyDescent="0.2">
      <c r="A202" s="159">
        <v>4112</v>
      </c>
      <c r="B202" s="225" t="s">
        <v>200</v>
      </c>
      <c r="C202" s="226">
        <f>958935.0949+709659.9826+520950+433320+542800+39919+4236063.649+7723640.937+23616817.65+627210+1363000+1530786+236555+42.69</f>
        <v>42539700.0035</v>
      </c>
      <c r="D202" s="226">
        <f>958935.0949+709659.9826+520950+433320+542800+39919+4236063.649+7723640.937+23616817.65+627210+1363000+1530786+236555+42.69</f>
        <v>42539700.0035</v>
      </c>
      <c r="E202" s="226">
        <f>958935.0949+709659.9826+520950+433320+542800+39919+4236063.649+7723640.937+23616817.65+627210+1363000+1530786+236555+42.69</f>
        <v>42539700.0035</v>
      </c>
      <c r="F202" s="200">
        <v>28247765</v>
      </c>
      <c r="G202" s="227">
        <f>(958935.0949+709659.9826+520950+433320+542800+39919+4236063.649+7723640.937+23616817.65+627210+1363000+1530786+236555+42.69)+918800</f>
        <v>43458500.0035</v>
      </c>
      <c r="H202" s="118"/>
    </row>
    <row r="203" spans="1:8" s="116" customFormat="1" ht="12.75" hidden="1" customHeight="1" x14ac:dyDescent="0.2">
      <c r="A203" s="165">
        <v>4116</v>
      </c>
      <c r="B203" s="165" t="s">
        <v>201</v>
      </c>
      <c r="C203" s="166">
        <f>SUM(C204:C214)</f>
        <v>7642000</v>
      </c>
      <c r="D203" s="166">
        <f>SUM(D204:D214)</f>
        <v>14769583.75</v>
      </c>
      <c r="E203" s="166">
        <f>SUM(E204:E214)</f>
        <v>10988960.879999999</v>
      </c>
      <c r="F203" s="203">
        <f>SUM(F204:F214)</f>
        <v>18582960.879999999</v>
      </c>
      <c r="G203" s="166">
        <f>SUM(G204:G214)</f>
        <v>8333206</v>
      </c>
      <c r="H203" s="96"/>
    </row>
    <row r="204" spans="1:8" ht="12.75" hidden="1" customHeight="1" x14ac:dyDescent="0.2">
      <c r="A204" s="143"/>
      <c r="B204" s="140" t="s">
        <v>202</v>
      </c>
      <c r="C204" s="127">
        <v>50000</v>
      </c>
      <c r="D204" s="127">
        <v>7594000</v>
      </c>
      <c r="E204" s="127">
        <v>0</v>
      </c>
      <c r="F204" s="228">
        <v>7594000</v>
      </c>
      <c r="G204" s="162">
        <v>50000</v>
      </c>
      <c r="H204" s="96"/>
    </row>
    <row r="205" spans="1:8" ht="12.75" hidden="1" customHeight="1" x14ac:dyDescent="0.2">
      <c r="A205" s="143"/>
      <c r="B205" s="143" t="s">
        <v>203</v>
      </c>
      <c r="C205" s="132">
        <v>192000</v>
      </c>
      <c r="D205" s="132">
        <v>120000</v>
      </c>
      <c r="E205" s="127">
        <v>120000</v>
      </c>
      <c r="F205" s="206">
        <v>120000</v>
      </c>
      <c r="G205" s="122">
        <v>0</v>
      </c>
      <c r="H205" s="96"/>
    </row>
    <row r="206" spans="1:8" ht="12.75" hidden="1" customHeight="1" x14ac:dyDescent="0.2">
      <c r="A206" s="165"/>
      <c r="B206" s="182" t="s">
        <v>204</v>
      </c>
      <c r="C206" s="132">
        <v>7400000</v>
      </c>
      <c r="D206" s="132">
        <v>3376250</v>
      </c>
      <c r="E206" s="132">
        <v>7189627.1299999999</v>
      </c>
      <c r="F206" s="229">
        <v>7189627.1299999999</v>
      </c>
      <c r="G206" s="122">
        <v>7145900</v>
      </c>
      <c r="H206" s="96"/>
    </row>
    <row r="207" spans="1:8" ht="12.75" hidden="1" customHeight="1" x14ac:dyDescent="0.2">
      <c r="A207" s="120"/>
      <c r="B207" s="120" t="s">
        <v>205</v>
      </c>
      <c r="C207" s="132">
        <v>0</v>
      </c>
      <c r="D207" s="132">
        <v>1137306</v>
      </c>
      <c r="E207" s="132">
        <v>1137306</v>
      </c>
      <c r="F207" s="229">
        <v>1137306</v>
      </c>
      <c r="G207" s="122">
        <v>1137306</v>
      </c>
      <c r="H207" s="96"/>
    </row>
    <row r="208" spans="1:8" ht="12.75" hidden="1" customHeight="1" x14ac:dyDescent="0.2">
      <c r="A208" s="230"/>
      <c r="B208" s="120" t="s">
        <v>206</v>
      </c>
      <c r="C208" s="231">
        <v>0</v>
      </c>
      <c r="D208" s="231">
        <v>554488</v>
      </c>
      <c r="E208" s="231">
        <v>554488</v>
      </c>
      <c r="F208" s="232">
        <v>554488</v>
      </c>
      <c r="G208" s="122"/>
      <c r="H208" s="96"/>
    </row>
    <row r="209" spans="1:14" s="116" customFormat="1" ht="12.75" hidden="1" customHeight="1" x14ac:dyDescent="0.2">
      <c r="A209" s="233"/>
      <c r="B209" s="120" t="s">
        <v>207</v>
      </c>
      <c r="C209" s="234">
        <v>0</v>
      </c>
      <c r="D209" s="234">
        <v>1249.8499999999999</v>
      </c>
      <c r="E209" s="234">
        <v>1249.8499999999999</v>
      </c>
      <c r="F209" s="235">
        <v>1249.8499999999999</v>
      </c>
      <c r="G209" s="122"/>
      <c r="H209" s="96"/>
      <c r="N209" s="179"/>
    </row>
    <row r="210" spans="1:14" s="116" customFormat="1" ht="12.75" hidden="1" customHeight="1" x14ac:dyDescent="0.2">
      <c r="A210" s="233"/>
      <c r="B210" s="120" t="s">
        <v>208</v>
      </c>
      <c r="C210" s="188">
        <v>0</v>
      </c>
      <c r="D210" s="188">
        <v>24996.9</v>
      </c>
      <c r="E210" s="188">
        <v>24996.9</v>
      </c>
      <c r="F210" s="236">
        <v>24996.9</v>
      </c>
      <c r="G210" s="122"/>
      <c r="H210" s="96"/>
      <c r="N210" s="179"/>
    </row>
    <row r="211" spans="1:14" s="116" customFormat="1" ht="12.75" hidden="1" customHeight="1" x14ac:dyDescent="0.2">
      <c r="A211" s="233"/>
      <c r="B211" s="120" t="s">
        <v>209</v>
      </c>
      <c r="C211" s="188">
        <v>0</v>
      </c>
      <c r="D211" s="188">
        <v>270497</v>
      </c>
      <c r="E211" s="188">
        <v>270497</v>
      </c>
      <c r="F211" s="236">
        <v>270497</v>
      </c>
      <c r="G211" s="122"/>
      <c r="H211" s="96"/>
      <c r="N211" s="179"/>
    </row>
    <row r="212" spans="1:14" s="116" customFormat="1" ht="12.75" hidden="1" customHeight="1" x14ac:dyDescent="0.2">
      <c r="A212" s="233"/>
      <c r="B212" s="120" t="s">
        <v>210</v>
      </c>
      <c r="C212" s="188">
        <v>0</v>
      </c>
      <c r="D212" s="188">
        <v>1009796</v>
      </c>
      <c r="E212" s="188">
        <v>1009796</v>
      </c>
      <c r="F212" s="236">
        <v>1009796</v>
      </c>
      <c r="G212" s="122"/>
      <c r="H212" s="96"/>
      <c r="N212" s="179"/>
    </row>
    <row r="213" spans="1:14" s="116" customFormat="1" ht="12.75" hidden="1" customHeight="1" x14ac:dyDescent="0.2">
      <c r="A213" s="233"/>
      <c r="B213" s="120" t="s">
        <v>211</v>
      </c>
      <c r="C213" s="188">
        <v>0</v>
      </c>
      <c r="D213" s="188">
        <v>89000</v>
      </c>
      <c r="E213" s="234">
        <v>89000</v>
      </c>
      <c r="F213" s="214">
        <v>89000</v>
      </c>
      <c r="G213" s="122"/>
      <c r="H213" s="96"/>
      <c r="N213" s="179"/>
    </row>
    <row r="214" spans="1:14" s="116" customFormat="1" ht="12.75" hidden="1" customHeight="1" x14ac:dyDescent="0.2">
      <c r="A214" s="233"/>
      <c r="B214" s="120" t="s">
        <v>212</v>
      </c>
      <c r="C214" s="188">
        <v>0</v>
      </c>
      <c r="D214" s="188">
        <v>592000</v>
      </c>
      <c r="E214" s="188">
        <v>592000</v>
      </c>
      <c r="F214" s="236">
        <v>592000</v>
      </c>
      <c r="G214" s="122"/>
      <c r="H214" s="96"/>
      <c r="N214" s="179"/>
    </row>
    <row r="215" spans="1:14" ht="12.75" hidden="1" customHeight="1" x14ac:dyDescent="0.2">
      <c r="A215" s="165">
        <v>4121</v>
      </c>
      <c r="B215" s="165" t="s">
        <v>213</v>
      </c>
      <c r="C215" s="166">
        <f>SUM(C216:C222)</f>
        <v>305500</v>
      </c>
      <c r="D215" s="166">
        <f>SUM(D216:D222)</f>
        <v>350000</v>
      </c>
      <c r="E215" s="166">
        <f>SUM(E216:E222)</f>
        <v>375000</v>
      </c>
      <c r="F215" s="203">
        <f>SUM(F216:F222)</f>
        <v>373564</v>
      </c>
      <c r="G215" s="166">
        <f>SUM(G216:G222)</f>
        <v>1631120</v>
      </c>
      <c r="H215" s="96"/>
    </row>
    <row r="216" spans="1:14" ht="12.75" hidden="1" customHeight="1" x14ac:dyDescent="0.2">
      <c r="A216" s="165"/>
      <c r="B216" s="143" t="s">
        <v>214</v>
      </c>
      <c r="C216" s="132">
        <v>300000</v>
      </c>
      <c r="D216" s="132">
        <v>300000</v>
      </c>
      <c r="E216" s="121">
        <v>328000</v>
      </c>
      <c r="F216" s="206">
        <v>328000</v>
      </c>
      <c r="G216" s="122">
        <v>260000</v>
      </c>
      <c r="H216" s="96"/>
    </row>
    <row r="217" spans="1:14" hidden="1" x14ac:dyDescent="0.2">
      <c r="A217" s="165"/>
      <c r="B217" s="143" t="s">
        <v>215</v>
      </c>
      <c r="C217" s="132">
        <v>5000</v>
      </c>
      <c r="D217" s="132">
        <v>5000</v>
      </c>
      <c r="E217" s="121">
        <v>2000</v>
      </c>
      <c r="F217" s="206">
        <v>564</v>
      </c>
      <c r="G217" s="122">
        <v>3000</v>
      </c>
      <c r="H217" s="96"/>
    </row>
    <row r="218" spans="1:14" ht="12.75" hidden="1" customHeight="1" x14ac:dyDescent="0.2">
      <c r="A218" s="113"/>
      <c r="B218" s="120" t="s">
        <v>216</v>
      </c>
      <c r="C218" s="121">
        <v>0</v>
      </c>
      <c r="D218" s="121"/>
      <c r="E218" s="121"/>
      <c r="F218" s="206"/>
      <c r="G218" s="122"/>
      <c r="H218" s="96"/>
      <c r="N218" s="179"/>
    </row>
    <row r="219" spans="1:14" ht="12.75" hidden="1" customHeight="1" x14ac:dyDescent="0.2">
      <c r="A219" s="113"/>
      <c r="B219" s="120" t="s">
        <v>217</v>
      </c>
      <c r="C219" s="121">
        <v>0</v>
      </c>
      <c r="D219" s="121">
        <v>45000</v>
      </c>
      <c r="E219" s="121">
        <v>45000</v>
      </c>
      <c r="F219" s="206">
        <v>45000</v>
      </c>
      <c r="G219" s="122">
        <v>735147</v>
      </c>
      <c r="H219" s="96"/>
      <c r="N219" s="179"/>
    </row>
    <row r="220" spans="1:14" ht="12.75" hidden="1" customHeight="1" x14ac:dyDescent="0.2">
      <c r="A220" s="113"/>
      <c r="B220" s="120" t="s">
        <v>218</v>
      </c>
      <c r="C220" s="121">
        <v>0</v>
      </c>
      <c r="D220" s="121">
        <v>0</v>
      </c>
      <c r="E220" s="121">
        <v>0</v>
      </c>
      <c r="F220" s="206">
        <v>0</v>
      </c>
      <c r="G220" s="122">
        <v>632973</v>
      </c>
      <c r="H220" s="96"/>
      <c r="N220" s="179"/>
    </row>
    <row r="221" spans="1:14" ht="12.75" hidden="1" customHeight="1" x14ac:dyDescent="0.2">
      <c r="A221" s="113"/>
      <c r="B221" s="120" t="s">
        <v>219</v>
      </c>
      <c r="C221" s="121">
        <v>0</v>
      </c>
      <c r="D221" s="121"/>
      <c r="E221" s="121"/>
      <c r="F221" s="206"/>
      <c r="G221" s="122"/>
      <c r="H221" s="172"/>
    </row>
    <row r="222" spans="1:14" hidden="1" x14ac:dyDescent="0.2">
      <c r="A222" s="165"/>
      <c r="B222" s="143" t="s">
        <v>220</v>
      </c>
      <c r="C222" s="132">
        <v>500</v>
      </c>
      <c r="D222" s="132"/>
      <c r="E222" s="121"/>
      <c r="F222" s="206"/>
      <c r="G222" s="122"/>
      <c r="H222" s="96"/>
    </row>
    <row r="223" spans="1:14" ht="12.75" hidden="1" customHeight="1" x14ac:dyDescent="0.2">
      <c r="A223" s="113">
        <v>4122</v>
      </c>
      <c r="B223" s="237" t="s">
        <v>221</v>
      </c>
      <c r="C223" s="115">
        <f>SUM(C224:C228)</f>
        <v>0</v>
      </c>
      <c r="D223" s="115">
        <f>SUM(D224:D228)</f>
        <v>8314467</v>
      </c>
      <c r="E223" s="115">
        <f>SUM(E224:E228)</f>
        <v>6737967</v>
      </c>
      <c r="F223" s="210">
        <f>SUM(F224:F228)</f>
        <v>6723467</v>
      </c>
      <c r="G223" s="115">
        <f>SUM(G224:G228)</f>
        <v>0</v>
      </c>
      <c r="H223" s="96"/>
      <c r="N223" s="179"/>
    </row>
    <row r="224" spans="1:14" s="116" customFormat="1" ht="12.75" hidden="1" customHeight="1" x14ac:dyDescent="0.2">
      <c r="A224" s="233"/>
      <c r="B224" s="230" t="s">
        <v>222</v>
      </c>
      <c r="C224" s="234">
        <v>0</v>
      </c>
      <c r="D224" s="234">
        <v>10000</v>
      </c>
      <c r="E224" s="234">
        <v>10000</v>
      </c>
      <c r="F224" s="235">
        <v>10000</v>
      </c>
      <c r="G224" s="122">
        <v>0</v>
      </c>
      <c r="H224" s="92"/>
      <c r="N224" s="179"/>
    </row>
    <row r="225" spans="1:14" s="116" customFormat="1" ht="12.75" hidden="1" customHeight="1" x14ac:dyDescent="0.2">
      <c r="A225" s="233"/>
      <c r="B225" s="230" t="s">
        <v>223</v>
      </c>
      <c r="C225" s="234">
        <v>0</v>
      </c>
      <c r="D225" s="234">
        <v>24467</v>
      </c>
      <c r="E225" s="234">
        <v>24467</v>
      </c>
      <c r="F225" s="235">
        <v>24467</v>
      </c>
      <c r="G225" s="122"/>
      <c r="H225" s="92"/>
      <c r="N225" s="179"/>
    </row>
    <row r="226" spans="1:14" s="116" customFormat="1" ht="12.75" hidden="1" customHeight="1" x14ac:dyDescent="0.2">
      <c r="A226" s="233"/>
      <c r="B226" s="230" t="s">
        <v>224</v>
      </c>
      <c r="C226" s="234">
        <v>0</v>
      </c>
      <c r="D226" s="234">
        <v>29000</v>
      </c>
      <c r="E226" s="188">
        <v>29000</v>
      </c>
      <c r="F226" s="206">
        <v>14500</v>
      </c>
      <c r="G226" s="122"/>
      <c r="H226" s="96"/>
      <c r="N226" s="179"/>
    </row>
    <row r="227" spans="1:14" s="116" customFormat="1" ht="12.75" hidden="1" customHeight="1" x14ac:dyDescent="0.2">
      <c r="A227" s="233"/>
      <c r="B227" s="230" t="s">
        <v>225</v>
      </c>
      <c r="C227" s="234">
        <v>0</v>
      </c>
      <c r="D227" s="234">
        <v>3153000</v>
      </c>
      <c r="E227" s="188">
        <f>3153000/2</f>
        <v>1576500</v>
      </c>
      <c r="F227" s="236">
        <f>3153000/2</f>
        <v>1576500</v>
      </c>
      <c r="G227" s="122">
        <v>0</v>
      </c>
      <c r="H227" s="96"/>
      <c r="N227" s="179"/>
    </row>
    <row r="228" spans="1:14" ht="12.75" hidden="1" customHeight="1" x14ac:dyDescent="0.2">
      <c r="A228" s="113"/>
      <c r="B228" s="120" t="s">
        <v>226</v>
      </c>
      <c r="C228" s="132">
        <v>0</v>
      </c>
      <c r="D228" s="132">
        <v>5098000</v>
      </c>
      <c r="E228" s="132">
        <v>5098000</v>
      </c>
      <c r="F228" s="229">
        <v>5098000</v>
      </c>
      <c r="G228" s="122">
        <v>0</v>
      </c>
      <c r="H228" s="96"/>
      <c r="N228" s="179"/>
    </row>
    <row r="229" spans="1:14" s="116" customFormat="1" ht="12.75" hidden="1" customHeight="1" x14ac:dyDescent="0.2">
      <c r="A229" s="238" t="s">
        <v>227</v>
      </c>
      <c r="B229" s="165" t="s">
        <v>228</v>
      </c>
      <c r="C229" s="166">
        <v>6084400</v>
      </c>
      <c r="D229" s="166">
        <v>6084400</v>
      </c>
      <c r="E229" s="166">
        <v>6084400</v>
      </c>
      <c r="F229" s="239">
        <v>4563402.03</v>
      </c>
      <c r="G229" s="111">
        <v>5900000</v>
      </c>
      <c r="H229" s="96"/>
    </row>
    <row r="230" spans="1:14" s="116" customFormat="1" ht="12.75" hidden="1" customHeight="1" x14ac:dyDescent="0.2">
      <c r="A230" s="165">
        <v>4213</v>
      </c>
      <c r="B230" s="165" t="s">
        <v>229</v>
      </c>
      <c r="C230" s="166">
        <f>SUM(C231:C234)</f>
        <v>0</v>
      </c>
      <c r="D230" s="166">
        <f>SUM(D231:D234)</f>
        <v>1018657.06</v>
      </c>
      <c r="E230" s="166">
        <f>SUM(E231:E234)</f>
        <v>1018657.06</v>
      </c>
      <c r="F230" s="203">
        <f>SUM(F231:F234)</f>
        <v>0</v>
      </c>
      <c r="G230" s="166">
        <f>SUM(G231:G234)</f>
        <v>450000</v>
      </c>
      <c r="H230" s="96"/>
    </row>
    <row r="231" spans="1:14" s="2" customFormat="1" ht="12.75" hidden="1" customHeight="1" x14ac:dyDescent="0.2">
      <c r="A231" s="182"/>
      <c r="B231" s="130" t="s">
        <v>230</v>
      </c>
      <c r="C231" s="132">
        <v>0</v>
      </c>
      <c r="D231" s="132">
        <v>420000</v>
      </c>
      <c r="E231" s="132">
        <v>420000</v>
      </c>
      <c r="F231" s="240">
        <v>0</v>
      </c>
      <c r="G231" s="122">
        <v>250000</v>
      </c>
      <c r="H231" s="96"/>
    </row>
    <row r="232" spans="1:14" s="2" customFormat="1" ht="12.75" hidden="1" customHeight="1" x14ac:dyDescent="0.2">
      <c r="A232" s="182"/>
      <c r="B232" s="130" t="s">
        <v>231</v>
      </c>
      <c r="C232" s="132">
        <v>0</v>
      </c>
      <c r="D232" s="132">
        <v>0</v>
      </c>
      <c r="E232" s="132">
        <v>0</v>
      </c>
      <c r="F232" s="240">
        <v>0</v>
      </c>
      <c r="G232" s="122">
        <v>200000</v>
      </c>
      <c r="H232" s="96"/>
    </row>
    <row r="233" spans="1:14" s="2" customFormat="1" ht="12.75" hidden="1" customHeight="1" x14ac:dyDescent="0.2">
      <c r="A233" s="182"/>
      <c r="B233" s="130" t="s">
        <v>232</v>
      </c>
      <c r="C233" s="132">
        <v>0</v>
      </c>
      <c r="D233" s="132">
        <v>215516.54</v>
      </c>
      <c r="E233" s="132">
        <v>215516.54</v>
      </c>
      <c r="F233" s="240">
        <v>0</v>
      </c>
      <c r="G233" s="122"/>
      <c r="H233" s="96"/>
    </row>
    <row r="234" spans="1:14" s="2" customFormat="1" ht="12.75" hidden="1" customHeight="1" x14ac:dyDescent="0.2">
      <c r="A234" s="182"/>
      <c r="B234" s="130" t="s">
        <v>233</v>
      </c>
      <c r="C234" s="132">
        <v>0</v>
      </c>
      <c r="D234" s="132">
        <v>383140.52</v>
      </c>
      <c r="E234" s="132">
        <v>383140.52</v>
      </c>
      <c r="F234" s="240">
        <v>0</v>
      </c>
      <c r="G234" s="122"/>
      <c r="H234" s="96"/>
    </row>
    <row r="235" spans="1:14" s="116" customFormat="1" ht="12.75" hidden="1" customHeight="1" x14ac:dyDescent="0.2">
      <c r="A235" s="113">
        <v>4216</v>
      </c>
      <c r="B235" s="241" t="s">
        <v>234</v>
      </c>
      <c r="C235" s="242">
        <f>SUM(C238:C244)</f>
        <v>0</v>
      </c>
      <c r="D235" s="242">
        <f>SUM(D238:D245)</f>
        <v>32060081.009999998</v>
      </c>
      <c r="E235" s="242">
        <f>SUM(E238:E245)</f>
        <v>32060081.009999998</v>
      </c>
      <c r="F235" s="243">
        <f>SUM(F238:F245)</f>
        <v>32060081.009999998</v>
      </c>
      <c r="G235" s="242">
        <f>SUM(G236:G245)</f>
        <v>11598412.65</v>
      </c>
      <c r="H235" s="96"/>
      <c r="N235" s="179"/>
    </row>
    <row r="236" spans="1:14" s="116" customFormat="1" ht="12.75" hidden="1" customHeight="1" x14ac:dyDescent="0.2">
      <c r="A236" s="233"/>
      <c r="B236" s="244" t="s">
        <v>235</v>
      </c>
      <c r="C236" s="245">
        <v>0</v>
      </c>
      <c r="D236" s="245">
        <v>0</v>
      </c>
      <c r="E236" s="121">
        <v>0</v>
      </c>
      <c r="F236" s="206">
        <v>0</v>
      </c>
      <c r="G236" s="122">
        <v>5992790.4299999997</v>
      </c>
      <c r="H236" s="96"/>
      <c r="N236" s="179"/>
    </row>
    <row r="237" spans="1:14" s="116" customFormat="1" ht="12.75" hidden="1" customHeight="1" x14ac:dyDescent="0.2">
      <c r="A237" s="233"/>
      <c r="B237" s="244" t="s">
        <v>236</v>
      </c>
      <c r="C237" s="245">
        <v>0</v>
      </c>
      <c r="D237" s="245">
        <v>0</v>
      </c>
      <c r="E237" s="121">
        <v>0</v>
      </c>
      <c r="F237" s="206">
        <v>0</v>
      </c>
      <c r="G237" s="122">
        <v>3605622.22</v>
      </c>
      <c r="H237" s="96"/>
      <c r="N237" s="179"/>
    </row>
    <row r="238" spans="1:14" s="116" customFormat="1" ht="12.75" hidden="1" customHeight="1" x14ac:dyDescent="0.2">
      <c r="A238" s="233"/>
      <c r="B238" s="230" t="s">
        <v>237</v>
      </c>
      <c r="C238" s="234">
        <v>0</v>
      </c>
      <c r="D238" s="234"/>
      <c r="E238" s="188"/>
      <c r="F238" s="206"/>
      <c r="G238" s="122"/>
      <c r="H238" s="96"/>
      <c r="N238" s="179"/>
    </row>
    <row r="239" spans="1:14" s="116" customFormat="1" ht="12.75" hidden="1" customHeight="1" x14ac:dyDescent="0.2">
      <c r="A239" s="233"/>
      <c r="B239" s="120" t="s">
        <v>238</v>
      </c>
      <c r="C239" s="234">
        <v>0</v>
      </c>
      <c r="D239" s="234">
        <v>192679.67</v>
      </c>
      <c r="E239" s="234">
        <v>192679.67</v>
      </c>
      <c r="F239" s="235">
        <v>192679.67</v>
      </c>
      <c r="G239" s="122"/>
      <c r="H239" s="96"/>
      <c r="N239" s="179"/>
    </row>
    <row r="240" spans="1:14" s="116" customFormat="1" ht="12.75" hidden="1" customHeight="1" x14ac:dyDescent="0.2">
      <c r="A240" s="233"/>
      <c r="B240" s="120" t="s">
        <v>239</v>
      </c>
      <c r="C240" s="234">
        <v>0</v>
      </c>
      <c r="D240" s="234">
        <v>6386647.3399999999</v>
      </c>
      <c r="E240" s="234">
        <v>6386647.3399999999</v>
      </c>
      <c r="F240" s="235">
        <v>6386647.3399999999</v>
      </c>
      <c r="G240" s="122"/>
      <c r="H240" s="96"/>
      <c r="N240" s="179"/>
    </row>
    <row r="241" spans="1:14" ht="12.75" hidden="1" customHeight="1" x14ac:dyDescent="0.2">
      <c r="A241" s="120"/>
      <c r="B241" s="120" t="s">
        <v>240</v>
      </c>
      <c r="C241" s="188">
        <v>0</v>
      </c>
      <c r="D241" s="188">
        <v>5887.5</v>
      </c>
      <c r="E241" s="188">
        <v>5887.5</v>
      </c>
      <c r="F241" s="206">
        <v>5887.5</v>
      </c>
      <c r="G241" s="122"/>
      <c r="H241" s="96"/>
      <c r="N241" s="179"/>
    </row>
    <row r="242" spans="1:14" ht="12.75" hidden="1" customHeight="1" x14ac:dyDescent="0.2">
      <c r="A242" s="120"/>
      <c r="B242" s="120" t="s">
        <v>241</v>
      </c>
      <c r="C242" s="188">
        <v>0</v>
      </c>
      <c r="D242" s="188">
        <v>100087.5</v>
      </c>
      <c r="E242" s="188">
        <v>100087.5</v>
      </c>
      <c r="F242" s="206">
        <v>100087.5</v>
      </c>
      <c r="G242" s="122"/>
      <c r="H242" s="96"/>
      <c r="N242" s="179"/>
    </row>
    <row r="243" spans="1:14" s="116" customFormat="1" ht="12.75" hidden="1" customHeight="1" x14ac:dyDescent="0.2">
      <c r="A243" s="212"/>
      <c r="B243" s="246" t="s">
        <v>242</v>
      </c>
      <c r="C243" s="247">
        <v>0</v>
      </c>
      <c r="D243" s="247">
        <v>0</v>
      </c>
      <c r="E243" s="247">
        <v>0</v>
      </c>
      <c r="F243" s="248">
        <v>0</v>
      </c>
      <c r="G243" s="208">
        <v>2000000</v>
      </c>
    </row>
    <row r="244" spans="1:14" ht="12.75" hidden="1" customHeight="1" x14ac:dyDescent="0.2">
      <c r="A244" s="120"/>
      <c r="B244" s="119" t="s">
        <v>243</v>
      </c>
      <c r="C244" s="188">
        <v>0</v>
      </c>
      <c r="D244" s="188">
        <v>25326779</v>
      </c>
      <c r="E244" s="188">
        <v>25326779</v>
      </c>
      <c r="F244" s="236">
        <v>25326779</v>
      </c>
      <c r="G244" s="122"/>
      <c r="H244" s="96"/>
      <c r="N244" s="179"/>
    </row>
    <row r="245" spans="1:14" ht="12.75" hidden="1" customHeight="1" x14ac:dyDescent="0.2">
      <c r="A245" s="120"/>
      <c r="B245" s="119" t="s">
        <v>244</v>
      </c>
      <c r="C245" s="188">
        <v>0</v>
      </c>
      <c r="D245" s="188">
        <v>48000</v>
      </c>
      <c r="E245" s="188">
        <v>48000</v>
      </c>
      <c r="F245" s="236">
        <v>48000</v>
      </c>
      <c r="G245" s="122"/>
      <c r="H245" s="96"/>
      <c r="N245" s="179"/>
    </row>
    <row r="246" spans="1:14" s="116" customFormat="1" ht="12.75" hidden="1" customHeight="1" x14ac:dyDescent="0.2">
      <c r="A246" s="165">
        <v>4222</v>
      </c>
      <c r="B246" s="211" t="s">
        <v>245</v>
      </c>
      <c r="C246" s="249">
        <f>SUM(C247:C250)</f>
        <v>3200000</v>
      </c>
      <c r="D246" s="249">
        <f>SUM(D247:D250)</f>
        <v>3614100</v>
      </c>
      <c r="E246" s="249">
        <f>SUM(E247:E250)</f>
        <v>414100</v>
      </c>
      <c r="F246" s="250">
        <f>SUM(F247:F250)</f>
        <v>297050</v>
      </c>
      <c r="G246" s="249">
        <f>SUM(G247:G250)</f>
        <v>9260000</v>
      </c>
      <c r="H246" s="118"/>
    </row>
    <row r="247" spans="1:14" s="2" customFormat="1" ht="12.75" hidden="1" customHeight="1" x14ac:dyDescent="0.2">
      <c r="A247" s="251"/>
      <c r="B247" s="252" t="s">
        <v>246</v>
      </c>
      <c r="C247" s="253">
        <v>3200000</v>
      </c>
      <c r="D247" s="253">
        <v>3200000</v>
      </c>
      <c r="E247" s="121"/>
      <c r="F247" s="206">
        <v>0</v>
      </c>
      <c r="G247" s="122">
        <v>3700000</v>
      </c>
      <c r="H247" s="118"/>
    </row>
    <row r="248" spans="1:14" s="116" customFormat="1" ht="12.75" hidden="1" customHeight="1" x14ac:dyDescent="0.2">
      <c r="A248" s="233"/>
      <c r="B248" s="230" t="s">
        <v>247</v>
      </c>
      <c r="C248" s="234">
        <v>0</v>
      </c>
      <c r="D248" s="234">
        <v>114100</v>
      </c>
      <c r="E248" s="188">
        <v>114100</v>
      </c>
      <c r="F248" s="206">
        <v>57050</v>
      </c>
      <c r="G248" s="122">
        <v>0</v>
      </c>
      <c r="H248" s="96"/>
      <c r="N248" s="179"/>
    </row>
    <row r="249" spans="1:14" s="116" customFormat="1" ht="12.75" hidden="1" customHeight="1" x14ac:dyDescent="0.2">
      <c r="A249" s="233"/>
      <c r="B249" s="230" t="s">
        <v>248</v>
      </c>
      <c r="C249" s="234">
        <v>0</v>
      </c>
      <c r="D249" s="234">
        <v>0</v>
      </c>
      <c r="E249" s="188">
        <v>0</v>
      </c>
      <c r="F249" s="206">
        <v>0</v>
      </c>
      <c r="G249" s="122">
        <v>5500000</v>
      </c>
      <c r="H249" s="96"/>
      <c r="N249" s="179"/>
    </row>
    <row r="250" spans="1:14" s="2" customFormat="1" ht="12.75" hidden="1" customHeight="1" x14ac:dyDescent="0.2">
      <c r="A250" s="251"/>
      <c r="B250" s="252" t="s">
        <v>249</v>
      </c>
      <c r="C250" s="253">
        <v>0</v>
      </c>
      <c r="D250" s="253">
        <v>300000</v>
      </c>
      <c r="E250" s="121">
        <v>300000</v>
      </c>
      <c r="F250" s="206">
        <v>240000</v>
      </c>
      <c r="G250" s="122">
        <v>60000</v>
      </c>
      <c r="H250" s="118"/>
    </row>
    <row r="251" spans="1:14" s="116" customFormat="1" ht="12.75" hidden="1" customHeight="1" x14ac:dyDescent="0.2">
      <c r="A251" s="254"/>
      <c r="B251" s="255"/>
      <c r="C251" s="256"/>
      <c r="D251" s="256"/>
      <c r="E251" s="257"/>
      <c r="F251" s="258"/>
      <c r="G251" s="257"/>
      <c r="H251" s="118"/>
    </row>
    <row r="252" spans="1:14" s="116" customFormat="1" ht="20.25" hidden="1" x14ac:dyDescent="0.3">
      <c r="A252" s="259"/>
      <c r="B252" s="94" t="s">
        <v>13</v>
      </c>
      <c r="C252" s="260">
        <f>SUM(C53+C87+C177+C198)</f>
        <v>684758000.00349998</v>
      </c>
      <c r="D252" s="260">
        <f>SUM(D53+D87+D177+D198)</f>
        <v>631052499.44350004</v>
      </c>
      <c r="E252" s="260">
        <f>SUM(E53+E87+E177+E198)</f>
        <v>646319550.84350002</v>
      </c>
      <c r="F252" s="260">
        <f>SUM(F53+F87+F177+F198)</f>
        <v>478397673.65999997</v>
      </c>
      <c r="G252" s="260">
        <f>SUM(G53+G87+G177+G198)</f>
        <v>705456679.22349989</v>
      </c>
      <c r="H252" s="118"/>
    </row>
    <row r="253" spans="1:14" s="116" customFormat="1" ht="12.75" hidden="1" customHeight="1" x14ac:dyDescent="0.25">
      <c r="A253" s="261"/>
      <c r="B253" s="262"/>
      <c r="C253" s="217"/>
      <c r="D253" s="217"/>
      <c r="E253" s="263"/>
      <c r="F253" s="264"/>
      <c r="G253" s="265"/>
      <c r="H253" s="118"/>
    </row>
    <row r="254" spans="1:14" s="116" customFormat="1" ht="15.75" hidden="1" x14ac:dyDescent="0.25">
      <c r="A254" s="195"/>
      <c r="B254" s="196" t="s">
        <v>14</v>
      </c>
      <c r="C254" s="266">
        <f>SUM(C255:C259)</f>
        <v>185331265.00000003</v>
      </c>
      <c r="D254" s="266">
        <f>SUM(D255:D259)</f>
        <v>169553420.91000003</v>
      </c>
      <c r="E254" s="266">
        <f>SUM(E255:E259)</f>
        <v>126483312.56</v>
      </c>
      <c r="F254" s="266">
        <f>SUM(F255:F259)</f>
        <v>-56083079.149999999</v>
      </c>
      <c r="G254" s="266">
        <f>SUM(G255:G259)</f>
        <v>180864066.03</v>
      </c>
      <c r="H254" s="118"/>
    </row>
    <row r="255" spans="1:14" ht="24.75" hidden="1" x14ac:dyDescent="0.2">
      <c r="A255" s="158">
        <v>8115</v>
      </c>
      <c r="B255" s="267" t="s">
        <v>250</v>
      </c>
      <c r="C255" s="268">
        <f>65936477.92+70000000</f>
        <v>135936477.92000002</v>
      </c>
      <c r="D255" s="268">
        <f>(65936477.92+70000000)-15777844.09</f>
        <v>120158633.83000001</v>
      </c>
      <c r="E255" s="111">
        <v>79088525.480000004</v>
      </c>
      <c r="F255" s="111">
        <v>-104450283.08</v>
      </c>
      <c r="G255" s="111">
        <f>34176081.95-197003+150200-1160000</f>
        <v>32969278.950000003</v>
      </c>
      <c r="H255" s="118"/>
    </row>
    <row r="256" spans="1:14" hidden="1" x14ac:dyDescent="0.2">
      <c r="A256" s="269">
        <v>8117</v>
      </c>
      <c r="B256" s="270" t="s">
        <v>251</v>
      </c>
      <c r="C256" s="271">
        <v>50000000</v>
      </c>
      <c r="D256" s="271">
        <v>50000000</v>
      </c>
      <c r="E256" s="271">
        <v>0</v>
      </c>
      <c r="F256" s="271">
        <v>50000000</v>
      </c>
      <c r="G256" s="111">
        <v>0</v>
      </c>
      <c r="H256" s="118"/>
    </row>
    <row r="257" spans="1:8" ht="24.75" hidden="1" x14ac:dyDescent="0.2">
      <c r="A257" s="269">
        <v>8123</v>
      </c>
      <c r="B257" s="270" t="s">
        <v>252</v>
      </c>
      <c r="C257" s="271">
        <v>0</v>
      </c>
      <c r="D257" s="271">
        <v>0</v>
      </c>
      <c r="E257" s="271">
        <v>0</v>
      </c>
      <c r="F257" s="271">
        <v>0</v>
      </c>
      <c r="G257" s="111">
        <v>100000000</v>
      </c>
      <c r="H257" s="118"/>
    </row>
    <row r="258" spans="1:8" ht="12.75" hidden="1" customHeight="1" x14ac:dyDescent="0.2">
      <c r="A258" s="269">
        <v>8125</v>
      </c>
      <c r="B258" s="270" t="s">
        <v>253</v>
      </c>
      <c r="C258" s="271">
        <v>0</v>
      </c>
      <c r="D258" s="271">
        <v>0</v>
      </c>
      <c r="E258" s="271">
        <v>50000000</v>
      </c>
      <c r="F258" s="271">
        <v>0</v>
      </c>
      <c r="G258" s="111">
        <v>50000000</v>
      </c>
      <c r="H258" s="118"/>
    </row>
    <row r="259" spans="1:8" s="274" customFormat="1" ht="12.75" hidden="1" customHeight="1" x14ac:dyDescent="0.4">
      <c r="A259" s="272">
        <v>8901</v>
      </c>
      <c r="B259" s="273" t="s">
        <v>254</v>
      </c>
      <c r="C259" s="166">
        <f>SUM(C260:C261)</f>
        <v>-605212.92000000004</v>
      </c>
      <c r="D259" s="166">
        <f>SUM(D260:D261)</f>
        <v>-605212.92000000004</v>
      </c>
      <c r="E259" s="166">
        <f>SUM(E260:E261)</f>
        <v>-2605212.92</v>
      </c>
      <c r="F259" s="166">
        <f>SUM(F260:F261)</f>
        <v>-1632796.07</v>
      </c>
      <c r="G259" s="166">
        <f>SUM(G260:G261)</f>
        <v>-2105212.92</v>
      </c>
      <c r="H259" s="118"/>
    </row>
    <row r="260" spans="1:8" s="276" customFormat="1" ht="12.75" hidden="1" customHeight="1" x14ac:dyDescent="0.35">
      <c r="A260" s="130"/>
      <c r="B260" s="275" t="s">
        <v>255</v>
      </c>
      <c r="C260" s="132">
        <v>-605212.92000000004</v>
      </c>
      <c r="D260" s="132">
        <v>-605212.92000000004</v>
      </c>
      <c r="E260" s="132">
        <v>-605212.92000000004</v>
      </c>
      <c r="F260" s="121">
        <v>-302606.46000000002</v>
      </c>
      <c r="G260" s="132">
        <v>-605212.92000000004</v>
      </c>
      <c r="H260" s="118"/>
    </row>
    <row r="261" spans="1:8" ht="12.75" hidden="1" customHeight="1" x14ac:dyDescent="0.2">
      <c r="A261" s="142"/>
      <c r="B261" s="142" t="s">
        <v>256</v>
      </c>
      <c r="C261" s="208">
        <v>0</v>
      </c>
      <c r="D261" s="208">
        <v>0</v>
      </c>
      <c r="E261" s="132">
        <v>-2000000</v>
      </c>
      <c r="F261" s="132">
        <f>-1632796.07+302606.46</f>
        <v>-1330189.6100000001</v>
      </c>
      <c r="G261" s="122">
        <v>-1500000</v>
      </c>
      <c r="H261" s="118"/>
    </row>
    <row r="262" spans="1:8" ht="12.75" hidden="1" customHeight="1" x14ac:dyDescent="0.2">
      <c r="A262" s="277"/>
      <c r="B262" s="277"/>
      <c r="C262" s="278"/>
      <c r="D262" s="278"/>
      <c r="E262" s="279"/>
      <c r="F262" s="279"/>
      <c r="G262" s="280"/>
      <c r="H262" s="118"/>
    </row>
    <row r="263" spans="1:8" s="283" customFormat="1" ht="24" hidden="1" customHeight="1" x14ac:dyDescent="0.4">
      <c r="A263" s="281"/>
      <c r="B263" s="35" t="s">
        <v>15</v>
      </c>
      <c r="C263" s="282">
        <f>SUM(C252+C254)</f>
        <v>870089265.00349998</v>
      </c>
      <c r="D263" s="282">
        <f>SUM(D252+D254)</f>
        <v>800605920.35350013</v>
      </c>
      <c r="E263" s="282">
        <f>SUM(E252+E254)</f>
        <v>772802863.40350008</v>
      </c>
      <c r="F263" s="282">
        <f>SUM(F252+F254)</f>
        <v>422314594.50999999</v>
      </c>
      <c r="G263" s="282">
        <f>SUM(G252+G254)</f>
        <v>886320745.25349987</v>
      </c>
      <c r="H263" s="118"/>
    </row>
    <row r="264" spans="1:8" s="289" customFormat="1" ht="26.25" hidden="1" x14ac:dyDescent="0.4">
      <c r="A264" s="284"/>
      <c r="B264" s="285"/>
      <c r="C264" s="286"/>
      <c r="D264" s="286"/>
      <c r="E264" s="287"/>
      <c r="F264" s="287"/>
      <c r="G264" s="288"/>
      <c r="H264" s="118"/>
    </row>
    <row r="265" spans="1:8" s="116" customFormat="1" ht="20.25" hidden="1" x14ac:dyDescent="0.3">
      <c r="A265" s="290"/>
      <c r="B265" s="94" t="s">
        <v>257</v>
      </c>
      <c r="C265" s="94"/>
      <c r="D265" s="94"/>
      <c r="E265" s="264"/>
      <c r="F265" s="264"/>
      <c r="G265" s="265"/>
      <c r="H265" s="118"/>
    </row>
    <row r="266" spans="1:8" ht="20.25" hidden="1" x14ac:dyDescent="0.3">
      <c r="A266" s="291"/>
      <c r="B266" s="94" t="s">
        <v>258</v>
      </c>
      <c r="C266" s="292">
        <f>C267+C280+C301+C315</f>
        <v>52448677</v>
      </c>
      <c r="D266" s="292">
        <f>D267+D280+D301+D315</f>
        <v>50917338</v>
      </c>
      <c r="E266" s="292">
        <f>E267+E280+E301+E315</f>
        <v>47778764.609999999</v>
      </c>
      <c r="F266" s="292">
        <f>F267+F280+F301+F315</f>
        <v>26310888.520000003</v>
      </c>
      <c r="G266" s="292">
        <f>G267+G280+G301+G315</f>
        <v>47057788.329999998</v>
      </c>
      <c r="H266" s="118"/>
    </row>
    <row r="267" spans="1:8" ht="15.75" hidden="1" x14ac:dyDescent="0.2">
      <c r="A267" s="293"/>
      <c r="B267" s="293" t="s">
        <v>259</v>
      </c>
      <c r="C267" s="294">
        <f>SUM(C268+C272+C277)</f>
        <v>1895000</v>
      </c>
      <c r="D267" s="294">
        <f>SUM(D268+D272+D277)</f>
        <v>1895000</v>
      </c>
      <c r="E267" s="294">
        <f>SUM(E268+E272+E277)</f>
        <v>1895000</v>
      </c>
      <c r="F267" s="294">
        <f>SUM(F268+F272+F277)</f>
        <v>440288.54000000004</v>
      </c>
      <c r="G267" s="294">
        <f>SUM(G268+G272+G277)</f>
        <v>1985000</v>
      </c>
      <c r="H267" s="118"/>
    </row>
    <row r="268" spans="1:8" hidden="1" x14ac:dyDescent="0.2">
      <c r="A268" s="295">
        <v>2310</v>
      </c>
      <c r="B268" s="295" t="s">
        <v>260</v>
      </c>
      <c r="C268" s="296">
        <f>SUM(C269:C271)</f>
        <v>495000</v>
      </c>
      <c r="D268" s="296">
        <f>SUM(D269:D271)</f>
        <v>495000</v>
      </c>
      <c r="E268" s="296">
        <f>SUM(E269:E271)</f>
        <v>495000</v>
      </c>
      <c r="F268" s="296">
        <f>SUM(F269:F271)</f>
        <v>71678</v>
      </c>
      <c r="G268" s="160">
        <f>SUM(G269:G271)</f>
        <v>265000</v>
      </c>
      <c r="H268" s="118"/>
    </row>
    <row r="269" spans="1:8" hidden="1" x14ac:dyDescent="0.2">
      <c r="A269" s="297" t="s">
        <v>261</v>
      </c>
      <c r="B269" s="143" t="s">
        <v>262</v>
      </c>
      <c r="C269" s="132">
        <v>15000</v>
      </c>
      <c r="D269" s="132">
        <v>15000</v>
      </c>
      <c r="E269" s="121">
        <v>15000</v>
      </c>
      <c r="F269" s="121">
        <v>0</v>
      </c>
      <c r="G269" s="122">
        <v>15000</v>
      </c>
      <c r="H269" s="118"/>
    </row>
    <row r="270" spans="1:8" hidden="1" x14ac:dyDescent="0.2">
      <c r="A270" s="297" t="s">
        <v>263</v>
      </c>
      <c r="B270" s="143" t="s">
        <v>264</v>
      </c>
      <c r="C270" s="298">
        <f>350000+30000</f>
        <v>380000</v>
      </c>
      <c r="D270" s="298">
        <v>380000</v>
      </c>
      <c r="E270" s="121">
        <v>380000</v>
      </c>
      <c r="F270" s="121">
        <v>0</v>
      </c>
      <c r="G270" s="122">
        <v>150000</v>
      </c>
      <c r="H270" s="118"/>
    </row>
    <row r="271" spans="1:8" hidden="1" x14ac:dyDescent="0.2">
      <c r="A271" s="297" t="s">
        <v>265</v>
      </c>
      <c r="B271" s="143" t="s">
        <v>266</v>
      </c>
      <c r="C271" s="132">
        <v>100000</v>
      </c>
      <c r="D271" s="132">
        <v>100000</v>
      </c>
      <c r="E271" s="122">
        <v>100000</v>
      </c>
      <c r="F271" s="122">
        <v>71678</v>
      </c>
      <c r="G271" s="122">
        <v>100000</v>
      </c>
      <c r="H271" s="96"/>
    </row>
    <row r="272" spans="1:8" hidden="1" x14ac:dyDescent="0.2">
      <c r="A272" s="165">
        <v>2321</v>
      </c>
      <c r="B272" s="165" t="s">
        <v>267</v>
      </c>
      <c r="C272" s="166">
        <f>SUM(C273+C274+C275+C276)</f>
        <v>1400000</v>
      </c>
      <c r="D272" s="166">
        <f>SUM(D273:D276)</f>
        <v>1400000</v>
      </c>
      <c r="E272" s="166">
        <f>SUM(E273:E276)</f>
        <v>1400000</v>
      </c>
      <c r="F272" s="166">
        <f>SUM(F273:F276)</f>
        <v>368610.54000000004</v>
      </c>
      <c r="G272" s="166">
        <f>SUM(G273:G276)</f>
        <v>1470000</v>
      </c>
      <c r="H272" s="118"/>
    </row>
    <row r="273" spans="1:8" hidden="1" x14ac:dyDescent="0.2">
      <c r="A273" s="297" t="s">
        <v>268</v>
      </c>
      <c r="B273" s="143" t="s">
        <v>269</v>
      </c>
      <c r="C273" s="132">
        <v>170000</v>
      </c>
      <c r="D273" s="132">
        <v>170000</v>
      </c>
      <c r="E273" s="121">
        <v>170000</v>
      </c>
      <c r="F273" s="121">
        <v>89294.34</v>
      </c>
      <c r="G273" s="122">
        <v>170000</v>
      </c>
      <c r="H273" s="96"/>
    </row>
    <row r="274" spans="1:8" hidden="1" x14ac:dyDescent="0.2">
      <c r="A274" s="297" t="s">
        <v>270</v>
      </c>
      <c r="B274" s="143" t="s">
        <v>271</v>
      </c>
      <c r="C274" s="132">
        <f>330000+100000</f>
        <v>430000</v>
      </c>
      <c r="D274" s="132">
        <v>730000</v>
      </c>
      <c r="E274" s="132">
        <v>730000</v>
      </c>
      <c r="F274" s="132">
        <v>188262.2</v>
      </c>
      <c r="G274" s="122">
        <v>500000</v>
      </c>
      <c r="H274" s="96"/>
    </row>
    <row r="275" spans="1:8" hidden="1" x14ac:dyDescent="0.2">
      <c r="A275" s="297" t="s">
        <v>272</v>
      </c>
      <c r="B275" s="143" t="s">
        <v>273</v>
      </c>
      <c r="C275" s="132">
        <v>500000</v>
      </c>
      <c r="D275" s="132">
        <v>200000</v>
      </c>
      <c r="E275" s="132">
        <v>200000</v>
      </c>
      <c r="F275" s="132">
        <v>91054</v>
      </c>
      <c r="G275" s="122">
        <v>500000</v>
      </c>
      <c r="H275" s="96"/>
    </row>
    <row r="276" spans="1:8" s="2" customFormat="1" ht="24.75" hidden="1" x14ac:dyDescent="0.2">
      <c r="A276" s="297" t="s">
        <v>272</v>
      </c>
      <c r="B276" s="131" t="s">
        <v>274</v>
      </c>
      <c r="C276" s="132">
        <v>300000</v>
      </c>
      <c r="D276" s="132">
        <v>300000</v>
      </c>
      <c r="E276" s="127">
        <v>300000</v>
      </c>
      <c r="F276" s="127">
        <v>0</v>
      </c>
      <c r="G276" s="122">
        <v>300000</v>
      </c>
      <c r="H276" s="118"/>
    </row>
    <row r="277" spans="1:8" hidden="1" x14ac:dyDescent="0.2">
      <c r="A277" s="165">
        <v>2333</v>
      </c>
      <c r="B277" s="165" t="s">
        <v>275</v>
      </c>
      <c r="C277" s="166">
        <f>SUM(C278:C279)</f>
        <v>0</v>
      </c>
      <c r="D277" s="166">
        <f>SUM(D278:D279)</f>
        <v>0</v>
      </c>
      <c r="E277" s="166">
        <f>SUM(E278:E279)</f>
        <v>0</v>
      </c>
      <c r="F277" s="166">
        <f>SUM(F278:F279)</f>
        <v>0</v>
      </c>
      <c r="G277" s="166">
        <f>SUM(G278:G279)</f>
        <v>250000</v>
      </c>
      <c r="H277" s="118"/>
    </row>
    <row r="278" spans="1:8" hidden="1" x14ac:dyDescent="0.2">
      <c r="A278" s="297" t="s">
        <v>276</v>
      </c>
      <c r="B278" s="143" t="s">
        <v>277</v>
      </c>
      <c r="C278" s="132">
        <v>0</v>
      </c>
      <c r="D278" s="132">
        <v>0</v>
      </c>
      <c r="E278" s="121">
        <v>0</v>
      </c>
      <c r="F278" s="121">
        <v>0</v>
      </c>
      <c r="G278" s="122">
        <v>100000</v>
      </c>
      <c r="H278" s="96"/>
    </row>
    <row r="279" spans="1:8" hidden="1" x14ac:dyDescent="0.2">
      <c r="A279" s="297" t="s">
        <v>278</v>
      </c>
      <c r="B279" s="143" t="s">
        <v>273</v>
      </c>
      <c r="C279" s="132">
        <v>0</v>
      </c>
      <c r="D279" s="132">
        <v>0</v>
      </c>
      <c r="E279" s="132">
        <v>0</v>
      </c>
      <c r="F279" s="132">
        <v>0</v>
      </c>
      <c r="G279" s="122">
        <v>150000</v>
      </c>
      <c r="H279" s="96"/>
    </row>
    <row r="280" spans="1:8" s="116" customFormat="1" ht="15.75" hidden="1" x14ac:dyDescent="0.25">
      <c r="A280" s="196"/>
      <c r="B280" s="196" t="s">
        <v>279</v>
      </c>
      <c r="C280" s="299">
        <f>SUM(C281+C293+C298)</f>
        <v>28251000</v>
      </c>
      <c r="D280" s="299">
        <f>SUM(D281+D293+D298)</f>
        <v>26869575</v>
      </c>
      <c r="E280" s="299">
        <f>SUM(E281+E293+E298)</f>
        <v>24033615</v>
      </c>
      <c r="F280" s="299">
        <f>SUM(F281+F293+F298)</f>
        <v>14287648.27</v>
      </c>
      <c r="G280" s="299">
        <f>SUM(G281+G293+G298)</f>
        <v>27050000</v>
      </c>
      <c r="H280" s="96"/>
    </row>
    <row r="281" spans="1:8" s="116" customFormat="1" hidden="1" x14ac:dyDescent="0.2">
      <c r="A281" s="300">
        <v>2212</v>
      </c>
      <c r="B281" s="301" t="s">
        <v>280</v>
      </c>
      <c r="C281" s="160">
        <f>SUM(C282,C286:C292)</f>
        <v>27881000</v>
      </c>
      <c r="D281" s="160">
        <f>SUM(D282,D286:D292)</f>
        <v>26496875</v>
      </c>
      <c r="E281" s="160">
        <f>SUM(E282,E286:E292)</f>
        <v>23660915</v>
      </c>
      <c r="F281" s="160">
        <f>SUM(F282,F286:F292)</f>
        <v>14197571.84</v>
      </c>
      <c r="G281" s="160">
        <f>SUM(G282,G286:G292)</f>
        <v>26600000</v>
      </c>
      <c r="H281" s="96"/>
    </row>
    <row r="282" spans="1:8" s="2" customFormat="1" hidden="1" x14ac:dyDescent="0.2">
      <c r="A282" s="182"/>
      <c r="B282" s="302" t="s">
        <v>281</v>
      </c>
      <c r="C282" s="132">
        <f>SUM(C283:C285)</f>
        <v>5025000</v>
      </c>
      <c r="D282" s="132">
        <f>SUM(D283:D285)</f>
        <v>5025000</v>
      </c>
      <c r="E282" s="132">
        <v>2200000</v>
      </c>
      <c r="F282" s="132">
        <f>SUM(F283:F285)</f>
        <v>0</v>
      </c>
      <c r="G282" s="132">
        <f>SUM(G283:G285)</f>
        <v>2400000</v>
      </c>
      <c r="H282" s="96"/>
    </row>
    <row r="283" spans="1:8" s="116" customFormat="1" hidden="1" x14ac:dyDescent="0.2">
      <c r="A283" s="297" t="s">
        <v>282</v>
      </c>
      <c r="B283" s="303" t="s">
        <v>283</v>
      </c>
      <c r="C283" s="132">
        <v>2500000</v>
      </c>
      <c r="D283" s="132">
        <v>2500000</v>
      </c>
      <c r="E283" s="188">
        <v>0</v>
      </c>
      <c r="F283" s="121">
        <v>0</v>
      </c>
      <c r="G283" s="122">
        <v>2200000</v>
      </c>
      <c r="H283" s="96"/>
    </row>
    <row r="284" spans="1:8" s="116" customFormat="1" hidden="1" x14ac:dyDescent="0.2">
      <c r="A284" s="297" t="s">
        <v>282</v>
      </c>
      <c r="B284" s="303" t="s">
        <v>284</v>
      </c>
      <c r="C284" s="132">
        <v>2525000</v>
      </c>
      <c r="D284" s="132">
        <v>2525000</v>
      </c>
      <c r="E284" s="188">
        <v>2525000</v>
      </c>
      <c r="F284" s="121">
        <v>0</v>
      </c>
      <c r="G284" s="122">
        <v>0</v>
      </c>
      <c r="H284" s="96"/>
    </row>
    <row r="285" spans="1:8" s="116" customFormat="1" hidden="1" x14ac:dyDescent="0.2">
      <c r="A285" s="297" t="s">
        <v>282</v>
      </c>
      <c r="B285" s="303" t="s">
        <v>285</v>
      </c>
      <c r="C285" s="134">
        <v>0</v>
      </c>
      <c r="D285" s="134">
        <v>0</v>
      </c>
      <c r="E285" s="188">
        <v>0</v>
      </c>
      <c r="F285" s="121">
        <v>0</v>
      </c>
      <c r="G285" s="122">
        <v>200000</v>
      </c>
      <c r="H285" s="96"/>
    </row>
    <row r="286" spans="1:8" s="116" customFormat="1" hidden="1" x14ac:dyDescent="0.2">
      <c r="A286" s="297" t="s">
        <v>286</v>
      </c>
      <c r="B286" s="142" t="s">
        <v>287</v>
      </c>
      <c r="C286" s="134">
        <v>2700000</v>
      </c>
      <c r="D286" s="134">
        <v>2711375</v>
      </c>
      <c r="E286" s="188">
        <v>2711375</v>
      </c>
      <c r="F286" s="121">
        <v>2036375</v>
      </c>
      <c r="G286" s="122">
        <v>3500000</v>
      </c>
      <c r="H286" s="96"/>
    </row>
    <row r="287" spans="1:8" s="116" customFormat="1" hidden="1" x14ac:dyDescent="0.2">
      <c r="A287" s="297" t="s">
        <v>286</v>
      </c>
      <c r="B287" s="142" t="s">
        <v>288</v>
      </c>
      <c r="C287" s="231">
        <v>17616000</v>
      </c>
      <c r="D287" s="231">
        <v>17720500</v>
      </c>
      <c r="E287" s="188">
        <v>17720500</v>
      </c>
      <c r="F287" s="121">
        <v>11848500</v>
      </c>
      <c r="G287" s="122">
        <v>18200000</v>
      </c>
      <c r="H287" s="96"/>
    </row>
    <row r="288" spans="1:8" s="116" customFormat="1" hidden="1" x14ac:dyDescent="0.2">
      <c r="A288" s="297" t="s">
        <v>289</v>
      </c>
      <c r="B288" s="142" t="s">
        <v>290</v>
      </c>
      <c r="C288" s="231">
        <v>0</v>
      </c>
      <c r="D288" s="231">
        <v>29040</v>
      </c>
      <c r="E288" s="188">
        <v>29040</v>
      </c>
      <c r="F288" s="121">
        <v>29040</v>
      </c>
      <c r="G288" s="122">
        <v>0</v>
      </c>
      <c r="H288" s="96"/>
    </row>
    <row r="289" spans="1:8" s="116" customFormat="1" hidden="1" x14ac:dyDescent="0.2">
      <c r="A289" s="297" t="s">
        <v>291</v>
      </c>
      <c r="B289" s="142" t="s">
        <v>292</v>
      </c>
      <c r="C289" s="132">
        <v>500000</v>
      </c>
      <c r="D289" s="132">
        <v>500000</v>
      </c>
      <c r="E289" s="208">
        <v>500000</v>
      </c>
      <c r="F289" s="132">
        <v>188197.84</v>
      </c>
      <c r="G289" s="122">
        <v>500000</v>
      </c>
      <c r="H289" s="96"/>
    </row>
    <row r="290" spans="1:8" s="116" customFormat="1" hidden="1" x14ac:dyDescent="0.2">
      <c r="A290" s="297" t="s">
        <v>293</v>
      </c>
      <c r="B290" s="142" t="s">
        <v>294</v>
      </c>
      <c r="C290" s="132">
        <v>500000</v>
      </c>
      <c r="D290" s="132">
        <v>470960</v>
      </c>
      <c r="E290" s="208">
        <v>500000</v>
      </c>
      <c r="F290" s="132">
        <v>95459</v>
      </c>
      <c r="G290" s="122">
        <v>500000</v>
      </c>
      <c r="H290" s="96"/>
    </row>
    <row r="291" spans="1:8" s="116" customFormat="1" hidden="1" x14ac:dyDescent="0.2">
      <c r="A291" s="297" t="s">
        <v>293</v>
      </c>
      <c r="B291" s="142" t="s">
        <v>295</v>
      </c>
      <c r="C291" s="132">
        <v>1500000</v>
      </c>
      <c r="D291" s="132">
        <v>0</v>
      </c>
      <c r="E291" s="208">
        <v>0</v>
      </c>
      <c r="F291" s="132">
        <v>0</v>
      </c>
      <c r="G291" s="122">
        <v>1500000</v>
      </c>
      <c r="H291" s="96"/>
    </row>
    <row r="292" spans="1:8" s="116" customFormat="1" hidden="1" x14ac:dyDescent="0.2">
      <c r="A292" s="297" t="s">
        <v>296</v>
      </c>
      <c r="B292" s="142" t="s">
        <v>297</v>
      </c>
      <c r="C292" s="132">
        <v>40000</v>
      </c>
      <c r="D292" s="132">
        <v>40000</v>
      </c>
      <c r="E292" s="208">
        <v>0</v>
      </c>
      <c r="F292" s="132">
        <v>0</v>
      </c>
      <c r="G292" s="122">
        <v>0</v>
      </c>
      <c r="H292" s="96"/>
    </row>
    <row r="293" spans="1:8" s="116" customFormat="1" hidden="1" x14ac:dyDescent="0.2">
      <c r="A293" s="165">
        <v>2219</v>
      </c>
      <c r="B293" s="304" t="s">
        <v>298</v>
      </c>
      <c r="C293" s="166">
        <f>SUM(C294:C297)</f>
        <v>220000</v>
      </c>
      <c r="D293" s="166">
        <f>SUM(D294:D297)</f>
        <v>222700</v>
      </c>
      <c r="E293" s="166">
        <f>SUM(E294:E297)</f>
        <v>222700</v>
      </c>
      <c r="F293" s="166">
        <f>SUM(F294:F297)</f>
        <v>66091.81</v>
      </c>
      <c r="G293" s="166">
        <f>SUM(G294:G297)</f>
        <v>300000</v>
      </c>
      <c r="H293" s="96"/>
    </row>
    <row r="294" spans="1:8" s="116" customFormat="1" hidden="1" x14ac:dyDescent="0.2">
      <c r="A294" s="297" t="s">
        <v>299</v>
      </c>
      <c r="B294" s="142" t="s">
        <v>300</v>
      </c>
      <c r="C294" s="132">
        <v>0</v>
      </c>
      <c r="D294" s="132">
        <v>0</v>
      </c>
      <c r="E294" s="188">
        <v>0</v>
      </c>
      <c r="F294" s="121">
        <v>0</v>
      </c>
      <c r="G294" s="122">
        <v>100000</v>
      </c>
      <c r="H294" s="96"/>
    </row>
    <row r="295" spans="1:8" s="116" customFormat="1" hidden="1" x14ac:dyDescent="0.2">
      <c r="A295" s="297" t="s">
        <v>301</v>
      </c>
      <c r="B295" s="142" t="s">
        <v>302</v>
      </c>
      <c r="C295" s="134">
        <v>200000</v>
      </c>
      <c r="D295" s="134">
        <v>200000</v>
      </c>
      <c r="E295" s="188">
        <v>200000</v>
      </c>
      <c r="F295" s="121">
        <v>63391.81</v>
      </c>
      <c r="G295" s="122">
        <v>200000</v>
      </c>
      <c r="H295" s="96"/>
    </row>
    <row r="296" spans="1:8" s="116" customFormat="1" hidden="1" x14ac:dyDescent="0.2">
      <c r="A296" s="297" t="s">
        <v>303</v>
      </c>
      <c r="B296" s="142" t="s">
        <v>304</v>
      </c>
      <c r="C296" s="134">
        <v>20000</v>
      </c>
      <c r="D296" s="134">
        <v>20000</v>
      </c>
      <c r="E296" s="188">
        <v>20000</v>
      </c>
      <c r="F296" s="121">
        <v>0</v>
      </c>
      <c r="G296" s="122">
        <v>0</v>
      </c>
      <c r="H296" s="96"/>
    </row>
    <row r="297" spans="1:8" s="116" customFormat="1" hidden="1" x14ac:dyDescent="0.2">
      <c r="A297" s="297" t="s">
        <v>305</v>
      </c>
      <c r="B297" s="142" t="s">
        <v>306</v>
      </c>
      <c r="C297" s="134">
        <v>0</v>
      </c>
      <c r="D297" s="134">
        <v>2700</v>
      </c>
      <c r="E297" s="188">
        <v>2700</v>
      </c>
      <c r="F297" s="121">
        <v>2700</v>
      </c>
      <c r="G297" s="122">
        <v>0</v>
      </c>
      <c r="H297" s="96"/>
    </row>
    <row r="298" spans="1:8" hidden="1" x14ac:dyDescent="0.2">
      <c r="A298" s="165">
        <v>2221</v>
      </c>
      <c r="B298" s="161" t="s">
        <v>307</v>
      </c>
      <c r="C298" s="226">
        <f>SUM(C299:C300)</f>
        <v>150000</v>
      </c>
      <c r="D298" s="226">
        <f>SUM(D299:D300)</f>
        <v>150000</v>
      </c>
      <c r="E298" s="226">
        <f>SUM(E299:E300)</f>
        <v>150000</v>
      </c>
      <c r="F298" s="226">
        <f>SUM(F299:F300)</f>
        <v>23984.62</v>
      </c>
      <c r="G298" s="226">
        <f>SUM(G299:G300)</f>
        <v>150000</v>
      </c>
      <c r="H298" s="96"/>
    </row>
    <row r="299" spans="1:8" hidden="1" x14ac:dyDescent="0.2">
      <c r="A299" s="305" t="s">
        <v>308</v>
      </c>
      <c r="B299" s="130" t="s">
        <v>309</v>
      </c>
      <c r="C299" s="132">
        <v>60000</v>
      </c>
      <c r="D299" s="132">
        <v>60000</v>
      </c>
      <c r="E299" s="132">
        <v>60000</v>
      </c>
      <c r="F299" s="121">
        <v>0</v>
      </c>
      <c r="G299" s="122">
        <v>60000</v>
      </c>
      <c r="H299" s="96"/>
    </row>
    <row r="300" spans="1:8" hidden="1" x14ac:dyDescent="0.2">
      <c r="A300" s="306" t="s">
        <v>310</v>
      </c>
      <c r="B300" s="307" t="s">
        <v>311</v>
      </c>
      <c r="C300" s="308">
        <v>90000</v>
      </c>
      <c r="D300" s="308">
        <v>90000</v>
      </c>
      <c r="E300" s="308">
        <v>90000</v>
      </c>
      <c r="F300" s="309">
        <v>23984.62</v>
      </c>
      <c r="G300" s="122">
        <v>90000</v>
      </c>
      <c r="H300" s="118"/>
    </row>
    <row r="301" spans="1:8" ht="15.75" hidden="1" x14ac:dyDescent="0.25">
      <c r="A301" s="196"/>
      <c r="B301" s="196" t="s">
        <v>312</v>
      </c>
      <c r="C301" s="197">
        <f>C302</f>
        <v>6934000</v>
      </c>
      <c r="D301" s="197">
        <f>D302</f>
        <v>6934000</v>
      </c>
      <c r="E301" s="197">
        <f>E302</f>
        <v>6639123.5999999996</v>
      </c>
      <c r="F301" s="197">
        <f>F302</f>
        <v>3111784.6</v>
      </c>
      <c r="G301" s="197">
        <f>G302</f>
        <v>2334000</v>
      </c>
      <c r="H301" s="92"/>
    </row>
    <row r="302" spans="1:8" hidden="1" x14ac:dyDescent="0.2">
      <c r="A302" s="295">
        <v>3639</v>
      </c>
      <c r="B302" s="295" t="s">
        <v>313</v>
      </c>
      <c r="C302" s="160">
        <f>SUM(C303:C314)</f>
        <v>6934000</v>
      </c>
      <c r="D302" s="160">
        <f>SUM(D303:D314)</f>
        <v>6934000</v>
      </c>
      <c r="E302" s="160">
        <f>SUM(E303:E314)</f>
        <v>6639123.5999999996</v>
      </c>
      <c r="F302" s="160">
        <f>SUM(F303:F314)</f>
        <v>3111784.6</v>
      </c>
      <c r="G302" s="160">
        <f>SUM(G303:G314)</f>
        <v>2334000</v>
      </c>
      <c r="H302" s="96"/>
    </row>
    <row r="303" spans="1:8" hidden="1" x14ac:dyDescent="0.2">
      <c r="A303" s="305" t="s">
        <v>314</v>
      </c>
      <c r="B303" s="182" t="s">
        <v>315</v>
      </c>
      <c r="C303" s="132">
        <v>6200000</v>
      </c>
      <c r="D303" s="132">
        <v>6200000</v>
      </c>
      <c r="E303" s="188">
        <v>5700000</v>
      </c>
      <c r="F303" s="121">
        <v>2900000</v>
      </c>
      <c r="G303" s="310">
        <v>1600000</v>
      </c>
      <c r="H303" s="96"/>
    </row>
    <row r="304" spans="1:8" hidden="1" x14ac:dyDescent="0.2">
      <c r="A304" s="305" t="s">
        <v>316</v>
      </c>
      <c r="B304" s="143" t="s">
        <v>317</v>
      </c>
      <c r="C304" s="132">
        <v>150000</v>
      </c>
      <c r="D304" s="132">
        <v>150000</v>
      </c>
      <c r="E304" s="234">
        <v>150000</v>
      </c>
      <c r="F304" s="121">
        <v>3206.5</v>
      </c>
      <c r="G304" s="122">
        <v>150000</v>
      </c>
      <c r="H304" s="96"/>
    </row>
    <row r="305" spans="1:8" hidden="1" x14ac:dyDescent="0.2">
      <c r="A305" s="311" t="s">
        <v>316</v>
      </c>
      <c r="B305" s="246" t="s">
        <v>318</v>
      </c>
      <c r="C305" s="132">
        <v>50000</v>
      </c>
      <c r="D305" s="132">
        <v>50000</v>
      </c>
      <c r="E305" s="132">
        <v>50000</v>
      </c>
      <c r="F305" s="132">
        <v>0</v>
      </c>
      <c r="G305" s="122">
        <v>50000</v>
      </c>
      <c r="H305" s="96"/>
    </row>
    <row r="306" spans="1:8" hidden="1" x14ac:dyDescent="0.2">
      <c r="A306" s="312" t="s">
        <v>319</v>
      </c>
      <c r="B306" s="143" t="s">
        <v>320</v>
      </c>
      <c r="C306" s="231">
        <v>50000</v>
      </c>
      <c r="D306" s="231">
        <v>15000</v>
      </c>
      <c r="E306" s="132">
        <v>15000</v>
      </c>
      <c r="F306" s="132">
        <v>0</v>
      </c>
      <c r="G306" s="122">
        <v>50000</v>
      </c>
      <c r="H306" s="96"/>
    </row>
    <row r="307" spans="1:8" hidden="1" x14ac:dyDescent="0.2">
      <c r="A307" s="312" t="s">
        <v>321</v>
      </c>
      <c r="B307" s="143" t="s">
        <v>322</v>
      </c>
      <c r="C307" s="132">
        <v>10000</v>
      </c>
      <c r="D307" s="231">
        <v>10000</v>
      </c>
      <c r="E307" s="132">
        <v>10000</v>
      </c>
      <c r="F307" s="132">
        <v>0</v>
      </c>
      <c r="G307" s="122">
        <v>10000</v>
      </c>
      <c r="H307" s="96"/>
    </row>
    <row r="308" spans="1:8" hidden="1" x14ac:dyDescent="0.2">
      <c r="A308" s="312" t="s">
        <v>323</v>
      </c>
      <c r="B308" s="143" t="s">
        <v>324</v>
      </c>
      <c r="C308" s="231">
        <v>4000</v>
      </c>
      <c r="D308" s="231">
        <v>4000</v>
      </c>
      <c r="E308" s="132">
        <v>4000</v>
      </c>
      <c r="F308" s="132">
        <v>0</v>
      </c>
      <c r="G308" s="122">
        <v>4000</v>
      </c>
      <c r="H308" s="96"/>
    </row>
    <row r="309" spans="1:8" hidden="1" x14ac:dyDescent="0.2">
      <c r="A309" s="312" t="s">
        <v>325</v>
      </c>
      <c r="B309" s="143" t="s">
        <v>326</v>
      </c>
      <c r="C309" s="231">
        <v>50000</v>
      </c>
      <c r="D309" s="231">
        <v>50000</v>
      </c>
      <c r="E309" s="132">
        <v>40123.599999999999</v>
      </c>
      <c r="F309" s="132">
        <v>40123.599999999999</v>
      </c>
      <c r="G309" s="122">
        <v>50000</v>
      </c>
      <c r="H309" s="96"/>
    </row>
    <row r="310" spans="1:8" hidden="1" x14ac:dyDescent="0.2">
      <c r="A310" s="312" t="s">
        <v>321</v>
      </c>
      <c r="B310" s="143" t="s">
        <v>327</v>
      </c>
      <c r="C310" s="231">
        <v>110000</v>
      </c>
      <c r="D310" s="231">
        <v>110000</v>
      </c>
      <c r="E310" s="132">
        <v>110000</v>
      </c>
      <c r="F310" s="132">
        <v>51689.5</v>
      </c>
      <c r="G310" s="122">
        <v>110000</v>
      </c>
      <c r="H310" s="96"/>
    </row>
    <row r="311" spans="1:8" hidden="1" x14ac:dyDescent="0.2">
      <c r="A311" s="312" t="s">
        <v>323</v>
      </c>
      <c r="B311" s="143" t="s">
        <v>328</v>
      </c>
      <c r="C311" s="231">
        <v>250000</v>
      </c>
      <c r="D311" s="231">
        <v>250000</v>
      </c>
      <c r="E311" s="132">
        <v>250000</v>
      </c>
      <c r="F311" s="132">
        <v>58704</v>
      </c>
      <c r="G311" s="122">
        <v>250000</v>
      </c>
      <c r="H311" s="96"/>
    </row>
    <row r="312" spans="1:8" hidden="1" x14ac:dyDescent="0.2">
      <c r="A312" s="312" t="s">
        <v>329</v>
      </c>
      <c r="B312" s="143" t="s">
        <v>330</v>
      </c>
      <c r="C312" s="231">
        <v>0</v>
      </c>
      <c r="D312" s="231">
        <v>35000</v>
      </c>
      <c r="E312" s="132">
        <v>250000</v>
      </c>
      <c r="F312" s="132">
        <v>35000</v>
      </c>
      <c r="G312" s="122">
        <v>0</v>
      </c>
      <c r="H312" s="96"/>
    </row>
    <row r="313" spans="1:8" hidden="1" x14ac:dyDescent="0.2">
      <c r="A313" s="312" t="s">
        <v>331</v>
      </c>
      <c r="B313" s="143" t="s">
        <v>332</v>
      </c>
      <c r="C313" s="231">
        <v>20000</v>
      </c>
      <c r="D313" s="231">
        <v>20000</v>
      </c>
      <c r="E313" s="132">
        <v>20000</v>
      </c>
      <c r="F313" s="132">
        <v>10000</v>
      </c>
      <c r="G313" s="122">
        <v>20000</v>
      </c>
      <c r="H313" s="96"/>
    </row>
    <row r="314" spans="1:8" hidden="1" x14ac:dyDescent="0.2">
      <c r="A314" s="305" t="s">
        <v>333</v>
      </c>
      <c r="B314" s="143" t="s">
        <v>334</v>
      </c>
      <c r="C314" s="231">
        <v>40000</v>
      </c>
      <c r="D314" s="231">
        <v>40000</v>
      </c>
      <c r="E314" s="132">
        <v>40000</v>
      </c>
      <c r="F314" s="132">
        <v>13061</v>
      </c>
      <c r="G314" s="122">
        <v>40000</v>
      </c>
      <c r="H314" s="96"/>
    </row>
    <row r="315" spans="1:8" ht="15.75" hidden="1" x14ac:dyDescent="0.25">
      <c r="A315" s="196"/>
      <c r="B315" s="196" t="s">
        <v>335</v>
      </c>
      <c r="C315" s="197">
        <f>SUM(C316,C319,C325,C333,C338,C348,C351)</f>
        <v>15368677</v>
      </c>
      <c r="D315" s="313">
        <f>SUM(D316,D319,D325,D333,D338,D348,D351)</f>
        <v>15218763</v>
      </c>
      <c r="E315" s="313">
        <f>SUM(E316,E319,E325,E333,E338,E348,E351)</f>
        <v>15211026.01</v>
      </c>
      <c r="F315" s="313">
        <f>SUM(F316,F319,F325,F333,F338,F348,F351)</f>
        <v>8471167.1100000013</v>
      </c>
      <c r="G315" s="313">
        <f>SUM(G316,G319,G325,G333,G338,G348,G351)</f>
        <v>15688788.33</v>
      </c>
      <c r="H315" s="96"/>
    </row>
    <row r="316" spans="1:8" hidden="1" x14ac:dyDescent="0.2">
      <c r="A316" s="295">
        <v>3341</v>
      </c>
      <c r="B316" s="295" t="s">
        <v>336</v>
      </c>
      <c r="C316" s="160">
        <f>SUM(C317:C318)</f>
        <v>150000</v>
      </c>
      <c r="D316" s="160">
        <f>SUM(D317:D318)</f>
        <v>150000</v>
      </c>
      <c r="E316" s="160">
        <f>SUM(E317:E318)</f>
        <v>150000</v>
      </c>
      <c r="F316" s="160">
        <f>SUM(F317:F318)</f>
        <v>12799.96</v>
      </c>
      <c r="G316" s="160">
        <f>SUM(G317:G318)</f>
        <v>150000</v>
      </c>
      <c r="H316" s="96"/>
    </row>
    <row r="317" spans="1:8" hidden="1" x14ac:dyDescent="0.2">
      <c r="A317" s="305" t="s">
        <v>337</v>
      </c>
      <c r="B317" s="182" t="s">
        <v>338</v>
      </c>
      <c r="C317" s="132">
        <v>150000</v>
      </c>
      <c r="D317" s="132">
        <v>146125</v>
      </c>
      <c r="E317" s="188">
        <v>146125</v>
      </c>
      <c r="F317" s="121">
        <v>8924.9599999999991</v>
      </c>
      <c r="G317" s="122">
        <v>145000</v>
      </c>
      <c r="H317" s="96"/>
    </row>
    <row r="318" spans="1:8" hidden="1" x14ac:dyDescent="0.2">
      <c r="A318" s="305" t="s">
        <v>339</v>
      </c>
      <c r="B318" s="182" t="s">
        <v>340</v>
      </c>
      <c r="C318" s="132">
        <v>0</v>
      </c>
      <c r="D318" s="132">
        <v>3875</v>
      </c>
      <c r="E318" s="188">
        <v>3875</v>
      </c>
      <c r="F318" s="121">
        <v>3875</v>
      </c>
      <c r="G318" s="122">
        <v>5000</v>
      </c>
      <c r="H318" s="96"/>
    </row>
    <row r="319" spans="1:8" hidden="1" x14ac:dyDescent="0.2">
      <c r="A319" s="159">
        <v>3421</v>
      </c>
      <c r="B319" s="165" t="s">
        <v>341</v>
      </c>
      <c r="C319" s="166">
        <f>SUM(C320:C324)</f>
        <v>830000</v>
      </c>
      <c r="D319" s="166">
        <f>SUM(D320:D324)</f>
        <v>830000</v>
      </c>
      <c r="E319" s="166">
        <f>SUM(E320:E324)</f>
        <v>830000</v>
      </c>
      <c r="F319" s="166">
        <f>SUM(F320:F324)</f>
        <v>315449.28000000003</v>
      </c>
      <c r="G319" s="166">
        <f>SUM(G320:G324)</f>
        <v>1880000</v>
      </c>
      <c r="H319" s="96"/>
    </row>
    <row r="320" spans="1:8" hidden="1" x14ac:dyDescent="0.2">
      <c r="A320" s="305" t="s">
        <v>342</v>
      </c>
      <c r="B320" s="314" t="s">
        <v>343</v>
      </c>
      <c r="C320" s="132">
        <v>10000</v>
      </c>
      <c r="D320" s="132">
        <v>10000</v>
      </c>
      <c r="E320" s="188">
        <v>10000</v>
      </c>
      <c r="F320" s="121">
        <v>0</v>
      </c>
      <c r="G320" s="134">
        <v>1000000</v>
      </c>
      <c r="H320" s="96"/>
    </row>
    <row r="321" spans="1:8" hidden="1" x14ac:dyDescent="0.2">
      <c r="A321" s="305" t="s">
        <v>344</v>
      </c>
      <c r="B321" s="314" t="s">
        <v>345</v>
      </c>
      <c r="C321" s="132">
        <v>100000</v>
      </c>
      <c r="D321" s="132">
        <v>100000</v>
      </c>
      <c r="E321" s="188">
        <v>100000</v>
      </c>
      <c r="F321" s="121">
        <v>0</v>
      </c>
      <c r="G321" s="134">
        <v>110000</v>
      </c>
      <c r="H321" s="92"/>
    </row>
    <row r="322" spans="1:8" hidden="1" x14ac:dyDescent="0.2">
      <c r="A322" s="311" t="s">
        <v>346</v>
      </c>
      <c r="B322" s="314" t="s">
        <v>347</v>
      </c>
      <c r="C322" s="132">
        <v>120000</v>
      </c>
      <c r="D322" s="132">
        <v>140000</v>
      </c>
      <c r="E322" s="188">
        <v>140000</v>
      </c>
      <c r="F322" s="121">
        <v>120456</v>
      </c>
      <c r="G322" s="134">
        <v>120000</v>
      </c>
      <c r="H322" s="96"/>
    </row>
    <row r="323" spans="1:8" hidden="1" x14ac:dyDescent="0.2">
      <c r="A323" s="305" t="s">
        <v>348</v>
      </c>
      <c r="B323" s="314" t="s">
        <v>349</v>
      </c>
      <c r="C323" s="132">
        <v>300000</v>
      </c>
      <c r="D323" s="132">
        <v>280000</v>
      </c>
      <c r="E323" s="188">
        <v>280000</v>
      </c>
      <c r="F323" s="121">
        <v>14520</v>
      </c>
      <c r="G323" s="134">
        <v>300000</v>
      </c>
      <c r="H323" s="96"/>
    </row>
    <row r="324" spans="1:8" hidden="1" x14ac:dyDescent="0.2">
      <c r="A324" s="305" t="s">
        <v>350</v>
      </c>
      <c r="B324" s="315" t="s">
        <v>351</v>
      </c>
      <c r="C324" s="132">
        <v>300000</v>
      </c>
      <c r="D324" s="132">
        <v>300000</v>
      </c>
      <c r="E324" s="188">
        <v>300000</v>
      </c>
      <c r="F324" s="121">
        <v>180473.28</v>
      </c>
      <c r="G324" s="122">
        <v>350000</v>
      </c>
      <c r="H324" s="96"/>
    </row>
    <row r="325" spans="1:8" hidden="1" x14ac:dyDescent="0.2">
      <c r="A325" s="165">
        <v>3613</v>
      </c>
      <c r="B325" s="165" t="s">
        <v>352</v>
      </c>
      <c r="C325" s="166">
        <f>SUM(C326:C332)</f>
        <v>895000</v>
      </c>
      <c r="D325" s="166">
        <f>SUM(D326:D332)</f>
        <v>995000</v>
      </c>
      <c r="E325" s="166">
        <f>SUM(E326:E332)</f>
        <v>995000</v>
      </c>
      <c r="F325" s="166">
        <f>SUM(F326:F332)</f>
        <v>349404.45</v>
      </c>
      <c r="G325" s="166">
        <f>SUM(G326:G332)</f>
        <v>995000</v>
      </c>
      <c r="H325" s="92"/>
    </row>
    <row r="326" spans="1:8" hidden="1" x14ac:dyDescent="0.2">
      <c r="A326" s="316" t="s">
        <v>353</v>
      </c>
      <c r="B326" s="317" t="s">
        <v>354</v>
      </c>
      <c r="C326" s="132">
        <v>5000</v>
      </c>
      <c r="D326" s="132">
        <v>5000</v>
      </c>
      <c r="E326" s="188">
        <v>5000</v>
      </c>
      <c r="F326" s="121">
        <v>0</v>
      </c>
      <c r="G326" s="122">
        <v>5000</v>
      </c>
      <c r="H326" s="96"/>
    </row>
    <row r="327" spans="1:8" hidden="1" x14ac:dyDescent="0.2">
      <c r="A327" s="316" t="s">
        <v>355</v>
      </c>
      <c r="B327" s="317" t="s">
        <v>356</v>
      </c>
      <c r="C327" s="132">
        <v>5000</v>
      </c>
      <c r="D327" s="132">
        <v>5000</v>
      </c>
      <c r="E327" s="188">
        <v>5000</v>
      </c>
      <c r="F327" s="121">
        <v>0</v>
      </c>
      <c r="G327" s="122">
        <v>5000</v>
      </c>
      <c r="H327" s="96"/>
    </row>
    <row r="328" spans="1:8" ht="12.75" hidden="1" customHeight="1" x14ac:dyDescent="0.2">
      <c r="A328" s="316" t="s">
        <v>357</v>
      </c>
      <c r="B328" s="143" t="s">
        <v>358</v>
      </c>
      <c r="C328" s="132">
        <v>175000</v>
      </c>
      <c r="D328" s="132">
        <v>175000</v>
      </c>
      <c r="E328" s="177">
        <v>175000</v>
      </c>
      <c r="F328" s="177">
        <v>33982.589999999997</v>
      </c>
      <c r="G328" s="122">
        <v>175000</v>
      </c>
      <c r="H328" s="178"/>
    </row>
    <row r="329" spans="1:8" hidden="1" x14ac:dyDescent="0.2">
      <c r="A329" s="316" t="s">
        <v>359</v>
      </c>
      <c r="B329" s="143" t="s">
        <v>360</v>
      </c>
      <c r="C329" s="132">
        <v>200000</v>
      </c>
      <c r="D329" s="132">
        <v>200000</v>
      </c>
      <c r="E329" s="122">
        <v>200000</v>
      </c>
      <c r="F329" s="122">
        <v>172638.85</v>
      </c>
      <c r="G329" s="122">
        <v>200000</v>
      </c>
      <c r="H329" s="92"/>
    </row>
    <row r="330" spans="1:8" hidden="1" x14ac:dyDescent="0.2">
      <c r="A330" s="316" t="s">
        <v>361</v>
      </c>
      <c r="B330" s="143" t="s">
        <v>362</v>
      </c>
      <c r="C330" s="132">
        <v>250000</v>
      </c>
      <c r="D330" s="132">
        <v>350000</v>
      </c>
      <c r="E330" s="122">
        <v>350000</v>
      </c>
      <c r="F330" s="122">
        <v>106312</v>
      </c>
      <c r="G330" s="122">
        <v>250000</v>
      </c>
      <c r="H330" s="92"/>
    </row>
    <row r="331" spans="1:8" hidden="1" x14ac:dyDescent="0.2">
      <c r="A331" s="316" t="s">
        <v>361</v>
      </c>
      <c r="B331" s="143" t="s">
        <v>363</v>
      </c>
      <c r="C331" s="132">
        <v>60000</v>
      </c>
      <c r="D331" s="132">
        <v>60000</v>
      </c>
      <c r="E331" s="122">
        <v>60000</v>
      </c>
      <c r="F331" s="122">
        <v>0</v>
      </c>
      <c r="G331" s="122">
        <v>60000</v>
      </c>
      <c r="H331" s="92"/>
    </row>
    <row r="332" spans="1:8" hidden="1" x14ac:dyDescent="0.2">
      <c r="A332" s="316" t="s">
        <v>364</v>
      </c>
      <c r="B332" s="143" t="s">
        <v>365</v>
      </c>
      <c r="C332" s="132">
        <v>200000</v>
      </c>
      <c r="D332" s="132">
        <v>200000</v>
      </c>
      <c r="E332" s="122">
        <v>200000</v>
      </c>
      <c r="F332" s="122">
        <v>36471.01</v>
      </c>
      <c r="G332" s="122">
        <v>300000</v>
      </c>
      <c r="H332" s="92"/>
    </row>
    <row r="333" spans="1:8" hidden="1" x14ac:dyDescent="0.2">
      <c r="A333" s="165">
        <v>3631</v>
      </c>
      <c r="B333" s="165" t="s">
        <v>366</v>
      </c>
      <c r="C333" s="166">
        <f>SUM(C334:C337)</f>
        <v>9150000</v>
      </c>
      <c r="D333" s="166">
        <f>SUM(D334:D337)</f>
        <v>9176125</v>
      </c>
      <c r="E333" s="166">
        <f>SUM(E334:E337)</f>
        <v>9176125</v>
      </c>
      <c r="F333" s="166">
        <f>SUM(F334:F337)</f>
        <v>6071448.4100000001</v>
      </c>
      <c r="G333" s="166">
        <f>SUM(G334:G337)</f>
        <v>9200000</v>
      </c>
      <c r="H333" s="92"/>
    </row>
    <row r="334" spans="1:8" hidden="1" x14ac:dyDescent="0.2">
      <c r="A334" s="316" t="s">
        <v>367</v>
      </c>
      <c r="B334" s="143" t="s">
        <v>368</v>
      </c>
      <c r="C334" s="132">
        <v>0</v>
      </c>
      <c r="D334" s="132">
        <v>100000</v>
      </c>
      <c r="E334" s="121">
        <v>100000</v>
      </c>
      <c r="F334" s="121">
        <v>16456</v>
      </c>
      <c r="G334" s="122">
        <v>600000</v>
      </c>
      <c r="H334" s="92"/>
    </row>
    <row r="335" spans="1:8" hidden="1" x14ac:dyDescent="0.2">
      <c r="A335" s="316" t="s">
        <v>369</v>
      </c>
      <c r="B335" s="143" t="s">
        <v>370</v>
      </c>
      <c r="C335" s="132">
        <v>700000</v>
      </c>
      <c r="D335" s="132">
        <v>600000</v>
      </c>
      <c r="E335" s="121">
        <v>600000</v>
      </c>
      <c r="F335" s="121">
        <v>8418.58</v>
      </c>
      <c r="G335" s="122">
        <v>100000</v>
      </c>
      <c r="H335" s="92"/>
    </row>
    <row r="336" spans="1:8" hidden="1" x14ac:dyDescent="0.2">
      <c r="A336" s="305" t="s">
        <v>371</v>
      </c>
      <c r="B336" s="143" t="s">
        <v>372</v>
      </c>
      <c r="C336" s="132">
        <v>3950000</v>
      </c>
      <c r="D336" s="132">
        <v>3976125</v>
      </c>
      <c r="E336" s="177">
        <v>3976125</v>
      </c>
      <c r="F336" s="177">
        <v>2666125</v>
      </c>
      <c r="G336" s="122">
        <v>4000000</v>
      </c>
      <c r="H336" s="92"/>
    </row>
    <row r="337" spans="1:8" hidden="1" x14ac:dyDescent="0.2">
      <c r="A337" s="305" t="s">
        <v>373</v>
      </c>
      <c r="B337" s="143" t="s">
        <v>374</v>
      </c>
      <c r="C337" s="132">
        <v>4500000</v>
      </c>
      <c r="D337" s="132">
        <v>4500000</v>
      </c>
      <c r="E337" s="128">
        <v>4500000</v>
      </c>
      <c r="F337" s="177">
        <v>3380448.83</v>
      </c>
      <c r="G337" s="122">
        <v>4500000</v>
      </c>
      <c r="H337" s="92"/>
    </row>
    <row r="338" spans="1:8" hidden="1" x14ac:dyDescent="0.2">
      <c r="A338" s="318">
        <v>3632</v>
      </c>
      <c r="B338" s="318" t="s">
        <v>375</v>
      </c>
      <c r="C338" s="166">
        <f>SUM(C339,C345:C347)</f>
        <v>4130000</v>
      </c>
      <c r="D338" s="166">
        <f>SUM(D339,D345:D347)</f>
        <v>3853961</v>
      </c>
      <c r="E338" s="166">
        <f>SUM(E339,E345:E347)</f>
        <v>3846112.6799999997</v>
      </c>
      <c r="F338" s="166">
        <f>SUM(F339,F345:F347)</f>
        <v>1713276.68</v>
      </c>
      <c r="G338" s="166">
        <f>SUM(G339,G345:G347)</f>
        <v>3250000</v>
      </c>
      <c r="H338" s="92"/>
    </row>
    <row r="339" spans="1:8" hidden="1" x14ac:dyDescent="0.2">
      <c r="A339" s="182"/>
      <c r="B339" s="182" t="s">
        <v>376</v>
      </c>
      <c r="C339" s="132">
        <f>SUM(C340:C344)</f>
        <v>1530000</v>
      </c>
      <c r="D339" s="132">
        <f>SUM(D340:D344)</f>
        <v>730000</v>
      </c>
      <c r="E339" s="132">
        <f>SUM(E340:E344)</f>
        <v>722151.67999999993</v>
      </c>
      <c r="F339" s="132">
        <f>SUM(F340:F344)</f>
        <v>351151.68</v>
      </c>
      <c r="G339" s="132">
        <f>SUM(G340:G344)</f>
        <v>650000</v>
      </c>
      <c r="H339" s="92"/>
    </row>
    <row r="340" spans="1:8" hidden="1" x14ac:dyDescent="0.2">
      <c r="A340" s="305" t="s">
        <v>377</v>
      </c>
      <c r="B340" s="143" t="s">
        <v>378</v>
      </c>
      <c r="C340" s="132">
        <v>371000</v>
      </c>
      <c r="D340" s="132">
        <v>371000</v>
      </c>
      <c r="E340" s="253">
        <v>371000</v>
      </c>
      <c r="F340" s="253">
        <v>0</v>
      </c>
      <c r="G340" s="122">
        <v>0</v>
      </c>
      <c r="H340" s="92"/>
    </row>
    <row r="341" spans="1:8" s="2" customFormat="1" hidden="1" x14ac:dyDescent="0.2">
      <c r="A341" s="305" t="s">
        <v>377</v>
      </c>
      <c r="B341" s="143" t="s">
        <v>379</v>
      </c>
      <c r="C341" s="132">
        <v>240000</v>
      </c>
      <c r="D341" s="132">
        <v>240000</v>
      </c>
      <c r="E341" s="132">
        <v>232571.68</v>
      </c>
      <c r="F341" s="319">
        <v>232571.68</v>
      </c>
      <c r="G341" s="122">
        <v>0</v>
      </c>
      <c r="H341" s="92"/>
    </row>
    <row r="342" spans="1:8" hidden="1" x14ac:dyDescent="0.2">
      <c r="A342" s="305" t="s">
        <v>377</v>
      </c>
      <c r="B342" s="143" t="s">
        <v>380</v>
      </c>
      <c r="C342" s="132">
        <v>119000</v>
      </c>
      <c r="D342" s="132">
        <v>119000</v>
      </c>
      <c r="E342" s="169">
        <v>118580</v>
      </c>
      <c r="F342" s="169">
        <v>118580</v>
      </c>
      <c r="G342" s="122">
        <v>0</v>
      </c>
      <c r="H342" s="96"/>
    </row>
    <row r="343" spans="1:8" hidden="1" x14ac:dyDescent="0.2">
      <c r="A343" s="305" t="s">
        <v>377</v>
      </c>
      <c r="B343" s="143" t="s">
        <v>381</v>
      </c>
      <c r="C343" s="132">
        <v>500000</v>
      </c>
      <c r="D343" s="132">
        <v>0</v>
      </c>
      <c r="E343" s="319">
        <v>0</v>
      </c>
      <c r="F343" s="319">
        <v>0</v>
      </c>
      <c r="G343" s="122">
        <v>0</v>
      </c>
      <c r="H343" s="96"/>
    </row>
    <row r="344" spans="1:8" hidden="1" x14ac:dyDescent="0.2">
      <c r="A344" s="305" t="s">
        <v>377</v>
      </c>
      <c r="B344" s="143" t="s">
        <v>382</v>
      </c>
      <c r="C344" s="132">
        <v>300000</v>
      </c>
      <c r="D344" s="132">
        <v>0</v>
      </c>
      <c r="E344" s="205">
        <v>0</v>
      </c>
      <c r="F344" s="205">
        <v>0</v>
      </c>
      <c r="G344" s="122">
        <v>650000</v>
      </c>
      <c r="H344" s="96"/>
    </row>
    <row r="345" spans="1:8" hidden="1" x14ac:dyDescent="0.2">
      <c r="A345" s="297" t="s">
        <v>383</v>
      </c>
      <c r="B345" s="143" t="s">
        <v>384</v>
      </c>
      <c r="C345" s="132">
        <v>2000000</v>
      </c>
      <c r="D345" s="132">
        <v>2523961</v>
      </c>
      <c r="E345" s="205">
        <v>2523961</v>
      </c>
      <c r="F345" s="205">
        <v>1362125</v>
      </c>
      <c r="G345" s="122">
        <v>2500000</v>
      </c>
      <c r="H345" s="96"/>
    </row>
    <row r="346" spans="1:8" s="116" customFormat="1" hidden="1" x14ac:dyDescent="0.2">
      <c r="A346" s="297" t="s">
        <v>385</v>
      </c>
      <c r="B346" s="143" t="s">
        <v>386</v>
      </c>
      <c r="C346" s="132">
        <v>500000</v>
      </c>
      <c r="D346" s="132">
        <v>500000</v>
      </c>
      <c r="E346" s="205">
        <v>500000</v>
      </c>
      <c r="F346" s="205">
        <v>0</v>
      </c>
      <c r="G346" s="134">
        <v>0</v>
      </c>
      <c r="H346" s="96"/>
    </row>
    <row r="347" spans="1:8" s="116" customFormat="1" hidden="1" x14ac:dyDescent="0.2">
      <c r="A347" s="297" t="s">
        <v>387</v>
      </c>
      <c r="B347" s="143" t="s">
        <v>388</v>
      </c>
      <c r="C347" s="132">
        <v>100000</v>
      </c>
      <c r="D347" s="132">
        <v>100000</v>
      </c>
      <c r="E347" s="205">
        <v>100000</v>
      </c>
      <c r="F347" s="205">
        <v>0</v>
      </c>
      <c r="G347" s="122">
        <v>100000</v>
      </c>
      <c r="H347" s="96"/>
    </row>
    <row r="348" spans="1:8" s="116" customFormat="1" hidden="1" x14ac:dyDescent="0.2">
      <c r="A348" s="165">
        <v>3639</v>
      </c>
      <c r="B348" s="165" t="s">
        <v>389</v>
      </c>
      <c r="C348" s="166">
        <f>SUM(C349:C350)</f>
        <v>13677</v>
      </c>
      <c r="D348" s="166">
        <f>SUM(D349:D350)</f>
        <v>13677</v>
      </c>
      <c r="E348" s="166">
        <f>SUM(E349:E350)</f>
        <v>13788.33</v>
      </c>
      <c r="F348" s="166">
        <f>SUM(F349:F350)</f>
        <v>8788.33</v>
      </c>
      <c r="G348" s="166">
        <f>SUM(G349:G350)</f>
        <v>13788.33</v>
      </c>
      <c r="H348" s="96"/>
    </row>
    <row r="349" spans="1:8" s="116" customFormat="1" hidden="1" x14ac:dyDescent="0.2">
      <c r="A349" s="305" t="s">
        <v>390</v>
      </c>
      <c r="B349" s="317" t="s">
        <v>391</v>
      </c>
      <c r="C349" s="132">
        <v>8677</v>
      </c>
      <c r="D349" s="132">
        <v>8788.33</v>
      </c>
      <c r="E349" s="132">
        <v>8788.33</v>
      </c>
      <c r="F349" s="132">
        <v>8788.33</v>
      </c>
      <c r="G349" s="132">
        <v>8788.33</v>
      </c>
      <c r="H349" s="96"/>
    </row>
    <row r="350" spans="1:8" s="116" customFormat="1" hidden="1" x14ac:dyDescent="0.2">
      <c r="A350" s="316" t="s">
        <v>392</v>
      </c>
      <c r="B350" s="143" t="s">
        <v>393</v>
      </c>
      <c r="C350" s="132">
        <v>5000</v>
      </c>
      <c r="D350" s="132">
        <v>4888.67</v>
      </c>
      <c r="E350" s="319">
        <v>5000</v>
      </c>
      <c r="F350" s="319">
        <v>0</v>
      </c>
      <c r="G350" s="122">
        <v>5000</v>
      </c>
      <c r="H350" s="96"/>
    </row>
    <row r="351" spans="1:8" s="116" customFormat="1" hidden="1" x14ac:dyDescent="0.2">
      <c r="A351" s="165">
        <v>3699</v>
      </c>
      <c r="B351" s="165" t="s">
        <v>394</v>
      </c>
      <c r="C351" s="166">
        <f>SUM(C352)</f>
        <v>200000</v>
      </c>
      <c r="D351" s="166">
        <f>SUM(D352)</f>
        <v>200000</v>
      </c>
      <c r="E351" s="166">
        <f>SUM(E352)</f>
        <v>200000</v>
      </c>
      <c r="F351" s="166">
        <f>SUM(F352)</f>
        <v>0</v>
      </c>
      <c r="G351" s="166">
        <f>SUM(G352)</f>
        <v>200000</v>
      </c>
      <c r="H351" s="96"/>
    </row>
    <row r="352" spans="1:8" s="116" customFormat="1" hidden="1" x14ac:dyDescent="0.2">
      <c r="A352" s="305" t="s">
        <v>395</v>
      </c>
      <c r="B352" s="143" t="s">
        <v>396</v>
      </c>
      <c r="C352" s="132">
        <v>200000</v>
      </c>
      <c r="D352" s="132">
        <v>200000</v>
      </c>
      <c r="E352" s="320">
        <v>200000</v>
      </c>
      <c r="F352" s="320">
        <v>0</v>
      </c>
      <c r="G352" s="122">
        <v>200000</v>
      </c>
      <c r="H352" s="96"/>
    </row>
    <row r="353" spans="1:8" s="116" customFormat="1" hidden="1" x14ac:dyDescent="0.2">
      <c r="A353" s="311"/>
      <c r="B353" s="321"/>
      <c r="C353" s="231"/>
      <c r="D353" s="231"/>
      <c r="E353" s="322"/>
      <c r="F353" s="322"/>
      <c r="G353" s="309"/>
      <c r="H353" s="96"/>
    </row>
    <row r="354" spans="1:8" s="116" customFormat="1" ht="20.25" hidden="1" x14ac:dyDescent="0.2">
      <c r="A354" s="323"/>
      <c r="B354" s="324" t="s">
        <v>397</v>
      </c>
      <c r="C354" s="325">
        <f>SUM(C355+C370+C432+C445+C476)</f>
        <v>79701343</v>
      </c>
      <c r="D354" s="326">
        <f>SUM(D355+D370+D432+D445+D476)</f>
        <v>69000343</v>
      </c>
      <c r="E354" s="327">
        <f>SUM(E355+E370+E432+E445+E476)</f>
        <v>1689192.23</v>
      </c>
      <c r="F354" s="325">
        <f>SUM(F355+F370+F432+F445+F476)</f>
        <v>5818563.0100000007</v>
      </c>
      <c r="G354" s="328">
        <f>SUM(G355+G370+G432+G445+G476)</f>
        <v>106524000</v>
      </c>
      <c r="H354" s="96"/>
    </row>
    <row r="355" spans="1:8" s="116" customFormat="1" ht="15.75" hidden="1" x14ac:dyDescent="0.2">
      <c r="A355" s="329"/>
      <c r="B355" s="330" t="s">
        <v>398</v>
      </c>
      <c r="C355" s="331">
        <f>SUM(C356+C361+C368)</f>
        <v>1000000</v>
      </c>
      <c r="D355" s="332">
        <f>SUM(D356+D361+D368)</f>
        <v>1004840</v>
      </c>
      <c r="E355" s="333">
        <f>SUM(E356+E361+E368)</f>
        <v>374258.72</v>
      </c>
      <c r="F355" s="334">
        <f>SUM(F356+F361+F368)</f>
        <v>380258.72</v>
      </c>
      <c r="G355" s="333">
        <f>SUM(G356+G361+G368)</f>
        <v>5530000</v>
      </c>
      <c r="H355" s="96"/>
    </row>
    <row r="356" spans="1:8" s="116" customFormat="1" hidden="1" x14ac:dyDescent="0.2">
      <c r="A356" s="335">
        <v>2310</v>
      </c>
      <c r="B356" s="336" t="s">
        <v>399</v>
      </c>
      <c r="C356" s="337">
        <f>SUM(C357:C360)</f>
        <v>150000</v>
      </c>
      <c r="D356" s="338">
        <f>SUM(D357:D360)</f>
        <v>150000</v>
      </c>
      <c r="E356" s="339">
        <f>SUM(E357:E360)</f>
        <v>0</v>
      </c>
      <c r="F356" s="340">
        <f>SUM(F357:F360)</f>
        <v>6000</v>
      </c>
      <c r="G356" s="339">
        <f>SUM(G357:G360)</f>
        <v>4950000</v>
      </c>
      <c r="H356" s="96"/>
    </row>
    <row r="357" spans="1:8" s="116" customFormat="1" hidden="1" x14ac:dyDescent="0.2">
      <c r="A357" s="341" t="s">
        <v>400</v>
      </c>
      <c r="B357" s="187" t="s">
        <v>401</v>
      </c>
      <c r="C357" s="342">
        <v>0</v>
      </c>
      <c r="D357" s="343">
        <v>8420</v>
      </c>
      <c r="E357" s="344"/>
      <c r="F357" s="345">
        <v>6000</v>
      </c>
      <c r="G357" s="344">
        <v>4800000</v>
      </c>
      <c r="H357" s="96"/>
    </row>
    <row r="358" spans="1:8" s="116" customFormat="1" hidden="1" x14ac:dyDescent="0.2">
      <c r="A358" s="341" t="s">
        <v>402</v>
      </c>
      <c r="B358" s="187" t="s">
        <v>403</v>
      </c>
      <c r="C358" s="342">
        <v>50000</v>
      </c>
      <c r="D358" s="343">
        <v>50000</v>
      </c>
      <c r="E358" s="344"/>
      <c r="F358" s="345">
        <v>0</v>
      </c>
      <c r="G358" s="344">
        <v>0</v>
      </c>
      <c r="H358" s="96"/>
    </row>
    <row r="359" spans="1:8" s="116" customFormat="1" hidden="1" x14ac:dyDescent="0.2">
      <c r="A359" s="341" t="s">
        <v>404</v>
      </c>
      <c r="B359" s="187" t="s">
        <v>405</v>
      </c>
      <c r="C359" s="342">
        <v>50000</v>
      </c>
      <c r="D359" s="343">
        <v>50000</v>
      </c>
      <c r="E359" s="344"/>
      <c r="F359" s="345">
        <v>0</v>
      </c>
      <c r="G359" s="344">
        <v>100000</v>
      </c>
      <c r="H359" s="96"/>
    </row>
    <row r="360" spans="1:8" s="116" customFormat="1" hidden="1" x14ac:dyDescent="0.2">
      <c r="A360" s="341" t="s">
        <v>406</v>
      </c>
      <c r="B360" s="187" t="s">
        <v>407</v>
      </c>
      <c r="C360" s="342">
        <v>50000</v>
      </c>
      <c r="D360" s="346">
        <v>41580</v>
      </c>
      <c r="E360" s="344"/>
      <c r="F360" s="347">
        <v>0</v>
      </c>
      <c r="G360" s="344">
        <v>50000</v>
      </c>
      <c r="H360" s="96"/>
    </row>
    <row r="361" spans="1:8" s="116" customFormat="1" hidden="1" x14ac:dyDescent="0.2">
      <c r="A361" s="348">
        <v>2321</v>
      </c>
      <c r="B361" s="349" t="s">
        <v>408</v>
      </c>
      <c r="C361" s="350">
        <f>SUM(C362:C366)</f>
        <v>850000</v>
      </c>
      <c r="D361" s="351">
        <f>SUM(D362:D366)</f>
        <v>850000</v>
      </c>
      <c r="E361" s="352">
        <f>SUM(E362:E366)</f>
        <v>369418.72</v>
      </c>
      <c r="F361" s="353">
        <f>SUM(F362:F366)</f>
        <v>369418.72</v>
      </c>
      <c r="G361" s="354">
        <f>SUM(G362:G367)</f>
        <v>580000</v>
      </c>
      <c r="H361" s="96"/>
    </row>
    <row r="362" spans="1:8" s="116" customFormat="1" hidden="1" x14ac:dyDescent="0.2">
      <c r="A362" s="341" t="s">
        <v>409</v>
      </c>
      <c r="B362" s="187" t="s">
        <v>410</v>
      </c>
      <c r="C362" s="355">
        <v>400000</v>
      </c>
      <c r="D362" s="356">
        <v>400000</v>
      </c>
      <c r="E362" s="344">
        <v>369418.72</v>
      </c>
      <c r="F362" s="357">
        <v>369418.72</v>
      </c>
      <c r="G362" s="344">
        <v>0</v>
      </c>
      <c r="H362" s="96"/>
    </row>
    <row r="363" spans="1:8" s="116" customFormat="1" hidden="1" x14ac:dyDescent="0.2">
      <c r="A363" s="341" t="s">
        <v>411</v>
      </c>
      <c r="B363" s="358" t="s">
        <v>412</v>
      </c>
      <c r="C363" s="342">
        <v>300000</v>
      </c>
      <c r="D363" s="356">
        <v>300000</v>
      </c>
      <c r="E363" s="359">
        <v>0</v>
      </c>
      <c r="F363" s="357">
        <v>0</v>
      </c>
      <c r="G363" s="344">
        <v>0</v>
      </c>
      <c r="H363" s="96"/>
    </row>
    <row r="364" spans="1:8" s="116" customFormat="1" hidden="1" x14ac:dyDescent="0.2">
      <c r="A364" s="341" t="s">
        <v>413</v>
      </c>
      <c r="B364" s="187" t="s">
        <v>414</v>
      </c>
      <c r="C364" s="355">
        <v>0</v>
      </c>
      <c r="D364" s="356">
        <v>0</v>
      </c>
      <c r="E364" s="344">
        <v>0</v>
      </c>
      <c r="F364" s="357">
        <v>0</v>
      </c>
      <c r="G364" s="344">
        <v>30000</v>
      </c>
      <c r="H364" s="96"/>
    </row>
    <row r="365" spans="1:8" s="116" customFormat="1" hidden="1" x14ac:dyDescent="0.2">
      <c r="A365" s="341" t="s">
        <v>415</v>
      </c>
      <c r="B365" s="187" t="s">
        <v>416</v>
      </c>
      <c r="C365" s="355">
        <v>100000</v>
      </c>
      <c r="D365" s="356">
        <v>100000</v>
      </c>
      <c r="E365" s="344"/>
      <c r="F365" s="357">
        <v>0</v>
      </c>
      <c r="G365" s="344">
        <v>400000</v>
      </c>
      <c r="H365" s="96"/>
    </row>
    <row r="366" spans="1:8" s="116" customFormat="1" hidden="1" x14ac:dyDescent="0.2">
      <c r="A366" s="341" t="s">
        <v>417</v>
      </c>
      <c r="B366" s="187" t="s">
        <v>418</v>
      </c>
      <c r="C366" s="355">
        <v>50000</v>
      </c>
      <c r="D366" s="356">
        <v>50000</v>
      </c>
      <c r="E366" s="344"/>
      <c r="F366" s="357">
        <v>0</v>
      </c>
      <c r="G366" s="359">
        <v>50000</v>
      </c>
      <c r="H366" s="96"/>
    </row>
    <row r="367" spans="1:8" s="116" customFormat="1" hidden="1" x14ac:dyDescent="0.2">
      <c r="A367" s="341" t="s">
        <v>419</v>
      </c>
      <c r="B367" s="187" t="s">
        <v>420</v>
      </c>
      <c r="C367" s="355">
        <v>0</v>
      </c>
      <c r="D367" s="356">
        <v>0</v>
      </c>
      <c r="E367" s="344">
        <v>0</v>
      </c>
      <c r="F367" s="357">
        <v>0</v>
      </c>
      <c r="G367" s="344">
        <v>100000</v>
      </c>
      <c r="H367" s="96"/>
    </row>
    <row r="368" spans="1:8" hidden="1" x14ac:dyDescent="0.2">
      <c r="A368" s="348">
        <v>2333</v>
      </c>
      <c r="B368" s="349" t="s">
        <v>421</v>
      </c>
      <c r="C368" s="350">
        <f>SUM(C369)</f>
        <v>0</v>
      </c>
      <c r="D368" s="351">
        <f>SUM(D369)</f>
        <v>4840</v>
      </c>
      <c r="E368" s="352">
        <f>SUM(E369)</f>
        <v>4840</v>
      </c>
      <c r="F368" s="353">
        <f>SUM(F369)</f>
        <v>4840</v>
      </c>
      <c r="G368" s="352">
        <f>SUM(G369)</f>
        <v>0</v>
      </c>
      <c r="H368" s="96"/>
    </row>
    <row r="369" spans="1:8" hidden="1" x14ac:dyDescent="0.2">
      <c r="A369" s="360" t="s">
        <v>422</v>
      </c>
      <c r="B369" s="361" t="s">
        <v>423</v>
      </c>
      <c r="C369" s="362">
        <v>0</v>
      </c>
      <c r="D369" s="363">
        <v>4840</v>
      </c>
      <c r="E369" s="364">
        <v>4840</v>
      </c>
      <c r="F369" s="365">
        <v>4840</v>
      </c>
      <c r="G369" s="364">
        <v>0</v>
      </c>
      <c r="H369" s="96"/>
    </row>
    <row r="370" spans="1:8" ht="15.75" hidden="1" x14ac:dyDescent="0.25">
      <c r="A370" s="366"/>
      <c r="B370" s="367" t="s">
        <v>424</v>
      </c>
      <c r="C370" s="331">
        <f>SUM(C371+C392+C427)</f>
        <v>28360000</v>
      </c>
      <c r="D370" s="332">
        <f>SUM(D371+D392+D427)</f>
        <v>26188160</v>
      </c>
      <c r="E370" s="333">
        <f>SUM(E371+E392+E427)</f>
        <v>850886.86</v>
      </c>
      <c r="F370" s="334">
        <f>SUM(F371+F392+F427)</f>
        <v>3217923.7600000002</v>
      </c>
      <c r="G370" s="333">
        <f>SUM(G371+G392+G427)</f>
        <v>41500500</v>
      </c>
      <c r="H370" s="96"/>
    </row>
    <row r="371" spans="1:8" hidden="1" x14ac:dyDescent="0.2">
      <c r="A371" s="335">
        <v>2212</v>
      </c>
      <c r="B371" s="336" t="s">
        <v>425</v>
      </c>
      <c r="C371" s="337">
        <f>SUM(C372:C387)</f>
        <v>8970000</v>
      </c>
      <c r="D371" s="338">
        <f>SUM(D372:D387)</f>
        <v>6790000</v>
      </c>
      <c r="E371" s="339">
        <f>SUM(E372:E387)</f>
        <v>104410.5</v>
      </c>
      <c r="F371" s="340">
        <f>SUM(F372:F387)</f>
        <v>2229037.41</v>
      </c>
      <c r="G371" s="339">
        <f>SUM(G372:G391)</f>
        <v>14360000</v>
      </c>
      <c r="H371" s="96"/>
    </row>
    <row r="372" spans="1:8" hidden="1" x14ac:dyDescent="0.2">
      <c r="A372" s="341" t="s">
        <v>293</v>
      </c>
      <c r="B372" s="187" t="s">
        <v>426</v>
      </c>
      <c r="C372" s="342">
        <v>200000</v>
      </c>
      <c r="D372" s="343">
        <v>200000</v>
      </c>
      <c r="E372" s="344"/>
      <c r="F372" s="345">
        <v>68480</v>
      </c>
      <c r="G372" s="344">
        <v>250000</v>
      </c>
      <c r="H372" s="96"/>
    </row>
    <row r="373" spans="1:8" hidden="1" x14ac:dyDescent="0.2">
      <c r="A373" s="341" t="s">
        <v>291</v>
      </c>
      <c r="B373" s="187" t="s">
        <v>427</v>
      </c>
      <c r="C373" s="342">
        <v>6000000</v>
      </c>
      <c r="D373" s="343">
        <v>4470000</v>
      </c>
      <c r="E373" s="344"/>
      <c r="F373" s="345">
        <v>1948524.91</v>
      </c>
      <c r="G373" s="344">
        <v>5000000</v>
      </c>
      <c r="H373" s="96"/>
    </row>
    <row r="374" spans="1:8" hidden="1" x14ac:dyDescent="0.2">
      <c r="A374" s="341" t="s">
        <v>428</v>
      </c>
      <c r="B374" s="187" t="s">
        <v>429</v>
      </c>
      <c r="C374" s="342">
        <v>600000</v>
      </c>
      <c r="D374" s="343">
        <v>600000</v>
      </c>
      <c r="E374" s="344"/>
      <c r="F374" s="345">
        <v>0</v>
      </c>
      <c r="G374" s="344">
        <v>700000</v>
      </c>
      <c r="H374" s="96"/>
    </row>
    <row r="375" spans="1:8" hidden="1" x14ac:dyDescent="0.2">
      <c r="A375" s="341" t="s">
        <v>430</v>
      </c>
      <c r="B375" s="187" t="s">
        <v>431</v>
      </c>
      <c r="C375" s="342">
        <v>150000</v>
      </c>
      <c r="D375" s="343">
        <v>150000</v>
      </c>
      <c r="E375" s="344"/>
      <c r="F375" s="345">
        <v>0</v>
      </c>
      <c r="G375" s="344">
        <v>2300000</v>
      </c>
      <c r="H375" s="96"/>
    </row>
    <row r="376" spans="1:8" hidden="1" x14ac:dyDescent="0.2">
      <c r="A376" s="341" t="s">
        <v>432</v>
      </c>
      <c r="B376" s="187" t="s">
        <v>433</v>
      </c>
      <c r="C376" s="342">
        <v>50000</v>
      </c>
      <c r="D376" s="343">
        <v>48648</v>
      </c>
      <c r="E376" s="344">
        <v>48327</v>
      </c>
      <c r="F376" s="345">
        <v>48327</v>
      </c>
      <c r="G376" s="344">
        <v>0</v>
      </c>
      <c r="H376" s="96"/>
    </row>
    <row r="377" spans="1:8" hidden="1" x14ac:dyDescent="0.2">
      <c r="A377" s="341" t="s">
        <v>434</v>
      </c>
      <c r="B377" s="187" t="s">
        <v>435</v>
      </c>
      <c r="C377" s="342">
        <v>300000</v>
      </c>
      <c r="D377" s="343">
        <v>104000</v>
      </c>
      <c r="E377" s="344"/>
      <c r="F377" s="345">
        <v>0</v>
      </c>
      <c r="G377" s="344">
        <v>0</v>
      </c>
      <c r="H377" s="96"/>
    </row>
    <row r="378" spans="1:8" hidden="1" x14ac:dyDescent="0.2">
      <c r="A378" s="341" t="s">
        <v>436</v>
      </c>
      <c r="B378" s="187" t="s">
        <v>437</v>
      </c>
      <c r="C378" s="342">
        <v>50000</v>
      </c>
      <c r="D378" s="343">
        <v>110352</v>
      </c>
      <c r="E378" s="344"/>
      <c r="F378" s="345">
        <v>20449</v>
      </c>
      <c r="G378" s="344">
        <v>1500000</v>
      </c>
      <c r="H378" s="96"/>
    </row>
    <row r="379" spans="1:8" hidden="1" x14ac:dyDescent="0.2">
      <c r="A379" s="341" t="s">
        <v>438</v>
      </c>
      <c r="B379" s="187" t="s">
        <v>439</v>
      </c>
      <c r="C379" s="342">
        <v>200000</v>
      </c>
      <c r="D379" s="343">
        <v>200000</v>
      </c>
      <c r="E379" s="344"/>
      <c r="F379" s="345">
        <v>44770</v>
      </c>
      <c r="G379" s="344">
        <v>170000</v>
      </c>
      <c r="H379" s="96"/>
    </row>
    <row r="380" spans="1:8" hidden="1" x14ac:dyDescent="0.2">
      <c r="A380" s="341" t="s">
        <v>440</v>
      </c>
      <c r="B380" s="187" t="s">
        <v>441</v>
      </c>
      <c r="C380" s="342">
        <v>600000</v>
      </c>
      <c r="D380" s="343">
        <v>50000</v>
      </c>
      <c r="E380" s="344"/>
      <c r="F380" s="345">
        <v>0</v>
      </c>
      <c r="G380" s="344">
        <v>200000</v>
      </c>
      <c r="H380" s="96"/>
    </row>
    <row r="381" spans="1:8" hidden="1" x14ac:dyDescent="0.2">
      <c r="A381" s="341" t="s">
        <v>442</v>
      </c>
      <c r="B381" s="187" t="s">
        <v>443</v>
      </c>
      <c r="C381" s="342">
        <v>70000</v>
      </c>
      <c r="D381" s="343">
        <v>70000</v>
      </c>
      <c r="E381" s="344"/>
      <c r="F381" s="345">
        <v>29335</v>
      </c>
      <c r="G381" s="344">
        <v>0</v>
      </c>
      <c r="H381" s="96"/>
    </row>
    <row r="382" spans="1:8" hidden="1" x14ac:dyDescent="0.2">
      <c r="A382" s="341" t="s">
        <v>444</v>
      </c>
      <c r="B382" s="187" t="s">
        <v>445</v>
      </c>
      <c r="C382" s="342">
        <v>150000</v>
      </c>
      <c r="D382" s="343">
        <v>150000</v>
      </c>
      <c r="E382" s="344"/>
      <c r="F382" s="345">
        <v>13068</v>
      </c>
      <c r="G382" s="344">
        <v>1400000</v>
      </c>
      <c r="H382" s="96"/>
    </row>
    <row r="383" spans="1:8" hidden="1" x14ac:dyDescent="0.2">
      <c r="A383" s="341" t="s">
        <v>446</v>
      </c>
      <c r="B383" s="187" t="s">
        <v>447</v>
      </c>
      <c r="C383" s="342">
        <v>0</v>
      </c>
      <c r="D383" s="343">
        <v>80000</v>
      </c>
      <c r="E383" s="344" t="s">
        <v>448</v>
      </c>
      <c r="F383" s="345">
        <v>0</v>
      </c>
      <c r="G383" s="344">
        <f>350000+300000</f>
        <v>650000</v>
      </c>
      <c r="H383" s="96"/>
    </row>
    <row r="384" spans="1:8" hidden="1" x14ac:dyDescent="0.2">
      <c r="A384" s="341" t="s">
        <v>449</v>
      </c>
      <c r="B384" s="187" t="s">
        <v>450</v>
      </c>
      <c r="C384" s="342">
        <v>0</v>
      </c>
      <c r="D384" s="343">
        <v>57000</v>
      </c>
      <c r="E384" s="344">
        <v>56083.5</v>
      </c>
      <c r="F384" s="345">
        <v>56083.5</v>
      </c>
      <c r="G384" s="344">
        <v>650000</v>
      </c>
      <c r="H384" s="96"/>
    </row>
    <row r="385" spans="1:8" hidden="1" x14ac:dyDescent="0.2">
      <c r="A385" s="341" t="s">
        <v>451</v>
      </c>
      <c r="B385" s="187" t="s">
        <v>452</v>
      </c>
      <c r="C385" s="342">
        <v>0</v>
      </c>
      <c r="D385" s="343">
        <v>0</v>
      </c>
      <c r="E385" s="344">
        <v>0</v>
      </c>
      <c r="F385" s="345">
        <v>0</v>
      </c>
      <c r="G385" s="344">
        <v>90000</v>
      </c>
      <c r="H385" s="96"/>
    </row>
    <row r="386" spans="1:8" hidden="1" x14ac:dyDescent="0.2">
      <c r="A386" s="341" t="s">
        <v>453</v>
      </c>
      <c r="B386" s="187" t="s">
        <v>454</v>
      </c>
      <c r="C386" s="342">
        <v>100000</v>
      </c>
      <c r="D386" s="343">
        <v>100000</v>
      </c>
      <c r="E386" s="344"/>
      <c r="F386" s="345">
        <v>0</v>
      </c>
      <c r="G386" s="344">
        <v>350000</v>
      </c>
      <c r="H386" s="96"/>
    </row>
    <row r="387" spans="1:8" hidden="1" x14ac:dyDescent="0.2">
      <c r="A387" s="341" t="s">
        <v>455</v>
      </c>
      <c r="B387" s="187" t="s">
        <v>456</v>
      </c>
      <c r="C387" s="342">
        <v>500000</v>
      </c>
      <c r="D387" s="343">
        <v>400000</v>
      </c>
      <c r="E387" s="344"/>
      <c r="F387" s="345">
        <v>0</v>
      </c>
      <c r="G387" s="368">
        <v>500000</v>
      </c>
      <c r="H387" s="96"/>
    </row>
    <row r="388" spans="1:8" hidden="1" x14ac:dyDescent="0.2">
      <c r="A388" s="341" t="s">
        <v>457</v>
      </c>
      <c r="B388" s="187" t="s">
        <v>458</v>
      </c>
      <c r="C388" s="342">
        <v>0</v>
      </c>
      <c r="D388" s="343">
        <v>0</v>
      </c>
      <c r="E388" s="344">
        <v>0</v>
      </c>
      <c r="F388" s="345">
        <v>0</v>
      </c>
      <c r="G388" s="344">
        <v>100000</v>
      </c>
      <c r="H388" s="96"/>
    </row>
    <row r="389" spans="1:8" hidden="1" x14ac:dyDescent="0.2">
      <c r="A389" s="341" t="s">
        <v>457</v>
      </c>
      <c r="B389" s="187" t="s">
        <v>459</v>
      </c>
      <c r="C389" s="342">
        <v>0</v>
      </c>
      <c r="D389" s="343">
        <v>0</v>
      </c>
      <c r="E389" s="344">
        <v>0</v>
      </c>
      <c r="F389" s="345">
        <v>0</v>
      </c>
      <c r="G389" s="344">
        <v>400000</v>
      </c>
      <c r="H389" s="96"/>
    </row>
    <row r="390" spans="1:8" hidden="1" x14ac:dyDescent="0.2">
      <c r="A390" s="341" t="s">
        <v>457</v>
      </c>
      <c r="B390" s="187" t="s">
        <v>460</v>
      </c>
      <c r="C390" s="342">
        <v>0</v>
      </c>
      <c r="D390" s="343">
        <v>0</v>
      </c>
      <c r="E390" s="344">
        <v>0</v>
      </c>
      <c r="F390" s="345">
        <v>0</v>
      </c>
      <c r="G390" s="344">
        <v>0</v>
      </c>
      <c r="H390" s="96"/>
    </row>
    <row r="391" spans="1:8" hidden="1" x14ac:dyDescent="0.2">
      <c r="A391" s="341" t="s">
        <v>457</v>
      </c>
      <c r="B391" s="187" t="s">
        <v>461</v>
      </c>
      <c r="C391" s="342">
        <v>0</v>
      </c>
      <c r="D391" s="343">
        <v>0</v>
      </c>
      <c r="E391" s="344">
        <v>0</v>
      </c>
      <c r="F391" s="345">
        <v>0</v>
      </c>
      <c r="G391" s="344">
        <v>100000</v>
      </c>
      <c r="H391" s="96"/>
    </row>
    <row r="392" spans="1:8" hidden="1" x14ac:dyDescent="0.2">
      <c r="A392" s="348">
        <v>2219</v>
      </c>
      <c r="B392" s="349" t="s">
        <v>462</v>
      </c>
      <c r="C392" s="350">
        <f>SUM(C393:C426)</f>
        <v>19390000</v>
      </c>
      <c r="D392" s="369">
        <f>SUM(D393:D426)</f>
        <v>18843480</v>
      </c>
      <c r="E392" s="352">
        <f>SUM(E393:E426)</f>
        <v>206710.5</v>
      </c>
      <c r="F392" s="370">
        <f>SUM(F393:F426)</f>
        <v>724205.41999999993</v>
      </c>
      <c r="G392" s="352">
        <f>SUM(G393:G426)</f>
        <v>27080500</v>
      </c>
      <c r="H392" s="96"/>
    </row>
    <row r="393" spans="1:8" hidden="1" x14ac:dyDescent="0.2">
      <c r="A393" s="371" t="s">
        <v>299</v>
      </c>
      <c r="B393" s="372" t="s">
        <v>463</v>
      </c>
      <c r="C393" s="342">
        <v>200000</v>
      </c>
      <c r="D393" s="343">
        <v>200000</v>
      </c>
      <c r="E393" s="344"/>
      <c r="F393" s="345">
        <v>19688</v>
      </c>
      <c r="G393" s="344">
        <v>200000</v>
      </c>
      <c r="H393" s="96"/>
    </row>
    <row r="394" spans="1:8" hidden="1" x14ac:dyDescent="0.2">
      <c r="A394" s="341" t="s">
        <v>301</v>
      </c>
      <c r="B394" s="187" t="s">
        <v>464</v>
      </c>
      <c r="C394" s="342">
        <v>3000000</v>
      </c>
      <c r="D394" s="343">
        <v>3000000</v>
      </c>
      <c r="E394" s="344"/>
      <c r="F394" s="345">
        <v>0</v>
      </c>
      <c r="G394" s="344">
        <v>3000000</v>
      </c>
      <c r="H394" s="96"/>
    </row>
    <row r="395" spans="1:8" hidden="1" x14ac:dyDescent="0.2">
      <c r="A395" s="341" t="s">
        <v>465</v>
      </c>
      <c r="B395" s="187" t="s">
        <v>466</v>
      </c>
      <c r="C395" s="342">
        <v>100000</v>
      </c>
      <c r="D395" s="343">
        <v>100000</v>
      </c>
      <c r="E395" s="344" t="s">
        <v>448</v>
      </c>
      <c r="F395" s="345">
        <v>0</v>
      </c>
      <c r="G395" s="344">
        <v>0</v>
      </c>
      <c r="H395" s="96"/>
    </row>
    <row r="396" spans="1:8" hidden="1" x14ac:dyDescent="0.2">
      <c r="A396" s="341" t="s">
        <v>467</v>
      </c>
      <c r="B396" s="187" t="s">
        <v>468</v>
      </c>
      <c r="C396" s="342">
        <v>200000</v>
      </c>
      <c r="D396" s="343">
        <v>233530</v>
      </c>
      <c r="E396" s="344"/>
      <c r="F396" s="345">
        <v>0</v>
      </c>
      <c r="G396" s="344">
        <v>200000</v>
      </c>
      <c r="H396" s="96"/>
    </row>
    <row r="397" spans="1:8" hidden="1" x14ac:dyDescent="0.2">
      <c r="A397" s="341" t="s">
        <v>469</v>
      </c>
      <c r="B397" s="187" t="s">
        <v>470</v>
      </c>
      <c r="C397" s="342">
        <v>600000</v>
      </c>
      <c r="D397" s="343">
        <v>600000</v>
      </c>
      <c r="E397" s="344"/>
      <c r="F397" s="345">
        <v>9680</v>
      </c>
      <c r="G397" s="344">
        <v>8650000</v>
      </c>
      <c r="H397" s="96"/>
    </row>
    <row r="398" spans="1:8" hidden="1" x14ac:dyDescent="0.2">
      <c r="A398" s="341" t="s">
        <v>471</v>
      </c>
      <c r="B398" s="187" t="s">
        <v>472</v>
      </c>
      <c r="C398" s="342">
        <v>100000</v>
      </c>
      <c r="D398" s="343">
        <v>100000</v>
      </c>
      <c r="E398" s="344"/>
      <c r="F398" s="345">
        <v>0</v>
      </c>
      <c r="G398" s="344">
        <v>300000</v>
      </c>
      <c r="H398" s="96"/>
    </row>
    <row r="399" spans="1:8" hidden="1" x14ac:dyDescent="0.2">
      <c r="A399" s="341" t="s">
        <v>473</v>
      </c>
      <c r="B399" s="187" t="s">
        <v>474</v>
      </c>
      <c r="C399" s="342">
        <v>500000</v>
      </c>
      <c r="D399" s="343">
        <v>50000</v>
      </c>
      <c r="E399" s="344" t="s">
        <v>448</v>
      </c>
      <c r="F399" s="345">
        <v>0</v>
      </c>
      <c r="G399" s="344">
        <v>50000</v>
      </c>
      <c r="H399" s="96"/>
    </row>
    <row r="400" spans="1:8" hidden="1" x14ac:dyDescent="0.2">
      <c r="A400" s="341" t="s">
        <v>475</v>
      </c>
      <c r="B400" s="187" t="s">
        <v>476</v>
      </c>
      <c r="C400" s="342">
        <v>80000</v>
      </c>
      <c r="D400" s="343">
        <v>80000</v>
      </c>
      <c r="E400" s="344" t="s">
        <v>448</v>
      </c>
      <c r="F400" s="345">
        <v>0</v>
      </c>
      <c r="G400" s="344">
        <v>150000</v>
      </c>
      <c r="H400" s="96"/>
    </row>
    <row r="401" spans="1:8" hidden="1" x14ac:dyDescent="0.2">
      <c r="A401" s="341" t="s">
        <v>477</v>
      </c>
      <c r="B401" s="187" t="s">
        <v>478</v>
      </c>
      <c r="C401" s="342">
        <v>70000</v>
      </c>
      <c r="D401" s="343">
        <v>70000</v>
      </c>
      <c r="E401" s="344" t="s">
        <v>448</v>
      </c>
      <c r="F401" s="345">
        <v>3000</v>
      </c>
      <c r="G401" s="344">
        <v>0</v>
      </c>
      <c r="H401" s="96"/>
    </row>
    <row r="402" spans="1:8" hidden="1" x14ac:dyDescent="0.2">
      <c r="A402" s="341" t="s">
        <v>479</v>
      </c>
      <c r="B402" s="187" t="s">
        <v>480</v>
      </c>
      <c r="C402" s="342">
        <v>120000</v>
      </c>
      <c r="D402" s="343">
        <v>120000</v>
      </c>
      <c r="E402" s="344" t="s">
        <v>448</v>
      </c>
      <c r="F402" s="345">
        <v>0</v>
      </c>
      <c r="G402" s="344">
        <v>0</v>
      </c>
      <c r="H402" s="96"/>
    </row>
    <row r="403" spans="1:8" hidden="1" x14ac:dyDescent="0.2">
      <c r="A403" s="341" t="s">
        <v>481</v>
      </c>
      <c r="B403" s="187" t="s">
        <v>482</v>
      </c>
      <c r="C403" s="342">
        <v>500000</v>
      </c>
      <c r="D403" s="343">
        <v>500000</v>
      </c>
      <c r="E403" s="344" t="s">
        <v>448</v>
      </c>
      <c r="F403" s="345">
        <v>3100</v>
      </c>
      <c r="G403" s="344">
        <v>50000</v>
      </c>
      <c r="H403" s="96"/>
    </row>
    <row r="404" spans="1:8" hidden="1" x14ac:dyDescent="0.2">
      <c r="A404" s="341" t="s">
        <v>483</v>
      </c>
      <c r="B404" s="187" t="s">
        <v>484</v>
      </c>
      <c r="C404" s="342">
        <v>2050000</v>
      </c>
      <c r="D404" s="343">
        <v>2950000</v>
      </c>
      <c r="E404" s="344"/>
      <c r="F404" s="345">
        <v>296291.92</v>
      </c>
      <c r="G404" s="344">
        <v>0</v>
      </c>
      <c r="H404" s="96"/>
    </row>
    <row r="405" spans="1:8" hidden="1" x14ac:dyDescent="0.2">
      <c r="A405" s="341" t="s">
        <v>485</v>
      </c>
      <c r="B405" s="187" t="s">
        <v>486</v>
      </c>
      <c r="C405" s="342">
        <v>500000</v>
      </c>
      <c r="D405" s="343">
        <v>16950</v>
      </c>
      <c r="E405" s="344">
        <v>7000</v>
      </c>
      <c r="F405" s="345">
        <v>7000</v>
      </c>
      <c r="G405" s="344">
        <v>0</v>
      </c>
      <c r="H405" s="96"/>
    </row>
    <row r="406" spans="1:8" hidden="1" x14ac:dyDescent="0.2">
      <c r="A406" s="341" t="s">
        <v>487</v>
      </c>
      <c r="B406" s="187" t="s">
        <v>488</v>
      </c>
      <c r="C406" s="342">
        <v>500000</v>
      </c>
      <c r="D406" s="343">
        <v>0</v>
      </c>
      <c r="E406" s="344">
        <v>0</v>
      </c>
      <c r="F406" s="345">
        <v>0</v>
      </c>
      <c r="G406" s="344">
        <v>0</v>
      </c>
      <c r="H406" s="96"/>
    </row>
    <row r="407" spans="1:8" hidden="1" x14ac:dyDescent="0.2">
      <c r="A407" s="341" t="s">
        <v>489</v>
      </c>
      <c r="B407" s="187" t="s">
        <v>490</v>
      </c>
      <c r="C407" s="342">
        <v>0</v>
      </c>
      <c r="D407" s="343">
        <v>0</v>
      </c>
      <c r="E407" s="344">
        <v>0</v>
      </c>
      <c r="F407" s="345">
        <v>0</v>
      </c>
      <c r="G407" s="344">
        <v>1200000</v>
      </c>
      <c r="H407" s="96"/>
    </row>
    <row r="408" spans="1:8" hidden="1" x14ac:dyDescent="0.2">
      <c r="A408" s="341" t="s">
        <v>491</v>
      </c>
      <c r="B408" s="187" t="s">
        <v>492</v>
      </c>
      <c r="C408" s="342">
        <v>500000</v>
      </c>
      <c r="D408" s="343">
        <v>500000</v>
      </c>
      <c r="E408" s="344"/>
      <c r="F408" s="345">
        <v>169642</v>
      </c>
      <c r="G408" s="344">
        <v>160500</v>
      </c>
      <c r="H408" s="96"/>
    </row>
    <row r="409" spans="1:8" hidden="1" x14ac:dyDescent="0.2">
      <c r="A409" s="341" t="s">
        <v>493</v>
      </c>
      <c r="B409" s="187" t="s">
        <v>494</v>
      </c>
      <c r="C409" s="342">
        <v>10000000</v>
      </c>
      <c r="D409" s="343">
        <v>10000000</v>
      </c>
      <c r="E409" s="344"/>
      <c r="F409" s="345">
        <v>0</v>
      </c>
      <c r="G409" s="344">
        <v>8500000</v>
      </c>
      <c r="H409" s="96"/>
    </row>
    <row r="410" spans="1:8" hidden="1" x14ac:dyDescent="0.2">
      <c r="A410" s="341" t="s">
        <v>495</v>
      </c>
      <c r="B410" s="187" t="s">
        <v>496</v>
      </c>
      <c r="C410" s="342">
        <v>100000</v>
      </c>
      <c r="D410" s="343">
        <v>0</v>
      </c>
      <c r="E410" s="344">
        <v>0</v>
      </c>
      <c r="F410" s="345">
        <v>0</v>
      </c>
      <c r="G410" s="344">
        <v>100000</v>
      </c>
      <c r="H410" s="96"/>
    </row>
    <row r="411" spans="1:8" hidden="1" x14ac:dyDescent="0.2">
      <c r="A411" s="341" t="s">
        <v>497</v>
      </c>
      <c r="B411" s="187" t="s">
        <v>498</v>
      </c>
      <c r="C411" s="342">
        <v>0</v>
      </c>
      <c r="D411" s="343">
        <v>0</v>
      </c>
      <c r="E411" s="344">
        <v>0</v>
      </c>
      <c r="F411" s="345">
        <v>0</v>
      </c>
      <c r="G411" s="344">
        <v>550000</v>
      </c>
      <c r="H411" s="96"/>
    </row>
    <row r="412" spans="1:8" hidden="1" x14ac:dyDescent="0.2">
      <c r="A412" s="341" t="s">
        <v>499</v>
      </c>
      <c r="B412" s="187" t="s">
        <v>500</v>
      </c>
      <c r="C412" s="342">
        <v>0</v>
      </c>
      <c r="D412" s="343">
        <v>20000</v>
      </c>
      <c r="E412" s="344" t="s">
        <v>448</v>
      </c>
      <c r="F412" s="345">
        <v>16093</v>
      </c>
      <c r="G412" s="344">
        <v>1500000</v>
      </c>
      <c r="H412" s="96"/>
    </row>
    <row r="413" spans="1:8" hidden="1" x14ac:dyDescent="0.2">
      <c r="A413" s="341" t="s">
        <v>501</v>
      </c>
      <c r="B413" s="187" t="s">
        <v>502</v>
      </c>
      <c r="C413" s="342">
        <v>200000</v>
      </c>
      <c r="D413" s="343">
        <v>233000</v>
      </c>
      <c r="E413" s="344">
        <v>199710.5</v>
      </c>
      <c r="F413" s="345">
        <v>199710.5</v>
      </c>
      <c r="G413" s="344">
        <v>200000</v>
      </c>
      <c r="H413" s="96"/>
    </row>
    <row r="414" spans="1:8" hidden="1" x14ac:dyDescent="0.2">
      <c r="A414" s="341" t="s">
        <v>503</v>
      </c>
      <c r="B414" s="187" t="s">
        <v>504</v>
      </c>
      <c r="C414" s="342">
        <v>70000</v>
      </c>
      <c r="D414" s="343">
        <v>70000</v>
      </c>
      <c r="E414" s="344"/>
      <c r="F414" s="345">
        <v>0</v>
      </c>
      <c r="G414" s="344">
        <v>70000</v>
      </c>
      <c r="H414" s="96"/>
    </row>
    <row r="415" spans="1:8" hidden="1" x14ac:dyDescent="0.2">
      <c r="A415" s="341" t="s">
        <v>505</v>
      </c>
      <c r="B415" s="187" t="s">
        <v>506</v>
      </c>
      <c r="C415" s="342">
        <v>0</v>
      </c>
      <c r="D415" s="343">
        <v>0</v>
      </c>
      <c r="E415" s="344">
        <v>0</v>
      </c>
      <c r="F415" s="345">
        <v>0</v>
      </c>
      <c r="G415" s="344">
        <v>500000</v>
      </c>
      <c r="H415" s="96"/>
    </row>
    <row r="416" spans="1:8" hidden="1" x14ac:dyDescent="0.2">
      <c r="A416" s="341" t="s">
        <v>505</v>
      </c>
      <c r="B416" s="372" t="s">
        <v>507</v>
      </c>
      <c r="C416" s="342">
        <v>0</v>
      </c>
      <c r="D416" s="343">
        <v>0</v>
      </c>
      <c r="E416" s="344">
        <v>0</v>
      </c>
      <c r="F416" s="345">
        <v>0</v>
      </c>
      <c r="G416" s="368">
        <v>200000</v>
      </c>
      <c r="H416" s="96"/>
    </row>
    <row r="417" spans="1:8" hidden="1" x14ac:dyDescent="0.2">
      <c r="A417" s="341" t="s">
        <v>505</v>
      </c>
      <c r="B417" s="372" t="s">
        <v>508</v>
      </c>
      <c r="C417" s="342">
        <v>0</v>
      </c>
      <c r="D417" s="343">
        <v>0</v>
      </c>
      <c r="E417" s="344">
        <v>0</v>
      </c>
      <c r="F417" s="345">
        <v>0</v>
      </c>
      <c r="G417" s="344">
        <v>100000</v>
      </c>
      <c r="H417" s="96"/>
    </row>
    <row r="418" spans="1:8" hidden="1" x14ac:dyDescent="0.2">
      <c r="A418" s="341" t="s">
        <v>505</v>
      </c>
      <c r="B418" s="372" t="s">
        <v>509</v>
      </c>
      <c r="C418" s="342">
        <v>0</v>
      </c>
      <c r="D418" s="343">
        <v>0</v>
      </c>
      <c r="E418" s="344">
        <v>0</v>
      </c>
      <c r="F418" s="345">
        <v>0</v>
      </c>
      <c r="G418" s="344">
        <v>100000</v>
      </c>
      <c r="H418" s="96"/>
    </row>
    <row r="419" spans="1:8" hidden="1" x14ac:dyDescent="0.2">
      <c r="A419" s="341" t="s">
        <v>505</v>
      </c>
      <c r="B419" s="372" t="s">
        <v>510</v>
      </c>
      <c r="C419" s="342">
        <v>0</v>
      </c>
      <c r="D419" s="343">
        <v>0</v>
      </c>
      <c r="E419" s="344">
        <v>0</v>
      </c>
      <c r="F419" s="345">
        <v>0</v>
      </c>
      <c r="G419" s="344">
        <v>100000</v>
      </c>
      <c r="H419" s="92"/>
    </row>
    <row r="420" spans="1:8" hidden="1" x14ac:dyDescent="0.2">
      <c r="A420" s="341" t="s">
        <v>505</v>
      </c>
      <c r="B420" s="372" t="s">
        <v>511</v>
      </c>
      <c r="C420" s="342">
        <v>0</v>
      </c>
      <c r="D420" s="343">
        <v>0</v>
      </c>
      <c r="E420" s="344">
        <v>0</v>
      </c>
      <c r="F420" s="345">
        <v>0</v>
      </c>
      <c r="G420" s="344">
        <v>150000</v>
      </c>
      <c r="H420" s="96"/>
    </row>
    <row r="421" spans="1:8" hidden="1" x14ac:dyDescent="0.2">
      <c r="A421" s="341" t="s">
        <v>505</v>
      </c>
      <c r="B421" s="372" t="s">
        <v>512</v>
      </c>
      <c r="C421" s="342">
        <v>0</v>
      </c>
      <c r="D421" s="343">
        <v>0</v>
      </c>
      <c r="E421" s="344">
        <v>0</v>
      </c>
      <c r="F421" s="345">
        <v>0</v>
      </c>
      <c r="G421" s="344">
        <v>100000</v>
      </c>
      <c r="H421" s="96"/>
    </row>
    <row r="422" spans="1:8" hidden="1" x14ac:dyDescent="0.2">
      <c r="A422" s="341" t="s">
        <v>505</v>
      </c>
      <c r="B422" s="372" t="s">
        <v>513</v>
      </c>
      <c r="C422" s="342">
        <v>0</v>
      </c>
      <c r="D422" s="343">
        <v>0</v>
      </c>
      <c r="E422" s="344">
        <v>0</v>
      </c>
      <c r="F422" s="345">
        <v>0</v>
      </c>
      <c r="G422" s="344">
        <v>100000</v>
      </c>
      <c r="H422" s="118"/>
    </row>
    <row r="423" spans="1:8" hidden="1" x14ac:dyDescent="0.2">
      <c r="A423" s="341" t="s">
        <v>505</v>
      </c>
      <c r="B423" s="187" t="s">
        <v>514</v>
      </c>
      <c r="C423" s="342">
        <v>0</v>
      </c>
      <c r="D423" s="343">
        <v>0</v>
      </c>
      <c r="E423" s="344">
        <v>0</v>
      </c>
      <c r="F423" s="345">
        <v>0</v>
      </c>
      <c r="G423" s="344">
        <v>150000</v>
      </c>
      <c r="H423" s="96"/>
    </row>
    <row r="424" spans="1:8" hidden="1" x14ac:dyDescent="0.2">
      <c r="A424" s="341" t="s">
        <v>505</v>
      </c>
      <c r="B424" s="187" t="s">
        <v>515</v>
      </c>
      <c r="C424" s="342">
        <v>0</v>
      </c>
      <c r="D424" s="343">
        <v>0</v>
      </c>
      <c r="E424" s="344">
        <v>0</v>
      </c>
      <c r="F424" s="345">
        <v>0</v>
      </c>
      <c r="G424" s="344">
        <v>700000</v>
      </c>
      <c r="H424" s="96"/>
    </row>
    <row r="425" spans="1:8" hidden="1" x14ac:dyDescent="0.2">
      <c r="A425" s="341" t="s">
        <v>505</v>
      </c>
      <c r="B425" s="187" t="s">
        <v>516</v>
      </c>
      <c r="C425" s="342">
        <v>0</v>
      </c>
      <c r="D425" s="343">
        <v>0</v>
      </c>
      <c r="E425" s="344">
        <v>0</v>
      </c>
      <c r="F425" s="345">
        <v>0</v>
      </c>
      <c r="G425" s="344">
        <v>0</v>
      </c>
      <c r="H425" s="96"/>
    </row>
    <row r="426" spans="1:8" hidden="1" x14ac:dyDescent="0.2">
      <c r="A426" s="341" t="s">
        <v>505</v>
      </c>
      <c r="B426" s="187" t="s">
        <v>517</v>
      </c>
      <c r="C426" s="342">
        <v>0</v>
      </c>
      <c r="D426" s="343">
        <v>0</v>
      </c>
      <c r="E426" s="344">
        <v>0</v>
      </c>
      <c r="F426" s="345">
        <v>0</v>
      </c>
      <c r="G426" s="344">
        <v>0</v>
      </c>
      <c r="H426" s="96"/>
    </row>
    <row r="427" spans="1:8" hidden="1" x14ac:dyDescent="0.2">
      <c r="A427" s="348">
        <v>2221</v>
      </c>
      <c r="B427" s="349" t="s">
        <v>518</v>
      </c>
      <c r="C427" s="350">
        <f>SUM(C428:C430)</f>
        <v>0</v>
      </c>
      <c r="D427" s="369">
        <f>SUM(D428:D430)</f>
        <v>554680</v>
      </c>
      <c r="E427" s="352">
        <f>SUM(E428:E430)</f>
        <v>539765.86</v>
      </c>
      <c r="F427" s="370">
        <f>SUM(F428:F430)</f>
        <v>264680.93</v>
      </c>
      <c r="G427" s="352">
        <f>SUM(G428:G431)</f>
        <v>60000</v>
      </c>
      <c r="H427" s="96"/>
    </row>
    <row r="428" spans="1:8" hidden="1" x14ac:dyDescent="0.2">
      <c r="A428" s="341" t="s">
        <v>519</v>
      </c>
      <c r="B428" s="187" t="s">
        <v>520</v>
      </c>
      <c r="C428" s="342">
        <v>0</v>
      </c>
      <c r="D428" s="343">
        <v>4840</v>
      </c>
      <c r="E428" s="344">
        <v>4840</v>
      </c>
      <c r="F428" s="345">
        <v>4840</v>
      </c>
      <c r="G428" s="344">
        <v>0</v>
      </c>
      <c r="H428" s="96"/>
    </row>
    <row r="429" spans="1:8" hidden="1" x14ac:dyDescent="0.2">
      <c r="A429" s="341" t="s">
        <v>521</v>
      </c>
      <c r="B429" s="187" t="s">
        <v>522</v>
      </c>
      <c r="C429" s="342">
        <v>0</v>
      </c>
      <c r="D429" s="343">
        <v>4840</v>
      </c>
      <c r="E429" s="344">
        <v>4840</v>
      </c>
      <c r="F429" s="345">
        <v>4840</v>
      </c>
      <c r="G429" s="344">
        <v>0</v>
      </c>
      <c r="H429" s="96"/>
    </row>
    <row r="430" spans="1:8" hidden="1" x14ac:dyDescent="0.2">
      <c r="A430" s="341" t="s">
        <v>523</v>
      </c>
      <c r="B430" s="187" t="s">
        <v>524</v>
      </c>
      <c r="C430" s="342">
        <v>0</v>
      </c>
      <c r="D430" s="343">
        <v>545000</v>
      </c>
      <c r="E430" s="344">
        <v>530085.86</v>
      </c>
      <c r="F430" s="345">
        <v>255000.93</v>
      </c>
      <c r="G430" s="344">
        <v>0</v>
      </c>
      <c r="H430" s="96"/>
    </row>
    <row r="431" spans="1:8" hidden="1" x14ac:dyDescent="0.2">
      <c r="A431" s="360" t="s">
        <v>525</v>
      </c>
      <c r="B431" s="373" t="s">
        <v>526</v>
      </c>
      <c r="C431" s="374">
        <v>0</v>
      </c>
      <c r="D431" s="375">
        <v>0</v>
      </c>
      <c r="E431" s="376">
        <v>0</v>
      </c>
      <c r="F431" s="377">
        <v>0</v>
      </c>
      <c r="G431" s="376">
        <v>60000</v>
      </c>
      <c r="H431" s="96"/>
    </row>
    <row r="432" spans="1:8" ht="15.75" hidden="1" x14ac:dyDescent="0.25">
      <c r="A432" s="366"/>
      <c r="B432" s="367" t="s">
        <v>527</v>
      </c>
      <c r="C432" s="331">
        <f>SUM(C433+C435)</f>
        <v>10270000</v>
      </c>
      <c r="D432" s="332">
        <f>SUM(D433+D435)</f>
        <v>4360000</v>
      </c>
      <c r="E432" s="333">
        <f>SUM(E433+E435)</f>
        <v>1000</v>
      </c>
      <c r="F432" s="334">
        <f>SUM(F433+F435)</f>
        <v>1152211.8800000001</v>
      </c>
      <c r="G432" s="333">
        <f>SUM(G433+G435)</f>
        <v>6295000</v>
      </c>
      <c r="H432" s="96"/>
    </row>
    <row r="433" spans="1:8" hidden="1" x14ac:dyDescent="0.2">
      <c r="A433" s="335">
        <v>3613</v>
      </c>
      <c r="B433" s="336" t="s">
        <v>528</v>
      </c>
      <c r="C433" s="337">
        <f>C434</f>
        <v>900000</v>
      </c>
      <c r="D433" s="338">
        <f>D434</f>
        <v>400000</v>
      </c>
      <c r="E433" s="339">
        <f>E434</f>
        <v>0</v>
      </c>
      <c r="F433" s="340">
        <f>F434</f>
        <v>8000</v>
      </c>
      <c r="G433" s="339">
        <f>G434</f>
        <v>550000</v>
      </c>
      <c r="H433" s="96"/>
    </row>
    <row r="434" spans="1:8" hidden="1" x14ac:dyDescent="0.2">
      <c r="A434" s="341" t="s">
        <v>529</v>
      </c>
      <c r="B434" s="187" t="s">
        <v>530</v>
      </c>
      <c r="C434" s="342">
        <v>900000</v>
      </c>
      <c r="D434" s="343">
        <v>400000</v>
      </c>
      <c r="E434" s="344">
        <v>0</v>
      </c>
      <c r="F434" s="345">
        <v>8000</v>
      </c>
      <c r="G434" s="344">
        <v>550000</v>
      </c>
      <c r="H434" s="96"/>
    </row>
    <row r="435" spans="1:8" hidden="1" x14ac:dyDescent="0.2">
      <c r="A435" s="348">
        <v>3639</v>
      </c>
      <c r="B435" s="349" t="s">
        <v>531</v>
      </c>
      <c r="C435" s="350">
        <f>SUM(C436:C444)</f>
        <v>9370000</v>
      </c>
      <c r="D435" s="369">
        <f>SUM(D436:D444)</f>
        <v>3960000</v>
      </c>
      <c r="E435" s="352">
        <f>SUM(E436:E444)</f>
        <v>1000</v>
      </c>
      <c r="F435" s="370">
        <f>SUM(F436:F444)</f>
        <v>1144211.8800000001</v>
      </c>
      <c r="G435" s="352">
        <f>SUM(G436:G444)</f>
        <v>5745000</v>
      </c>
      <c r="H435" s="96"/>
    </row>
    <row r="436" spans="1:8" hidden="1" x14ac:dyDescent="0.2">
      <c r="A436" s="341" t="s">
        <v>532</v>
      </c>
      <c r="B436" s="187" t="s">
        <v>533</v>
      </c>
      <c r="C436" s="342">
        <v>260000</v>
      </c>
      <c r="D436" s="343">
        <v>0</v>
      </c>
      <c r="E436" s="344">
        <v>0</v>
      </c>
      <c r="F436" s="345">
        <v>0</v>
      </c>
      <c r="G436" s="344">
        <v>650000</v>
      </c>
      <c r="H436" s="96"/>
    </row>
    <row r="437" spans="1:8" hidden="1" x14ac:dyDescent="0.2">
      <c r="A437" s="341" t="s">
        <v>534</v>
      </c>
      <c r="B437" s="187" t="s">
        <v>535</v>
      </c>
      <c r="C437" s="342">
        <v>50000</v>
      </c>
      <c r="D437" s="343">
        <v>50000</v>
      </c>
      <c r="E437" s="344"/>
      <c r="F437" s="345">
        <v>12717.55</v>
      </c>
      <c r="G437" s="344">
        <v>20000</v>
      </c>
      <c r="H437" s="96"/>
    </row>
    <row r="438" spans="1:8" hidden="1" x14ac:dyDescent="0.2">
      <c r="A438" s="341" t="s">
        <v>536</v>
      </c>
      <c r="B438" s="187" t="s">
        <v>537</v>
      </c>
      <c r="C438" s="342">
        <v>0</v>
      </c>
      <c r="D438" s="343">
        <v>0</v>
      </c>
      <c r="E438" s="344">
        <v>0</v>
      </c>
      <c r="F438" s="345">
        <v>0</v>
      </c>
      <c r="G438" s="344">
        <v>20000</v>
      </c>
      <c r="H438" s="96"/>
    </row>
    <row r="439" spans="1:8" hidden="1" x14ac:dyDescent="0.2">
      <c r="A439" s="341" t="s">
        <v>538</v>
      </c>
      <c r="B439" s="187" t="s">
        <v>539</v>
      </c>
      <c r="C439" s="342">
        <v>0</v>
      </c>
      <c r="D439" s="343">
        <v>1000</v>
      </c>
      <c r="E439" s="344">
        <v>1000</v>
      </c>
      <c r="F439" s="345">
        <v>1000</v>
      </c>
      <c r="G439" s="344">
        <v>470000</v>
      </c>
      <c r="H439" s="96"/>
    </row>
    <row r="440" spans="1:8" ht="36" hidden="1" x14ac:dyDescent="0.2">
      <c r="A440" s="341" t="s">
        <v>540</v>
      </c>
      <c r="B440" s="378" t="s">
        <v>541</v>
      </c>
      <c r="C440" s="342">
        <v>8950000</v>
      </c>
      <c r="D440" s="343">
        <v>3756600</v>
      </c>
      <c r="E440" s="344" t="s">
        <v>448</v>
      </c>
      <c r="F440" s="345">
        <v>1129022.33</v>
      </c>
      <c r="G440" s="344">
        <v>4540000</v>
      </c>
      <c r="H440" s="96"/>
    </row>
    <row r="441" spans="1:8" hidden="1" x14ac:dyDescent="0.2">
      <c r="A441" s="341" t="s">
        <v>542</v>
      </c>
      <c r="B441" s="187" t="s">
        <v>543</v>
      </c>
      <c r="C441" s="342">
        <v>10000</v>
      </c>
      <c r="D441" s="343">
        <v>10000</v>
      </c>
      <c r="E441" s="344" t="s">
        <v>448</v>
      </c>
      <c r="F441" s="345">
        <v>1472</v>
      </c>
      <c r="G441" s="344">
        <v>45000</v>
      </c>
      <c r="H441" s="96"/>
    </row>
    <row r="442" spans="1:8" hidden="1" x14ac:dyDescent="0.2">
      <c r="A442" s="341" t="s">
        <v>544</v>
      </c>
      <c r="B442" s="187" t="s">
        <v>545</v>
      </c>
      <c r="C442" s="342">
        <v>50000</v>
      </c>
      <c r="D442" s="343">
        <v>0</v>
      </c>
      <c r="E442" s="344">
        <v>0</v>
      </c>
      <c r="F442" s="345">
        <v>0</v>
      </c>
      <c r="G442" s="344">
        <v>0</v>
      </c>
      <c r="H442" s="96"/>
    </row>
    <row r="443" spans="1:8" hidden="1" x14ac:dyDescent="0.2">
      <c r="A443" s="341" t="s">
        <v>546</v>
      </c>
      <c r="B443" s="187" t="s">
        <v>547</v>
      </c>
      <c r="C443" s="342">
        <v>50000</v>
      </c>
      <c r="D443" s="343">
        <v>50000</v>
      </c>
      <c r="E443" s="344" t="s">
        <v>448</v>
      </c>
      <c r="F443" s="345">
        <v>0</v>
      </c>
      <c r="G443" s="344">
        <v>0</v>
      </c>
      <c r="H443" s="96"/>
    </row>
    <row r="444" spans="1:8" hidden="1" x14ac:dyDescent="0.2">
      <c r="A444" s="360" t="s">
        <v>548</v>
      </c>
      <c r="B444" s="373" t="s">
        <v>549</v>
      </c>
      <c r="C444" s="374">
        <v>0</v>
      </c>
      <c r="D444" s="375">
        <v>92400</v>
      </c>
      <c r="E444" s="376"/>
      <c r="F444" s="377">
        <v>0</v>
      </c>
      <c r="G444" s="376">
        <v>0</v>
      </c>
      <c r="H444" s="96"/>
    </row>
    <row r="445" spans="1:8" ht="15.75" hidden="1" x14ac:dyDescent="0.25">
      <c r="A445" s="366"/>
      <c r="B445" s="367" t="s">
        <v>550</v>
      </c>
      <c r="C445" s="379">
        <f>SUM(C446,C449,C455,C469,C472)</f>
        <v>38897343</v>
      </c>
      <c r="D445" s="380">
        <f>SUM(D446,D449,D455,D469,D472)</f>
        <v>36797343</v>
      </c>
      <c r="E445" s="381">
        <f>SUM(E446,E449,E455,E469,E472)</f>
        <v>313046.65000000002</v>
      </c>
      <c r="F445" s="382">
        <f>SUM(F446,F449,F455,F469,F472)</f>
        <v>963168.65</v>
      </c>
      <c r="G445" s="381">
        <f>SUM(G446,G449,G455,G469,G472)</f>
        <v>52726000</v>
      </c>
      <c r="H445" s="96"/>
    </row>
    <row r="446" spans="1:8" hidden="1" x14ac:dyDescent="0.2">
      <c r="A446" s="335">
        <v>3412</v>
      </c>
      <c r="B446" s="336" t="s">
        <v>551</v>
      </c>
      <c r="C446" s="337">
        <f>SUM(C447:C448)</f>
        <v>0</v>
      </c>
      <c r="D446" s="338">
        <f>SUM(D447:D448)</f>
        <v>0</v>
      </c>
      <c r="E446" s="339">
        <f>SUM(E447:E448)</f>
        <v>0</v>
      </c>
      <c r="F446" s="340">
        <f>SUM(F447:F448)</f>
        <v>0</v>
      </c>
      <c r="G446" s="339">
        <f>SUM(G447:G448)</f>
        <v>2500000</v>
      </c>
      <c r="H446" s="96"/>
    </row>
    <row r="447" spans="1:8" hidden="1" x14ac:dyDescent="0.2">
      <c r="A447" s="341" t="s">
        <v>552</v>
      </c>
      <c r="B447" s="187" t="s">
        <v>553</v>
      </c>
      <c r="C447" s="342">
        <v>0</v>
      </c>
      <c r="D447" s="343">
        <v>0</v>
      </c>
      <c r="E447" s="344">
        <v>0</v>
      </c>
      <c r="F447" s="345">
        <v>0</v>
      </c>
      <c r="G447" s="344">
        <v>500000</v>
      </c>
      <c r="H447" s="96"/>
    </row>
    <row r="448" spans="1:8" hidden="1" x14ac:dyDescent="0.2">
      <c r="A448" s="341" t="s">
        <v>552</v>
      </c>
      <c r="B448" s="187" t="s">
        <v>554</v>
      </c>
      <c r="C448" s="342">
        <v>0</v>
      </c>
      <c r="D448" s="343">
        <v>0</v>
      </c>
      <c r="E448" s="344">
        <v>0</v>
      </c>
      <c r="F448" s="345">
        <v>0</v>
      </c>
      <c r="G448" s="344">
        <v>2000000</v>
      </c>
      <c r="H448" s="96"/>
    </row>
    <row r="449" spans="1:8" hidden="1" x14ac:dyDescent="0.2">
      <c r="A449" s="348">
        <v>3613</v>
      </c>
      <c r="B449" s="349" t="s">
        <v>555</v>
      </c>
      <c r="C449" s="350">
        <f>SUM(C450:C454)</f>
        <v>542343</v>
      </c>
      <c r="D449" s="369">
        <f>SUM(D450:D454)</f>
        <v>542343</v>
      </c>
      <c r="E449" s="352">
        <f>SUM(E450:E454)</f>
        <v>0</v>
      </c>
      <c r="F449" s="370">
        <f>SUM(F450:F454)</f>
        <v>48400</v>
      </c>
      <c r="G449" s="352">
        <f>SUM(G450:G454)</f>
        <v>8010000</v>
      </c>
      <c r="H449" s="96"/>
    </row>
    <row r="450" spans="1:8" hidden="1" x14ac:dyDescent="0.2">
      <c r="A450" s="341" t="s">
        <v>556</v>
      </c>
      <c r="B450" s="187" t="s">
        <v>557</v>
      </c>
      <c r="C450" s="342">
        <v>72343</v>
      </c>
      <c r="D450" s="343">
        <v>72343</v>
      </c>
      <c r="E450" s="344" t="s">
        <v>448</v>
      </c>
      <c r="F450" s="345">
        <v>0</v>
      </c>
      <c r="G450" s="344">
        <v>0</v>
      </c>
      <c r="H450" s="96"/>
    </row>
    <row r="451" spans="1:8" hidden="1" x14ac:dyDescent="0.2">
      <c r="A451" s="341" t="s">
        <v>558</v>
      </c>
      <c r="B451" s="187" t="s">
        <v>559</v>
      </c>
      <c r="C451" s="342">
        <v>300000</v>
      </c>
      <c r="D451" s="343">
        <v>300000</v>
      </c>
      <c r="E451" s="344"/>
      <c r="F451" s="345">
        <v>0</v>
      </c>
      <c r="G451" s="344">
        <v>200000</v>
      </c>
      <c r="H451" s="96"/>
    </row>
    <row r="452" spans="1:8" hidden="1" x14ac:dyDescent="0.2">
      <c r="A452" s="341" t="s">
        <v>560</v>
      </c>
      <c r="B452" s="187" t="s">
        <v>561</v>
      </c>
      <c r="C452" s="342">
        <v>70000</v>
      </c>
      <c r="D452" s="343">
        <v>70000</v>
      </c>
      <c r="E452" s="344"/>
      <c r="F452" s="345">
        <v>0</v>
      </c>
      <c r="G452" s="344">
        <v>10000</v>
      </c>
      <c r="H452" s="96"/>
    </row>
    <row r="453" spans="1:8" hidden="1" x14ac:dyDescent="0.2">
      <c r="A453" s="341" t="s">
        <v>562</v>
      </c>
      <c r="B453" s="187" t="s">
        <v>563</v>
      </c>
      <c r="C453" s="342">
        <v>100000</v>
      </c>
      <c r="D453" s="343">
        <v>100000</v>
      </c>
      <c r="E453" s="344"/>
      <c r="F453" s="345">
        <v>48400</v>
      </c>
      <c r="G453" s="344">
        <v>7800000</v>
      </c>
      <c r="H453" s="96"/>
    </row>
    <row r="454" spans="1:8" hidden="1" x14ac:dyDescent="0.2">
      <c r="A454" s="341" t="s">
        <v>564</v>
      </c>
      <c r="B454" s="187" t="s">
        <v>565</v>
      </c>
      <c r="C454" s="342">
        <v>0</v>
      </c>
      <c r="D454" s="343">
        <v>0</v>
      </c>
      <c r="E454" s="344">
        <v>0</v>
      </c>
      <c r="F454" s="345">
        <v>0</v>
      </c>
      <c r="G454" s="344">
        <v>0</v>
      </c>
      <c r="H454" s="96"/>
    </row>
    <row r="455" spans="1:8" hidden="1" x14ac:dyDescent="0.2">
      <c r="A455" s="348">
        <v>3631</v>
      </c>
      <c r="B455" s="349" t="s">
        <v>566</v>
      </c>
      <c r="C455" s="350">
        <f>SUM(C456:C468)</f>
        <v>3555000</v>
      </c>
      <c r="D455" s="369">
        <f>SUM(D456:D468)</f>
        <v>3055000</v>
      </c>
      <c r="E455" s="352">
        <f>SUM(E456:E468)</f>
        <v>313046.65000000002</v>
      </c>
      <c r="F455" s="370">
        <f>SUM(F456:F468)</f>
        <v>344272.65</v>
      </c>
      <c r="G455" s="352">
        <f>SUM(G456:G468)</f>
        <v>10716000</v>
      </c>
      <c r="H455" s="96"/>
    </row>
    <row r="456" spans="1:8" hidden="1" x14ac:dyDescent="0.2">
      <c r="A456" s="341" t="s">
        <v>567</v>
      </c>
      <c r="B456" s="187" t="s">
        <v>568</v>
      </c>
      <c r="C456" s="342">
        <v>500000</v>
      </c>
      <c r="D456" s="343">
        <v>295000</v>
      </c>
      <c r="E456" s="344"/>
      <c r="F456" s="345">
        <v>0</v>
      </c>
      <c r="G456" s="344">
        <v>0</v>
      </c>
      <c r="H456" s="118"/>
    </row>
    <row r="457" spans="1:8" hidden="1" x14ac:dyDescent="0.2">
      <c r="A457" s="341" t="s">
        <v>569</v>
      </c>
      <c r="B457" s="187" t="s">
        <v>570</v>
      </c>
      <c r="C457" s="342">
        <v>230000</v>
      </c>
      <c r="D457" s="343">
        <v>230000</v>
      </c>
      <c r="E457" s="344">
        <v>192909.68</v>
      </c>
      <c r="F457" s="345">
        <v>192909.68</v>
      </c>
      <c r="G457" s="344">
        <v>0</v>
      </c>
      <c r="H457" s="96"/>
    </row>
    <row r="458" spans="1:8" hidden="1" x14ac:dyDescent="0.2">
      <c r="A458" s="341" t="s">
        <v>571</v>
      </c>
      <c r="B458" s="187" t="s">
        <v>572</v>
      </c>
      <c r="C458" s="342">
        <v>700000</v>
      </c>
      <c r="D458" s="343">
        <v>700000</v>
      </c>
      <c r="E458" s="344" t="s">
        <v>448</v>
      </c>
      <c r="F458" s="345">
        <v>0</v>
      </c>
      <c r="G458" s="344">
        <v>0</v>
      </c>
      <c r="H458" s="96"/>
    </row>
    <row r="459" spans="1:8" hidden="1" x14ac:dyDescent="0.2">
      <c r="A459" s="341" t="s">
        <v>573</v>
      </c>
      <c r="B459" s="187" t="s">
        <v>574</v>
      </c>
      <c r="C459" s="342">
        <v>200000</v>
      </c>
      <c r="D459" s="343">
        <v>200000</v>
      </c>
      <c r="E459" s="344"/>
      <c r="F459" s="345">
        <v>0</v>
      </c>
      <c r="G459" s="344">
        <v>6600000</v>
      </c>
      <c r="H459" s="96"/>
    </row>
    <row r="460" spans="1:8" hidden="1" x14ac:dyDescent="0.2">
      <c r="A460" s="341" t="s">
        <v>575</v>
      </c>
      <c r="B460" s="187" t="s">
        <v>576</v>
      </c>
      <c r="C460" s="342">
        <v>35000</v>
      </c>
      <c r="D460" s="343">
        <v>40000</v>
      </c>
      <c r="E460" s="344">
        <v>39546.97</v>
      </c>
      <c r="F460" s="345">
        <v>39546.97</v>
      </c>
      <c r="G460" s="344">
        <v>0</v>
      </c>
      <c r="H460" s="96"/>
    </row>
    <row r="461" spans="1:8" hidden="1" x14ac:dyDescent="0.2">
      <c r="A461" s="341" t="s">
        <v>577</v>
      </c>
      <c r="B461" s="187" t="s">
        <v>578</v>
      </c>
      <c r="C461" s="342">
        <v>80000</v>
      </c>
      <c r="D461" s="343">
        <v>80000</v>
      </c>
      <c r="E461" s="344">
        <v>59290</v>
      </c>
      <c r="F461" s="345">
        <v>59290</v>
      </c>
      <c r="G461" s="344">
        <v>1400000</v>
      </c>
      <c r="H461" s="96"/>
    </row>
    <row r="462" spans="1:8" hidden="1" x14ac:dyDescent="0.2">
      <c r="A462" s="341" t="s">
        <v>579</v>
      </c>
      <c r="B462" s="187" t="s">
        <v>580</v>
      </c>
      <c r="C462" s="342">
        <v>1400000</v>
      </c>
      <c r="D462" s="343">
        <v>1100000</v>
      </c>
      <c r="E462" s="344" t="s">
        <v>448</v>
      </c>
      <c r="F462" s="345">
        <v>31226</v>
      </c>
      <c r="G462" s="344">
        <v>0</v>
      </c>
      <c r="H462" s="96"/>
    </row>
    <row r="463" spans="1:8" hidden="1" x14ac:dyDescent="0.2">
      <c r="A463" s="341" t="s">
        <v>581</v>
      </c>
      <c r="B463" s="187" t="s">
        <v>582</v>
      </c>
      <c r="C463" s="342">
        <v>60000</v>
      </c>
      <c r="D463" s="343">
        <v>60000</v>
      </c>
      <c r="E463" s="344">
        <v>21300</v>
      </c>
      <c r="F463" s="345">
        <v>21300</v>
      </c>
      <c r="G463" s="344">
        <v>0</v>
      </c>
      <c r="H463" s="96"/>
    </row>
    <row r="464" spans="1:8" hidden="1" x14ac:dyDescent="0.2">
      <c r="A464" s="341" t="s">
        <v>583</v>
      </c>
      <c r="B464" s="187" t="s">
        <v>584</v>
      </c>
      <c r="C464" s="342">
        <v>100000</v>
      </c>
      <c r="D464" s="343">
        <v>100000</v>
      </c>
      <c r="E464" s="344" t="s">
        <v>448</v>
      </c>
      <c r="F464" s="345">
        <v>0</v>
      </c>
      <c r="G464" s="344">
        <v>1466000</v>
      </c>
      <c r="H464" s="96"/>
    </row>
    <row r="465" spans="1:8" hidden="1" x14ac:dyDescent="0.2">
      <c r="A465" s="341" t="s">
        <v>585</v>
      </c>
      <c r="B465" s="187" t="s">
        <v>586</v>
      </c>
      <c r="C465" s="342">
        <v>100000</v>
      </c>
      <c r="D465" s="343">
        <v>100000</v>
      </c>
      <c r="E465" s="344" t="s">
        <v>448</v>
      </c>
      <c r="F465" s="345">
        <v>0</v>
      </c>
      <c r="G465" s="344">
        <v>0</v>
      </c>
      <c r="H465" s="96"/>
    </row>
    <row r="466" spans="1:8" hidden="1" x14ac:dyDescent="0.2">
      <c r="A466" s="341" t="s">
        <v>587</v>
      </c>
      <c r="B466" s="187" t="s">
        <v>588</v>
      </c>
      <c r="C466" s="342">
        <v>90000</v>
      </c>
      <c r="D466" s="343">
        <v>90000</v>
      </c>
      <c r="E466" s="344" t="s">
        <v>448</v>
      </c>
      <c r="F466" s="345">
        <v>0</v>
      </c>
      <c r="G466" s="344">
        <v>0</v>
      </c>
      <c r="H466" s="96"/>
    </row>
    <row r="467" spans="1:8" hidden="1" x14ac:dyDescent="0.2">
      <c r="A467" s="341" t="s">
        <v>589</v>
      </c>
      <c r="B467" s="187" t="s">
        <v>590</v>
      </c>
      <c r="C467" s="342">
        <v>60000</v>
      </c>
      <c r="D467" s="343">
        <v>60000</v>
      </c>
      <c r="E467" s="344" t="s">
        <v>448</v>
      </c>
      <c r="F467" s="345">
        <v>0</v>
      </c>
      <c r="G467" s="344">
        <v>1200000</v>
      </c>
      <c r="H467" s="96"/>
    </row>
    <row r="468" spans="1:8" hidden="1" x14ac:dyDescent="0.2">
      <c r="A468" s="341" t="s">
        <v>591</v>
      </c>
      <c r="B468" s="187" t="s">
        <v>592</v>
      </c>
      <c r="C468" s="342">
        <v>0</v>
      </c>
      <c r="D468" s="343">
        <v>0</v>
      </c>
      <c r="E468" s="344">
        <v>0</v>
      </c>
      <c r="F468" s="345">
        <v>0</v>
      </c>
      <c r="G468" s="368">
        <v>50000</v>
      </c>
      <c r="H468" s="96"/>
    </row>
    <row r="469" spans="1:8" hidden="1" x14ac:dyDescent="0.2">
      <c r="A469" s="348">
        <v>3632</v>
      </c>
      <c r="B469" s="349" t="s">
        <v>593</v>
      </c>
      <c r="C469" s="350">
        <f>SUM(C470:C471)</f>
        <v>1400000</v>
      </c>
      <c r="D469" s="369">
        <f>SUM(D470:D471)</f>
        <v>900000</v>
      </c>
      <c r="E469" s="352">
        <f>SUM(E470:E471)</f>
        <v>0</v>
      </c>
      <c r="F469" s="370">
        <f>SUM(F470:F471)</f>
        <v>457240</v>
      </c>
      <c r="G469" s="352">
        <f>SUM(G470:G471)</f>
        <v>0</v>
      </c>
      <c r="H469" s="96"/>
    </row>
    <row r="470" spans="1:8" hidden="1" x14ac:dyDescent="0.2">
      <c r="A470" s="341" t="s">
        <v>594</v>
      </c>
      <c r="B470" s="187" t="s">
        <v>595</v>
      </c>
      <c r="C470" s="342">
        <v>0</v>
      </c>
      <c r="D470" s="343">
        <v>900000</v>
      </c>
      <c r="E470" s="344"/>
      <c r="F470" s="345">
        <v>457240</v>
      </c>
      <c r="G470" s="344">
        <v>0</v>
      </c>
      <c r="H470" s="96"/>
    </row>
    <row r="471" spans="1:8" hidden="1" x14ac:dyDescent="0.2">
      <c r="A471" s="341" t="s">
        <v>596</v>
      </c>
      <c r="B471" s="187" t="s">
        <v>595</v>
      </c>
      <c r="C471" s="342">
        <v>1400000</v>
      </c>
      <c r="D471" s="343">
        <v>0</v>
      </c>
      <c r="E471" s="344">
        <v>0</v>
      </c>
      <c r="F471" s="345">
        <v>0</v>
      </c>
      <c r="G471" s="344">
        <v>0</v>
      </c>
      <c r="H471" s="96"/>
    </row>
    <row r="472" spans="1:8" hidden="1" x14ac:dyDescent="0.2">
      <c r="A472" s="348">
        <v>3633</v>
      </c>
      <c r="B472" s="349" t="s">
        <v>597</v>
      </c>
      <c r="C472" s="350">
        <f>SUM(C473:C475)</f>
        <v>33400000</v>
      </c>
      <c r="D472" s="369">
        <f>SUM(D473:D475)</f>
        <v>32300000</v>
      </c>
      <c r="E472" s="352">
        <f>SUM(E473:E475)</f>
        <v>0</v>
      </c>
      <c r="F472" s="370">
        <f>SUM(F473:F475)</f>
        <v>113256</v>
      </c>
      <c r="G472" s="352">
        <f>SUM(G473:G475)</f>
        <v>31500000</v>
      </c>
      <c r="H472" s="96"/>
    </row>
    <row r="473" spans="1:8" hidden="1" x14ac:dyDescent="0.2">
      <c r="A473" s="341" t="s">
        <v>598</v>
      </c>
      <c r="B473" s="187" t="s">
        <v>599</v>
      </c>
      <c r="C473" s="342">
        <v>3000000</v>
      </c>
      <c r="D473" s="343">
        <v>2000000</v>
      </c>
      <c r="E473" s="344"/>
      <c r="F473" s="345">
        <v>0</v>
      </c>
      <c r="G473" s="344">
        <v>1500000</v>
      </c>
      <c r="H473" s="96"/>
    </row>
    <row r="474" spans="1:8" hidden="1" x14ac:dyDescent="0.2">
      <c r="A474" s="341" t="s">
        <v>600</v>
      </c>
      <c r="B474" s="187" t="s">
        <v>601</v>
      </c>
      <c r="C474" s="342">
        <v>30000000</v>
      </c>
      <c r="D474" s="343">
        <v>30000000</v>
      </c>
      <c r="E474" s="344"/>
      <c r="F474" s="345">
        <v>48400</v>
      </c>
      <c r="G474" s="344">
        <v>30000000</v>
      </c>
      <c r="H474" s="96"/>
    </row>
    <row r="475" spans="1:8" hidden="1" x14ac:dyDescent="0.2">
      <c r="A475" s="360" t="s">
        <v>602</v>
      </c>
      <c r="B475" s="383" t="s">
        <v>603</v>
      </c>
      <c r="C475" s="384">
        <v>400000</v>
      </c>
      <c r="D475" s="385">
        <v>300000</v>
      </c>
      <c r="E475" s="386"/>
      <c r="F475" s="387">
        <v>64856</v>
      </c>
      <c r="G475" s="386">
        <v>0</v>
      </c>
      <c r="H475" s="96"/>
    </row>
    <row r="476" spans="1:8" ht="15.75" hidden="1" x14ac:dyDescent="0.25">
      <c r="A476" s="366"/>
      <c r="B476" s="367" t="s">
        <v>604</v>
      </c>
      <c r="C476" s="331">
        <f>SUM(C477:C480)</f>
        <v>1174000</v>
      </c>
      <c r="D476" s="332">
        <f>SUM(D477:D480)</f>
        <v>650000</v>
      </c>
      <c r="E476" s="333">
        <f>SUM(E477:E480)</f>
        <v>150000</v>
      </c>
      <c r="F476" s="334">
        <f>SUM(F477:F480)</f>
        <v>105000</v>
      </c>
      <c r="G476" s="333">
        <f>SUM(G477:G480)</f>
        <v>472500</v>
      </c>
      <c r="H476" s="96"/>
    </row>
    <row r="477" spans="1:8" hidden="1" x14ac:dyDescent="0.2">
      <c r="A477" s="388" t="s">
        <v>605</v>
      </c>
      <c r="B477" s="358" t="s">
        <v>606</v>
      </c>
      <c r="C477" s="355">
        <v>287000</v>
      </c>
      <c r="D477" s="389">
        <v>250000</v>
      </c>
      <c r="E477" s="359" t="s">
        <v>448</v>
      </c>
      <c r="F477" s="390">
        <v>0</v>
      </c>
      <c r="G477" s="359">
        <v>150000</v>
      </c>
      <c r="H477" s="96"/>
    </row>
    <row r="478" spans="1:8" hidden="1" x14ac:dyDescent="0.2">
      <c r="A478" s="341" t="s">
        <v>607</v>
      </c>
      <c r="B478" s="187" t="s">
        <v>608</v>
      </c>
      <c r="C478" s="342">
        <v>287000</v>
      </c>
      <c r="D478" s="343">
        <v>250000</v>
      </c>
      <c r="E478" s="344" t="s">
        <v>448</v>
      </c>
      <c r="F478" s="345">
        <v>0</v>
      </c>
      <c r="G478" s="344">
        <v>150000</v>
      </c>
      <c r="H478" s="96"/>
    </row>
    <row r="479" spans="1:8" hidden="1" x14ac:dyDescent="0.2">
      <c r="A479" s="341" t="s">
        <v>609</v>
      </c>
      <c r="B479" s="187" t="s">
        <v>610</v>
      </c>
      <c r="C479" s="342">
        <v>600000</v>
      </c>
      <c r="D479" s="343">
        <v>150000</v>
      </c>
      <c r="E479" s="344">
        <v>150000</v>
      </c>
      <c r="F479" s="345">
        <v>105000</v>
      </c>
      <c r="G479" s="344">
        <v>172500</v>
      </c>
      <c r="H479" s="96"/>
    </row>
    <row r="480" spans="1:8" hidden="1" x14ac:dyDescent="0.2">
      <c r="A480" s="391"/>
      <c r="B480" s="373"/>
      <c r="C480" s="374"/>
      <c r="D480" s="375"/>
      <c r="E480" s="376"/>
      <c r="F480" s="377"/>
      <c r="G480" s="376"/>
      <c r="H480" s="96"/>
    </row>
    <row r="481" spans="1:8" ht="20.25" hidden="1" x14ac:dyDescent="0.2">
      <c r="A481" s="392">
        <v>2141</v>
      </c>
      <c r="B481" s="393" t="s">
        <v>31</v>
      </c>
      <c r="C481" s="394">
        <f>SUM(C482:C484)</f>
        <v>3086000</v>
      </c>
      <c r="D481" s="394">
        <f>SUM(D482:D484)</f>
        <v>4456000</v>
      </c>
      <c r="E481" s="394">
        <f>SUM(E482:E484)</f>
        <v>4273000</v>
      </c>
      <c r="F481" s="394">
        <f>SUM(F482:F484)</f>
        <v>3290243</v>
      </c>
      <c r="G481" s="394">
        <f>SUM(G482:G484)</f>
        <v>3640000</v>
      </c>
      <c r="H481" s="96"/>
    </row>
    <row r="482" spans="1:8" ht="31.5" hidden="1" customHeight="1" x14ac:dyDescent="0.2">
      <c r="A482" s="158">
        <v>3341</v>
      </c>
      <c r="B482" s="225" t="s">
        <v>611</v>
      </c>
      <c r="C482" s="395">
        <v>900000</v>
      </c>
      <c r="D482" s="395">
        <v>2270000</v>
      </c>
      <c r="E482" s="396">
        <v>2100000</v>
      </c>
      <c r="F482" s="397">
        <v>2079396</v>
      </c>
      <c r="G482" s="111">
        <v>950000</v>
      </c>
      <c r="H482" s="118"/>
    </row>
    <row r="483" spans="1:8" hidden="1" x14ac:dyDescent="0.2">
      <c r="A483" s="161">
        <v>3399</v>
      </c>
      <c r="B483" s="165" t="s">
        <v>612</v>
      </c>
      <c r="C483" s="166">
        <v>2170000</v>
      </c>
      <c r="D483" s="166">
        <v>2170000</v>
      </c>
      <c r="E483" s="398">
        <v>2170000</v>
      </c>
      <c r="F483" s="399">
        <v>1210847</v>
      </c>
      <c r="G483" s="111">
        <v>2670000</v>
      </c>
      <c r="H483" s="96"/>
    </row>
    <row r="484" spans="1:8" hidden="1" x14ac:dyDescent="0.2">
      <c r="A484" s="400"/>
      <c r="B484" s="165" t="s">
        <v>613</v>
      </c>
      <c r="C484" s="166">
        <v>16000</v>
      </c>
      <c r="D484" s="166">
        <v>16000</v>
      </c>
      <c r="E484" s="401">
        <v>3000</v>
      </c>
      <c r="F484" s="402">
        <v>0</v>
      </c>
      <c r="G484" s="111">
        <v>20000</v>
      </c>
      <c r="H484" s="96"/>
    </row>
    <row r="485" spans="1:8" s="289" customFormat="1" ht="12.75" hidden="1" customHeight="1" x14ac:dyDescent="0.25">
      <c r="A485" s="403"/>
      <c r="B485" s="404"/>
      <c r="C485" s="405"/>
      <c r="D485" s="405"/>
      <c r="E485" s="406"/>
      <c r="F485" s="407"/>
      <c r="G485" s="309"/>
      <c r="H485" s="96"/>
    </row>
    <row r="486" spans="1:8" s="411" customFormat="1" ht="20.25" hidden="1" x14ac:dyDescent="0.3">
      <c r="A486" s="408"/>
      <c r="B486" s="94" t="s">
        <v>614</v>
      </c>
      <c r="C486" s="409">
        <f>SUM(C487:C490)</f>
        <v>10612697</v>
      </c>
      <c r="D486" s="409">
        <v>9354593</v>
      </c>
      <c r="E486" s="409">
        <f>SUM(E487:E490)</f>
        <v>9354593</v>
      </c>
      <c r="F486" s="410">
        <v>5300735.47</v>
      </c>
      <c r="G486" s="409">
        <f>SUM(G487:G490)</f>
        <v>10752956</v>
      </c>
      <c r="H486" s="144"/>
    </row>
    <row r="487" spans="1:8" s="411" customFormat="1" ht="24.75" hidden="1" x14ac:dyDescent="0.2">
      <c r="A487" s="158">
        <v>2141</v>
      </c>
      <c r="B487" s="225" t="s">
        <v>615</v>
      </c>
      <c r="C487" s="166">
        <f>(25+38+64+422+5)*1000</f>
        <v>554000</v>
      </c>
      <c r="D487" s="166">
        <v>703800</v>
      </c>
      <c r="E487" s="412">
        <v>703800</v>
      </c>
      <c r="F487" s="413">
        <v>99904.25</v>
      </c>
      <c r="G487" s="226">
        <v>1226000</v>
      </c>
      <c r="H487" s="135"/>
    </row>
    <row r="488" spans="1:8" s="411" customFormat="1" ht="60.75" hidden="1" x14ac:dyDescent="0.2">
      <c r="A488" s="161">
        <v>2143</v>
      </c>
      <c r="B488" s="414" t="s">
        <v>616</v>
      </c>
      <c r="C488" s="166">
        <v>9407197</v>
      </c>
      <c r="D488" s="166">
        <v>8124293</v>
      </c>
      <c r="E488" s="415">
        <v>8124293</v>
      </c>
      <c r="F488" s="229">
        <v>4990927.7300000004</v>
      </c>
      <c r="G488" s="226">
        <v>8971956</v>
      </c>
      <c r="H488" s="135"/>
    </row>
    <row r="489" spans="1:8" s="411" customFormat="1" hidden="1" x14ac:dyDescent="0.2">
      <c r="A489" s="161">
        <v>3399</v>
      </c>
      <c r="B489" s="165" t="s">
        <v>617</v>
      </c>
      <c r="C489" s="166">
        <v>36500</v>
      </c>
      <c r="D489" s="166">
        <v>36500</v>
      </c>
      <c r="E489" s="203">
        <v>36500</v>
      </c>
      <c r="F489" s="229">
        <v>33332.79</v>
      </c>
      <c r="G489" s="226">
        <v>40000</v>
      </c>
      <c r="H489" s="144"/>
    </row>
    <row r="490" spans="1:8" s="411" customFormat="1" ht="24.75" hidden="1" x14ac:dyDescent="0.2">
      <c r="A490" s="161">
        <v>6223</v>
      </c>
      <c r="B490" s="167" t="s">
        <v>618</v>
      </c>
      <c r="C490" s="166">
        <f>(5+100+5+5+30+280+70+115+5)*1000</f>
        <v>615000</v>
      </c>
      <c r="D490" s="166">
        <v>490000</v>
      </c>
      <c r="E490" s="226">
        <v>490000</v>
      </c>
      <c r="F490" s="134">
        <v>176570.7</v>
      </c>
      <c r="G490" s="226">
        <v>515000</v>
      </c>
      <c r="H490" s="135"/>
    </row>
    <row r="491" spans="1:8" s="107" customFormat="1" hidden="1" x14ac:dyDescent="0.2">
      <c r="A491" s="416"/>
      <c r="B491" s="417"/>
      <c r="C491" s="418"/>
      <c r="D491" s="418"/>
      <c r="E491" s="419"/>
      <c r="F491" s="419"/>
      <c r="G491" s="309"/>
      <c r="H491" s="96"/>
    </row>
    <row r="492" spans="1:8" s="116" customFormat="1" ht="20.25" hidden="1" x14ac:dyDescent="0.2">
      <c r="A492" s="420"/>
      <c r="B492" s="393" t="s">
        <v>33</v>
      </c>
      <c r="C492" s="409">
        <f>SUM(C493,C495,C496)</f>
        <v>6426417</v>
      </c>
      <c r="D492" s="409">
        <f>D496+D495+D493</f>
        <v>6357417</v>
      </c>
      <c r="E492" s="409">
        <f>SUM(E493,E495,E496)</f>
        <v>6413417</v>
      </c>
      <c r="F492" s="421">
        <f>F493+F495+F496</f>
        <v>4365980.75</v>
      </c>
      <c r="G492" s="409">
        <f>SUM(G493,G495,G496)</f>
        <v>7038417</v>
      </c>
      <c r="H492" s="96"/>
    </row>
    <row r="493" spans="1:8" s="116" customFormat="1" hidden="1" x14ac:dyDescent="0.2">
      <c r="A493" s="161">
        <v>2223</v>
      </c>
      <c r="B493" s="161" t="s">
        <v>619</v>
      </c>
      <c r="C493" s="160">
        <f>C494</f>
        <v>76000</v>
      </c>
      <c r="D493" s="160">
        <v>76000</v>
      </c>
      <c r="E493" s="422">
        <v>70000</v>
      </c>
      <c r="F493" s="162">
        <v>42000</v>
      </c>
      <c r="G493" s="111">
        <v>76000</v>
      </c>
      <c r="H493" s="96"/>
    </row>
    <row r="494" spans="1:8" s="116" customFormat="1" hidden="1" x14ac:dyDescent="0.2">
      <c r="A494" s="161"/>
      <c r="B494" s="423" t="s">
        <v>620</v>
      </c>
      <c r="C494" s="132">
        <v>76000</v>
      </c>
      <c r="D494" s="132">
        <v>76000</v>
      </c>
      <c r="E494" s="320">
        <v>70000</v>
      </c>
      <c r="F494" s="127">
        <v>42000</v>
      </c>
      <c r="G494" s="122">
        <v>76000</v>
      </c>
      <c r="H494" s="96"/>
    </row>
    <row r="495" spans="1:8" s="116" customFormat="1" hidden="1" x14ac:dyDescent="0.2">
      <c r="A495" s="272">
        <v>2229</v>
      </c>
      <c r="B495" s="272" t="s">
        <v>621</v>
      </c>
      <c r="C495" s="226">
        <v>0</v>
      </c>
      <c r="D495" s="226">
        <v>71000</v>
      </c>
      <c r="E495" s="424">
        <v>71000</v>
      </c>
      <c r="F495" s="138">
        <v>71000</v>
      </c>
      <c r="G495" s="111">
        <v>0</v>
      </c>
      <c r="H495" s="96"/>
    </row>
    <row r="496" spans="1:8" s="116" customFormat="1" hidden="1" x14ac:dyDescent="0.2">
      <c r="A496" s="161">
        <v>2292</v>
      </c>
      <c r="B496" s="161" t="s">
        <v>622</v>
      </c>
      <c r="C496" s="226">
        <f>SUM(C497:C500)</f>
        <v>6350417</v>
      </c>
      <c r="D496" s="226">
        <f>D497+D498+D499+D500</f>
        <v>6210417</v>
      </c>
      <c r="E496" s="424">
        <f>E497+E498+E499+E500</f>
        <v>6272417</v>
      </c>
      <c r="F496" s="138">
        <v>4252980.75</v>
      </c>
      <c r="G496" s="111">
        <f>G497+G498+G500+G501</f>
        <v>6962417</v>
      </c>
      <c r="H496" s="96"/>
    </row>
    <row r="497" spans="1:55" s="116" customFormat="1" hidden="1" x14ac:dyDescent="0.2">
      <c r="A497" s="161"/>
      <c r="B497" s="142" t="s">
        <v>623</v>
      </c>
      <c r="C497" s="132">
        <v>1112417</v>
      </c>
      <c r="D497" s="132">
        <v>1112417</v>
      </c>
      <c r="E497" s="320">
        <v>1112417</v>
      </c>
      <c r="F497" s="127">
        <v>834312.75</v>
      </c>
      <c r="G497" s="122">
        <v>1112417</v>
      </c>
      <c r="H497" s="96"/>
    </row>
    <row r="498" spans="1:55" s="116" customFormat="1" hidden="1" x14ac:dyDescent="0.2">
      <c r="A498" s="161"/>
      <c r="B498" s="142" t="s">
        <v>624</v>
      </c>
      <c r="C498" s="132">
        <v>5038000</v>
      </c>
      <c r="D498" s="132">
        <v>5038000</v>
      </c>
      <c r="E498" s="320">
        <v>5100000</v>
      </c>
      <c r="F498" s="127">
        <v>3358668</v>
      </c>
      <c r="G498" s="122">
        <v>5100000</v>
      </c>
      <c r="H498" s="96"/>
    </row>
    <row r="499" spans="1:55" s="116" customFormat="1" ht="24.75" hidden="1" x14ac:dyDescent="0.2">
      <c r="A499" s="161"/>
      <c r="B499" s="425" t="s">
        <v>625</v>
      </c>
      <c r="C499" s="132">
        <v>0</v>
      </c>
      <c r="D499" s="132">
        <v>10000</v>
      </c>
      <c r="E499" s="320">
        <v>10000</v>
      </c>
      <c r="F499" s="127">
        <v>10000</v>
      </c>
      <c r="G499" s="122">
        <v>0</v>
      </c>
      <c r="H499" s="118"/>
    </row>
    <row r="500" spans="1:55" s="426" customFormat="1" hidden="1" x14ac:dyDescent="0.2">
      <c r="A500" s="161"/>
      <c r="B500" s="425" t="s">
        <v>626</v>
      </c>
      <c r="C500" s="132">
        <v>200000</v>
      </c>
      <c r="D500" s="132">
        <v>50000</v>
      </c>
      <c r="E500" s="320">
        <v>50000</v>
      </c>
      <c r="F500" s="127">
        <v>50000</v>
      </c>
      <c r="G500" s="122">
        <v>200000</v>
      </c>
      <c r="H500" s="118"/>
    </row>
    <row r="501" spans="1:55" s="116" customFormat="1" hidden="1" x14ac:dyDescent="0.2">
      <c r="A501" s="400"/>
      <c r="B501" s="427" t="s">
        <v>627</v>
      </c>
      <c r="C501" s="253">
        <v>0</v>
      </c>
      <c r="D501" s="253">
        <v>0</v>
      </c>
      <c r="E501" s="320">
        <v>0</v>
      </c>
      <c r="F501" s="127">
        <v>0</v>
      </c>
      <c r="G501" s="121">
        <v>550000</v>
      </c>
      <c r="H501" s="96"/>
    </row>
    <row r="502" spans="1:55" s="116" customFormat="1" hidden="1" x14ac:dyDescent="0.2">
      <c r="A502" s="261"/>
      <c r="B502" s="428"/>
      <c r="C502" s="429"/>
      <c r="D502" s="429"/>
      <c r="E502" s="430"/>
      <c r="F502" s="164"/>
      <c r="G502" s="431"/>
      <c r="H502" s="96"/>
    </row>
    <row r="503" spans="1:55" s="116" customFormat="1" ht="20.25" hidden="1" x14ac:dyDescent="0.3">
      <c r="A503" s="408"/>
      <c r="B503" s="94" t="s">
        <v>34</v>
      </c>
      <c r="C503" s="97">
        <f>SUM(C504:C505)</f>
        <v>112000</v>
      </c>
      <c r="D503" s="95">
        <v>112000</v>
      </c>
      <c r="E503" s="97">
        <f>SUM(E504:E505)</f>
        <v>73000</v>
      </c>
      <c r="F503" s="421">
        <v>33098</v>
      </c>
      <c r="G503" s="97">
        <f>SUM(G504:G505)</f>
        <v>112000</v>
      </c>
      <c r="H503" s="96"/>
    </row>
    <row r="504" spans="1:55" s="116" customFormat="1" ht="12.75" hidden="1" customHeight="1" x14ac:dyDescent="0.2">
      <c r="A504" s="161">
        <v>2223</v>
      </c>
      <c r="B504" s="165" t="s">
        <v>628</v>
      </c>
      <c r="C504" s="166">
        <v>100000</v>
      </c>
      <c r="D504" s="166">
        <v>100000</v>
      </c>
      <c r="E504" s="227">
        <v>70000</v>
      </c>
      <c r="F504" s="227">
        <v>32151</v>
      </c>
      <c r="G504" s="111">
        <v>100000</v>
      </c>
      <c r="H504" s="96"/>
    </row>
    <row r="505" spans="1:55" s="116" customFormat="1" hidden="1" x14ac:dyDescent="0.2">
      <c r="A505" s="161">
        <v>6171</v>
      </c>
      <c r="B505" s="318" t="s">
        <v>629</v>
      </c>
      <c r="C505" s="166">
        <v>12000</v>
      </c>
      <c r="D505" s="166">
        <v>12000</v>
      </c>
      <c r="E505" s="138">
        <v>3000</v>
      </c>
      <c r="F505" s="138">
        <v>947</v>
      </c>
      <c r="G505" s="111">
        <v>12000</v>
      </c>
      <c r="H505" s="96"/>
    </row>
    <row r="506" spans="1:55" s="116" customFormat="1" hidden="1" x14ac:dyDescent="0.2">
      <c r="A506" s="432"/>
      <c r="B506" s="433"/>
      <c r="C506" s="216"/>
      <c r="D506" s="216"/>
      <c r="E506" s="419"/>
      <c r="F506" s="419"/>
      <c r="G506" s="309"/>
      <c r="H506" s="96"/>
    </row>
    <row r="507" spans="1:55" s="116" customFormat="1" ht="20.25" hidden="1" x14ac:dyDescent="0.3">
      <c r="A507" s="293"/>
      <c r="B507" s="434" t="s">
        <v>630</v>
      </c>
      <c r="C507" s="435">
        <f>C508+C509</f>
        <v>500000</v>
      </c>
      <c r="D507" s="435">
        <f>D508+D509</f>
        <v>1201000</v>
      </c>
      <c r="E507" s="436">
        <f>E508+E509</f>
        <v>701000</v>
      </c>
      <c r="F507" s="437">
        <f>F508+F509</f>
        <v>1201000</v>
      </c>
      <c r="G507" s="436">
        <f>G508+G509</f>
        <v>500000</v>
      </c>
      <c r="H507" s="92"/>
      <c r="I507" s="107"/>
      <c r="J507" s="107"/>
      <c r="K507" s="107"/>
      <c r="L507" s="107"/>
      <c r="M507" s="107"/>
      <c r="N507" s="107"/>
      <c r="O507" s="107"/>
      <c r="P507" s="107"/>
      <c r="Q507" s="107"/>
      <c r="R507" s="107"/>
      <c r="S507" s="107"/>
      <c r="T507" s="107"/>
      <c r="U507" s="107"/>
      <c r="V507" s="107"/>
      <c r="W507" s="107"/>
      <c r="X507" s="107"/>
      <c r="Y507" s="107"/>
      <c r="Z507" s="107"/>
      <c r="AA507" s="107"/>
      <c r="AB507" s="107"/>
      <c r="AC507" s="107"/>
      <c r="AD507" s="107"/>
      <c r="AE507" s="107"/>
      <c r="AF507" s="107"/>
      <c r="AG507" s="107"/>
      <c r="AH507" s="107"/>
      <c r="AI507" s="107"/>
      <c r="AJ507" s="107"/>
      <c r="AK507" s="107"/>
      <c r="AL507" s="107"/>
      <c r="AM507" s="107"/>
      <c r="AN507" s="107"/>
      <c r="AO507" s="107"/>
      <c r="AP507" s="107"/>
      <c r="AQ507" s="107"/>
      <c r="AR507" s="107"/>
      <c r="AS507" s="107"/>
      <c r="AT507" s="107"/>
      <c r="AU507" s="107"/>
      <c r="AV507" s="107"/>
      <c r="AW507" s="107"/>
      <c r="AX507" s="107"/>
      <c r="AY507" s="107"/>
      <c r="AZ507" s="107"/>
      <c r="BA507" s="107"/>
      <c r="BB507" s="107"/>
      <c r="BC507" s="107"/>
    </row>
    <row r="508" spans="1:55" s="116" customFormat="1" hidden="1" x14ac:dyDescent="0.2">
      <c r="A508" s="295">
        <v>6115</v>
      </c>
      <c r="B508" s="137" t="s">
        <v>631</v>
      </c>
      <c r="C508" s="138">
        <v>500000</v>
      </c>
      <c r="D508" s="138">
        <v>1201000</v>
      </c>
      <c r="E508" s="227">
        <v>701000</v>
      </c>
      <c r="F508" s="438">
        <v>1201000</v>
      </c>
      <c r="G508" s="227">
        <v>0</v>
      </c>
      <c r="H508" s="92"/>
      <c r="I508" s="107"/>
      <c r="J508" s="107"/>
      <c r="K508" s="107"/>
      <c r="L508" s="107"/>
      <c r="M508" s="107"/>
      <c r="N508" s="107"/>
      <c r="O508" s="107"/>
      <c r="P508" s="107"/>
      <c r="Q508" s="107"/>
      <c r="R508" s="107"/>
      <c r="S508" s="107"/>
      <c r="T508" s="107"/>
      <c r="U508" s="107"/>
      <c r="V508" s="107"/>
      <c r="W508" s="107"/>
      <c r="X508" s="107"/>
      <c r="Y508" s="107"/>
      <c r="Z508" s="107"/>
      <c r="AA508" s="107"/>
      <c r="AB508" s="107"/>
      <c r="AC508" s="107"/>
      <c r="AD508" s="107"/>
      <c r="AE508" s="107"/>
      <c r="AF508" s="107"/>
      <c r="AG508" s="107"/>
      <c r="AH508" s="107"/>
      <c r="AI508" s="107"/>
      <c r="AJ508" s="107"/>
      <c r="AK508" s="107"/>
      <c r="AL508" s="107"/>
      <c r="AM508" s="107"/>
      <c r="AN508" s="107"/>
      <c r="AO508" s="107"/>
      <c r="AP508" s="107"/>
      <c r="AQ508" s="107"/>
      <c r="AR508" s="107"/>
      <c r="AS508" s="107"/>
      <c r="AT508" s="107"/>
      <c r="AU508" s="107"/>
      <c r="AV508" s="107"/>
      <c r="AW508" s="107"/>
      <c r="AX508" s="107"/>
      <c r="AY508" s="107"/>
      <c r="AZ508" s="107"/>
      <c r="BA508" s="107"/>
      <c r="BB508" s="107"/>
      <c r="BC508" s="107"/>
    </row>
    <row r="509" spans="1:55" s="116" customFormat="1" hidden="1" x14ac:dyDescent="0.2">
      <c r="A509" s="165"/>
      <c r="B509" s="137" t="s">
        <v>632</v>
      </c>
      <c r="C509" s="138">
        <v>0</v>
      </c>
      <c r="D509" s="138">
        <v>0</v>
      </c>
      <c r="E509" s="138">
        <v>0</v>
      </c>
      <c r="F509" s="439">
        <v>0</v>
      </c>
      <c r="G509" s="138">
        <v>500000</v>
      </c>
      <c r="H509" s="92"/>
      <c r="I509" s="107"/>
      <c r="J509" s="107"/>
      <c r="K509" s="107"/>
      <c r="L509" s="107"/>
      <c r="M509" s="107"/>
      <c r="N509" s="107"/>
      <c r="O509" s="107"/>
      <c r="P509" s="107"/>
      <c r="Q509" s="107"/>
      <c r="R509" s="107"/>
      <c r="S509" s="107"/>
      <c r="T509" s="107"/>
      <c r="U509" s="107"/>
      <c r="V509" s="107"/>
      <c r="W509" s="107"/>
      <c r="X509" s="107"/>
      <c r="Y509" s="107"/>
      <c r="Z509" s="107"/>
      <c r="AA509" s="107"/>
      <c r="AB509" s="107"/>
      <c r="AC509" s="107"/>
      <c r="AD509" s="107"/>
      <c r="AE509" s="107"/>
      <c r="AF509" s="107"/>
      <c r="AG509" s="107"/>
      <c r="AH509" s="107"/>
      <c r="AI509" s="107"/>
      <c r="AJ509" s="107"/>
      <c r="AK509" s="107"/>
      <c r="AL509" s="107"/>
      <c r="AM509" s="107"/>
      <c r="AN509" s="107"/>
      <c r="AO509" s="107"/>
      <c r="AP509" s="107"/>
      <c r="AQ509" s="107"/>
      <c r="AR509" s="107"/>
      <c r="AS509" s="107"/>
      <c r="AT509" s="107"/>
      <c r="AU509" s="107"/>
      <c r="AV509" s="107"/>
      <c r="AW509" s="107"/>
      <c r="AX509" s="107"/>
      <c r="AY509" s="107"/>
      <c r="AZ509" s="107"/>
      <c r="BA509" s="107"/>
      <c r="BB509" s="107"/>
      <c r="BC509" s="107"/>
    </row>
    <row r="510" spans="1:55" s="116" customFormat="1" hidden="1" x14ac:dyDescent="0.2">
      <c r="A510" s="440"/>
      <c r="B510" s="441"/>
      <c r="C510" s="442"/>
      <c r="D510" s="442"/>
      <c r="E510" s="442"/>
      <c r="F510" s="443"/>
      <c r="G510" s="444"/>
      <c r="H510" s="92"/>
      <c r="I510" s="107"/>
      <c r="J510" s="107"/>
      <c r="K510" s="107"/>
      <c r="L510" s="107"/>
      <c r="M510" s="107"/>
      <c r="N510" s="107"/>
      <c r="O510" s="107"/>
      <c r="P510" s="107"/>
      <c r="Q510" s="107"/>
      <c r="R510" s="107"/>
      <c r="S510" s="107"/>
      <c r="T510" s="107"/>
      <c r="U510" s="107"/>
      <c r="V510" s="107"/>
      <c r="W510" s="107"/>
      <c r="X510" s="107"/>
      <c r="Y510" s="107"/>
      <c r="Z510" s="107"/>
      <c r="AA510" s="107"/>
      <c r="AB510" s="107"/>
      <c r="AC510" s="107"/>
      <c r="AD510" s="107"/>
      <c r="AE510" s="107"/>
      <c r="AF510" s="107"/>
      <c r="AG510" s="107"/>
      <c r="AH510" s="107"/>
      <c r="AI510" s="107"/>
      <c r="AJ510" s="107"/>
      <c r="AK510" s="107"/>
      <c r="AL510" s="107"/>
      <c r="AM510" s="107"/>
      <c r="AN510" s="107"/>
      <c r="AO510" s="107"/>
      <c r="AP510" s="107"/>
      <c r="AQ510" s="107"/>
      <c r="AR510" s="107"/>
      <c r="AS510" s="107"/>
      <c r="AT510" s="107"/>
      <c r="AU510" s="107"/>
      <c r="AV510" s="107"/>
      <c r="AW510" s="107"/>
      <c r="AX510" s="107"/>
      <c r="AY510" s="107"/>
      <c r="AZ510" s="107"/>
      <c r="BA510" s="107"/>
      <c r="BB510" s="107"/>
      <c r="BC510" s="107"/>
    </row>
    <row r="511" spans="1:55" s="116" customFormat="1" ht="20.25" hidden="1" x14ac:dyDescent="0.3">
      <c r="A511" s="445"/>
      <c r="B511" s="446" t="s">
        <v>36</v>
      </c>
      <c r="C511" s="436">
        <f>C512+C565+C590</f>
        <v>117286140</v>
      </c>
      <c r="D511" s="436">
        <f>D512+D565+D590</f>
        <v>125496783.28</v>
      </c>
      <c r="E511" s="436">
        <f>E512+E565+E590</f>
        <v>125496783.28</v>
      </c>
      <c r="F511" s="436">
        <f>F512+F565+F590</f>
        <v>82606294.439999998</v>
      </c>
      <c r="G511" s="436">
        <f>G512+G565+G590</f>
        <v>160009627.30000001</v>
      </c>
      <c r="H511" s="96"/>
    </row>
    <row r="512" spans="1:55" s="116" customFormat="1" ht="16.5" hidden="1" customHeight="1" x14ac:dyDescent="0.25">
      <c r="A512" s="447"/>
      <c r="B512" s="448" t="s">
        <v>633</v>
      </c>
      <c r="C512" s="197">
        <f>SUM(C513,C533,C564,C559)</f>
        <v>55530000</v>
      </c>
      <c r="D512" s="449">
        <f>SUM(D513,D533,D564,D559)</f>
        <v>50086908.670000002</v>
      </c>
      <c r="E512" s="197">
        <f>SUM(E513,E533,E564,E559)</f>
        <v>50086908.670000002</v>
      </c>
      <c r="F512" s="197">
        <f>SUM(F513,F533,F564,F559)</f>
        <v>24467486.900000002</v>
      </c>
      <c r="G512" s="197">
        <f>SUM(G513,G533,G564,G559)</f>
        <v>78486811.299999997</v>
      </c>
      <c r="H512" s="96"/>
    </row>
    <row r="513" spans="1:8" s="116" customFormat="1" hidden="1" x14ac:dyDescent="0.2">
      <c r="A513" s="108">
        <v>3111</v>
      </c>
      <c r="B513" s="450" t="s">
        <v>634</v>
      </c>
      <c r="C513" s="160">
        <f>SUM(C514:C516)</f>
        <v>11263000</v>
      </c>
      <c r="D513" s="451">
        <f>SUM(D514:D516)</f>
        <v>10511914.67</v>
      </c>
      <c r="E513" s="160">
        <f>SUM(E514:E516)</f>
        <v>10511914.67</v>
      </c>
      <c r="F513" s="160">
        <f>SUM(F514:F516)</f>
        <v>6476550.8700000001</v>
      </c>
      <c r="G513" s="160">
        <f>SUM(G514:G516)</f>
        <v>21243000</v>
      </c>
      <c r="H513" s="96"/>
    </row>
    <row r="514" spans="1:8" s="116" customFormat="1" ht="12.75" hidden="1" customHeight="1" x14ac:dyDescent="0.2">
      <c r="A514" s="119"/>
      <c r="B514" s="452" t="s">
        <v>635</v>
      </c>
      <c r="C514" s="453">
        <f t="shared" ref="C514:G515" si="5">SUM(C519,C529,C524)</f>
        <v>5847000</v>
      </c>
      <c r="D514" s="454">
        <f t="shared" si="5"/>
        <v>5650914.6699999999</v>
      </c>
      <c r="E514" s="453">
        <f t="shared" si="5"/>
        <v>5650914.6699999999</v>
      </c>
      <c r="F514" s="453">
        <f t="shared" si="5"/>
        <v>4173000</v>
      </c>
      <c r="G514" s="453">
        <f t="shared" si="5"/>
        <v>5998000</v>
      </c>
      <c r="H514" s="96"/>
    </row>
    <row r="515" spans="1:8" s="116" customFormat="1" ht="12.75" hidden="1" customHeight="1" x14ac:dyDescent="0.2">
      <c r="A515" s="119"/>
      <c r="B515" s="452" t="s">
        <v>636</v>
      </c>
      <c r="C515" s="453">
        <f t="shared" si="5"/>
        <v>1671000</v>
      </c>
      <c r="D515" s="454">
        <f t="shared" si="5"/>
        <v>1116000</v>
      </c>
      <c r="E515" s="453">
        <f t="shared" si="5"/>
        <v>1116000</v>
      </c>
      <c r="F515" s="453">
        <f t="shared" si="5"/>
        <v>888946.87</v>
      </c>
      <c r="G515" s="453">
        <f t="shared" si="5"/>
        <v>3365000</v>
      </c>
      <c r="H515" s="96"/>
    </row>
    <row r="516" spans="1:8" s="289" customFormat="1" ht="12.75" hidden="1" customHeight="1" x14ac:dyDescent="0.25">
      <c r="A516" s="119"/>
      <c r="B516" s="452" t="s">
        <v>637</v>
      </c>
      <c r="C516" s="453">
        <f>C531+C526</f>
        <v>3745000</v>
      </c>
      <c r="D516" s="454">
        <f>D531+D526</f>
        <v>3745000</v>
      </c>
      <c r="E516" s="453">
        <f>E531+E526</f>
        <v>3745000</v>
      </c>
      <c r="F516" s="453">
        <f>F531+F526</f>
        <v>1414604</v>
      </c>
      <c r="G516" s="453">
        <f>G531+G526+G521</f>
        <v>11880000</v>
      </c>
      <c r="H516" s="96"/>
    </row>
    <row r="517" spans="1:8" s="116" customFormat="1" ht="12.75" hidden="1" customHeight="1" x14ac:dyDescent="0.2">
      <c r="A517" s="119"/>
      <c r="B517" s="452"/>
      <c r="C517" s="453"/>
      <c r="D517" s="454"/>
      <c r="E517" s="453"/>
      <c r="F517" s="453"/>
      <c r="G517" s="453"/>
      <c r="H517" s="96"/>
    </row>
    <row r="518" spans="1:8" s="289" customFormat="1" ht="12.75" hidden="1" customHeight="1" x14ac:dyDescent="0.25">
      <c r="A518" s="119"/>
      <c r="B518" s="141" t="s">
        <v>638</v>
      </c>
      <c r="C518" s="166">
        <f>C519+C520</f>
        <v>1955000</v>
      </c>
      <c r="D518" s="138">
        <f>D519+D520</f>
        <v>1770000</v>
      </c>
      <c r="E518" s="166">
        <f>E519+E520</f>
        <v>1770000</v>
      </c>
      <c r="F518" s="166">
        <f>F519+F520</f>
        <v>1405000</v>
      </c>
      <c r="G518" s="166">
        <f>G519+G520+G521</f>
        <v>11049000</v>
      </c>
      <c r="H518" s="96"/>
    </row>
    <row r="519" spans="1:8" s="116" customFormat="1" ht="12.75" hidden="1" customHeight="1" x14ac:dyDescent="0.2">
      <c r="A519" s="119"/>
      <c r="B519" s="141" t="s">
        <v>639</v>
      </c>
      <c r="C519" s="455">
        <f>1822000-50000</f>
        <v>1772000</v>
      </c>
      <c r="D519" s="456">
        <v>1707000</v>
      </c>
      <c r="E519" s="457">
        <v>1707000</v>
      </c>
      <c r="F519" s="228">
        <v>1342000</v>
      </c>
      <c r="G519" s="122">
        <v>1676000</v>
      </c>
      <c r="H519" s="96"/>
    </row>
    <row r="520" spans="1:8" ht="36.75" hidden="1" x14ac:dyDescent="0.2">
      <c r="A520" s="119" t="s">
        <v>640</v>
      </c>
      <c r="B520" s="141" t="s">
        <v>641</v>
      </c>
      <c r="C520" s="455">
        <f>443000-260000</f>
        <v>183000</v>
      </c>
      <c r="D520" s="456">
        <v>63000</v>
      </c>
      <c r="E520" s="457">
        <v>63000</v>
      </c>
      <c r="F520" s="228">
        <v>63000</v>
      </c>
      <c r="G520" s="122">
        <f>(121+90+70+130+462-100)*1000</f>
        <v>773000</v>
      </c>
      <c r="H520" s="118"/>
    </row>
    <row r="521" spans="1:8" ht="25.5" hidden="1" customHeight="1" x14ac:dyDescent="0.2">
      <c r="A521" s="119"/>
      <c r="B521" s="141" t="s">
        <v>642</v>
      </c>
      <c r="C521" s="455"/>
      <c r="D521" s="456"/>
      <c r="E521" s="457"/>
      <c r="F521" s="228"/>
      <c r="G521" s="122">
        <f>(3600+4000+1000)*1000</f>
        <v>8600000</v>
      </c>
      <c r="H521" s="118"/>
    </row>
    <row r="522" spans="1:8" hidden="1" x14ac:dyDescent="0.2">
      <c r="A522" s="458"/>
      <c r="B522" s="459"/>
      <c r="C522" s="460"/>
      <c r="D522" s="461"/>
      <c r="E522" s="457"/>
      <c r="F522" s="228"/>
      <c r="G522" s="121"/>
      <c r="H522" s="96"/>
    </row>
    <row r="523" spans="1:8" hidden="1" x14ac:dyDescent="0.2">
      <c r="A523" s="119"/>
      <c r="B523" s="462" t="s">
        <v>643</v>
      </c>
      <c r="C523" s="166">
        <f>SUM(C524:C526)</f>
        <v>6931000</v>
      </c>
      <c r="D523" s="138">
        <f>SUM(D524:D526)</f>
        <v>6719914.6699999999</v>
      </c>
      <c r="E523" s="166">
        <f>SUM(E524:E526)</f>
        <v>6719914.6699999999</v>
      </c>
      <c r="F523" s="166">
        <f>SUM(F524:F526)</f>
        <v>3762550.87</v>
      </c>
      <c r="G523" s="166">
        <f>SUM(G524:G526)</f>
        <v>3515000</v>
      </c>
      <c r="H523" s="96"/>
    </row>
    <row r="524" spans="1:8" ht="12.75" hidden="1" customHeight="1" x14ac:dyDescent="0.2">
      <c r="A524" s="119"/>
      <c r="B524" s="141" t="s">
        <v>644</v>
      </c>
      <c r="C524" s="455">
        <f>2441000-50000</f>
        <v>2391000</v>
      </c>
      <c r="D524" s="456">
        <v>2279914.67</v>
      </c>
      <c r="E524" s="457">
        <v>2279914.67</v>
      </c>
      <c r="F524" s="228">
        <v>1667000</v>
      </c>
      <c r="G524" s="122">
        <v>2535000</v>
      </c>
      <c r="H524" s="96"/>
    </row>
    <row r="525" spans="1:8" ht="36.75" hidden="1" x14ac:dyDescent="0.2">
      <c r="A525" s="119"/>
      <c r="B525" s="141" t="s">
        <v>645</v>
      </c>
      <c r="C525" s="455">
        <v>940000</v>
      </c>
      <c r="D525" s="456">
        <v>840000</v>
      </c>
      <c r="E525" s="127">
        <v>840000</v>
      </c>
      <c r="F525" s="127">
        <v>825946.87</v>
      </c>
      <c r="G525" s="122">
        <v>980000</v>
      </c>
      <c r="H525" s="118"/>
    </row>
    <row r="526" spans="1:8" s="463" customFormat="1" ht="13.5" hidden="1" customHeight="1" x14ac:dyDescent="0.2">
      <c r="A526" s="119"/>
      <c r="B526" s="141" t="s">
        <v>646</v>
      </c>
      <c r="C526" s="455">
        <v>3600000</v>
      </c>
      <c r="D526" s="456">
        <v>3600000</v>
      </c>
      <c r="E526" s="457">
        <v>3600000</v>
      </c>
      <c r="F526" s="127">
        <v>1269604</v>
      </c>
      <c r="G526" s="122">
        <v>0</v>
      </c>
      <c r="H526" s="96"/>
    </row>
    <row r="527" spans="1:8" ht="12.75" hidden="1" customHeight="1" x14ac:dyDescent="0.2">
      <c r="A527" s="119"/>
      <c r="B527" s="141"/>
      <c r="C527" s="464"/>
      <c r="D527" s="465"/>
      <c r="E527" s="127"/>
      <c r="F527" s="127"/>
      <c r="G527" s="122"/>
      <c r="H527" s="96"/>
    </row>
    <row r="528" spans="1:8" ht="12.75" hidden="1" customHeight="1" x14ac:dyDescent="0.2">
      <c r="A528" s="119"/>
      <c r="B528" s="141" t="s">
        <v>647</v>
      </c>
      <c r="C528" s="466">
        <f>SUM(C529:C531)</f>
        <v>2377000</v>
      </c>
      <c r="D528" s="467">
        <f>SUM(D529:D531)</f>
        <v>2022000</v>
      </c>
      <c r="E528" s="466">
        <f>SUM(E529:E531)</f>
        <v>2022000</v>
      </c>
      <c r="F528" s="466">
        <f>SUM(F529:F531)</f>
        <v>1309000</v>
      </c>
      <c r="G528" s="466">
        <f>SUM(G529:G531)</f>
        <v>6679000</v>
      </c>
      <c r="H528" s="96"/>
    </row>
    <row r="529" spans="1:8" ht="12.75" hidden="1" customHeight="1" x14ac:dyDescent="0.2">
      <c r="A529" s="119"/>
      <c r="B529" s="141" t="s">
        <v>639</v>
      </c>
      <c r="C529" s="455">
        <f>1671000+60000+3000-50000</f>
        <v>1684000</v>
      </c>
      <c r="D529" s="456">
        <v>1664000</v>
      </c>
      <c r="E529" s="127">
        <v>1664000</v>
      </c>
      <c r="F529" s="127">
        <v>1164000</v>
      </c>
      <c r="G529" s="122">
        <v>1787000</v>
      </c>
      <c r="H529" s="96"/>
    </row>
    <row r="530" spans="1:8" ht="44.25" hidden="1" customHeight="1" x14ac:dyDescent="0.2">
      <c r="A530" s="119"/>
      <c r="B530" s="141" t="s">
        <v>648</v>
      </c>
      <c r="C530" s="455">
        <f>2127000-1200000-379000</f>
        <v>548000</v>
      </c>
      <c r="D530" s="456">
        <v>213000</v>
      </c>
      <c r="E530" s="457">
        <v>213000</v>
      </c>
      <c r="F530" s="228">
        <v>0</v>
      </c>
      <c r="G530" s="122">
        <f>+(368+237+417+210+260+120)*1000</f>
        <v>1612000</v>
      </c>
      <c r="H530" s="118"/>
    </row>
    <row r="531" spans="1:8" ht="23.25" hidden="1" customHeight="1" x14ac:dyDescent="0.2">
      <c r="A531" s="119"/>
      <c r="B531" s="141" t="s">
        <v>649</v>
      </c>
      <c r="C531" s="455">
        <f>338000-193000</f>
        <v>145000</v>
      </c>
      <c r="D531" s="456">
        <v>145000</v>
      </c>
      <c r="E531" s="228">
        <v>145000</v>
      </c>
      <c r="F531" s="228">
        <v>145000</v>
      </c>
      <c r="G531" s="122">
        <v>3280000</v>
      </c>
      <c r="H531" s="96"/>
    </row>
    <row r="532" spans="1:8" ht="12.75" hidden="1" customHeight="1" x14ac:dyDescent="0.2">
      <c r="A532" s="119"/>
      <c r="B532" s="141"/>
      <c r="C532" s="468"/>
      <c r="D532" s="469"/>
      <c r="E532" s="122"/>
      <c r="F532" s="470"/>
      <c r="G532" s="122"/>
      <c r="H532" s="96"/>
    </row>
    <row r="533" spans="1:8" hidden="1" x14ac:dyDescent="0.2">
      <c r="A533" s="112">
        <v>3113</v>
      </c>
      <c r="B533" s="117" t="s">
        <v>650</v>
      </c>
      <c r="C533" s="166">
        <f>SUM(C534:C537)</f>
        <v>39833000</v>
      </c>
      <c r="D533" s="138">
        <f>SUM(D534:D537)</f>
        <v>37828000</v>
      </c>
      <c r="E533" s="166">
        <f>SUM(E534:E537)</f>
        <v>37828000</v>
      </c>
      <c r="F533" s="166">
        <f>SUM(F534:F537)</f>
        <v>16623211.620000001</v>
      </c>
      <c r="G533" s="166">
        <f>SUM(G534:G537)</f>
        <v>35699000</v>
      </c>
      <c r="H533" s="96"/>
    </row>
    <row r="534" spans="1:8" ht="12.75" hidden="1" customHeight="1" x14ac:dyDescent="0.2">
      <c r="A534" s="112"/>
      <c r="B534" s="168" t="s">
        <v>651</v>
      </c>
      <c r="C534" s="455">
        <f>+(200+108+50+42)*1000</f>
        <v>400000</v>
      </c>
      <c r="D534" s="456">
        <v>385000</v>
      </c>
      <c r="E534" s="121">
        <v>385000</v>
      </c>
      <c r="F534" s="206">
        <v>112670</v>
      </c>
      <c r="G534" s="122">
        <v>400000</v>
      </c>
      <c r="H534" s="96"/>
    </row>
    <row r="535" spans="1:8" ht="12.75" hidden="1" customHeight="1" x14ac:dyDescent="0.2">
      <c r="A535" s="119"/>
      <c r="B535" s="141" t="s">
        <v>652</v>
      </c>
      <c r="C535" s="471">
        <f t="shared" ref="C535:G536" si="6">SUM(C545,C550,C540,C555)</f>
        <v>19377000</v>
      </c>
      <c r="D535" s="456">
        <f t="shared" si="6"/>
        <v>18807000</v>
      </c>
      <c r="E535" s="471">
        <f t="shared" si="6"/>
        <v>18807000</v>
      </c>
      <c r="F535" s="471">
        <f t="shared" si="6"/>
        <v>13777068.82</v>
      </c>
      <c r="G535" s="471">
        <f t="shared" si="6"/>
        <v>18701000</v>
      </c>
      <c r="H535" s="96"/>
    </row>
    <row r="536" spans="1:8" ht="12.75" hidden="1" customHeight="1" x14ac:dyDescent="0.2">
      <c r="A536" s="119"/>
      <c r="B536" s="141" t="s">
        <v>653</v>
      </c>
      <c r="C536" s="471">
        <f t="shared" si="6"/>
        <v>10759000</v>
      </c>
      <c r="D536" s="456">
        <f t="shared" si="6"/>
        <v>9059000</v>
      </c>
      <c r="E536" s="471">
        <f t="shared" si="6"/>
        <v>9059000</v>
      </c>
      <c r="F536" s="471">
        <f t="shared" si="6"/>
        <v>2403562.31</v>
      </c>
      <c r="G536" s="471">
        <f t="shared" si="6"/>
        <v>10054000</v>
      </c>
      <c r="H536" s="96"/>
    </row>
    <row r="537" spans="1:8" ht="12.75" hidden="1" customHeight="1" x14ac:dyDescent="0.2">
      <c r="A537" s="119"/>
      <c r="B537" s="141" t="s">
        <v>654</v>
      </c>
      <c r="C537" s="471">
        <f>C542+C547+C552+C557</f>
        <v>9297000</v>
      </c>
      <c r="D537" s="456">
        <f>D542+D547+D552+D557</f>
        <v>9577000</v>
      </c>
      <c r="E537" s="471">
        <f>E542+E547+E552+E557</f>
        <v>9577000</v>
      </c>
      <c r="F537" s="471">
        <f>F542+F547+F552+F557</f>
        <v>329910.49</v>
      </c>
      <c r="G537" s="471">
        <f>G542+G547+G552+G557</f>
        <v>6544000</v>
      </c>
      <c r="H537" s="118"/>
    </row>
    <row r="538" spans="1:8" s="116" customFormat="1" ht="12.75" hidden="1" customHeight="1" x14ac:dyDescent="0.2">
      <c r="A538" s="119"/>
      <c r="B538" s="141"/>
      <c r="C538" s="455"/>
      <c r="D538" s="456"/>
      <c r="E538" s="455"/>
      <c r="F538" s="455"/>
      <c r="G538" s="455"/>
      <c r="H538" s="472"/>
    </row>
    <row r="539" spans="1:8" hidden="1" x14ac:dyDescent="0.2">
      <c r="A539" s="119"/>
      <c r="B539" s="141" t="s">
        <v>655</v>
      </c>
      <c r="C539" s="473">
        <f>SUM(C540:C542)</f>
        <v>7839000</v>
      </c>
      <c r="D539" s="171">
        <f>SUM(D540:D542)</f>
        <v>7849000</v>
      </c>
      <c r="E539" s="473">
        <f>SUM(E540:E542)</f>
        <v>7849000</v>
      </c>
      <c r="F539" s="473">
        <f>SUM(F540:F542)</f>
        <v>5274946</v>
      </c>
      <c r="G539" s="473">
        <f>SUM(G540:G542)</f>
        <v>11137000</v>
      </c>
      <c r="H539" s="474"/>
    </row>
    <row r="540" spans="1:8" ht="12.75" hidden="1" customHeight="1" x14ac:dyDescent="0.2">
      <c r="A540" s="119"/>
      <c r="B540" s="141" t="s">
        <v>656</v>
      </c>
      <c r="C540" s="468">
        <f>6959000-40000</f>
        <v>6919000</v>
      </c>
      <c r="D540" s="469">
        <v>6649000</v>
      </c>
      <c r="E540" s="121">
        <v>6649000</v>
      </c>
      <c r="F540" s="121">
        <v>4869000</v>
      </c>
      <c r="G540" s="122">
        <v>6333000</v>
      </c>
      <c r="H540" s="474"/>
    </row>
    <row r="541" spans="1:8" ht="24.75" hidden="1" x14ac:dyDescent="0.2">
      <c r="A541" s="119"/>
      <c r="B541" s="141" t="s">
        <v>657</v>
      </c>
      <c r="C541" s="455">
        <v>280000</v>
      </c>
      <c r="D541" s="456">
        <v>280000</v>
      </c>
      <c r="E541" s="121">
        <v>280000</v>
      </c>
      <c r="F541" s="121">
        <v>263166</v>
      </c>
      <c r="G541" s="122">
        <v>1178000</v>
      </c>
      <c r="H541" s="474"/>
    </row>
    <row r="542" spans="1:8" ht="44.25" hidden="1" customHeight="1" x14ac:dyDescent="0.2">
      <c r="A542" s="119"/>
      <c r="B542" s="141" t="s">
        <v>658</v>
      </c>
      <c r="C542" s="455">
        <f>590000+50000</f>
        <v>640000</v>
      </c>
      <c r="D542" s="456">
        <v>920000</v>
      </c>
      <c r="E542" s="121">
        <v>920000</v>
      </c>
      <c r="F542" s="121">
        <v>142780</v>
      </c>
      <c r="G542" s="122">
        <f>(150+3000+300+70+192+85+129-300)*1000</f>
        <v>3626000</v>
      </c>
      <c r="H542" s="118"/>
    </row>
    <row r="543" spans="1:8" ht="12.75" hidden="1" customHeight="1" x14ac:dyDescent="0.2">
      <c r="A543" s="119"/>
      <c r="B543" s="141"/>
      <c r="C543" s="455"/>
      <c r="D543" s="456"/>
      <c r="E543" s="475"/>
      <c r="F543" s="475"/>
      <c r="G543" s="121"/>
      <c r="H543" s="96"/>
    </row>
    <row r="544" spans="1:8" hidden="1" x14ac:dyDescent="0.2">
      <c r="A544" s="119"/>
      <c r="B544" s="141" t="s">
        <v>659</v>
      </c>
      <c r="C544" s="473">
        <f>SUM(C545:C547)</f>
        <v>12511000</v>
      </c>
      <c r="D544" s="171">
        <f>SUM(D545:D547)</f>
        <v>12411000</v>
      </c>
      <c r="E544" s="473">
        <f>SUM(E545:E547)</f>
        <v>12411000</v>
      </c>
      <c r="F544" s="473">
        <f>SUM(F545:F547)</f>
        <v>3359199.31</v>
      </c>
      <c r="G544" s="473">
        <f>SUM(G545:G547)</f>
        <v>4954000</v>
      </c>
      <c r="H544" s="96"/>
    </row>
    <row r="545" spans="1:8" ht="12.75" hidden="1" customHeight="1" x14ac:dyDescent="0.2">
      <c r="A545" s="119"/>
      <c r="B545" s="141" t="s">
        <v>660</v>
      </c>
      <c r="C545" s="455">
        <f>4261000-20000</f>
        <v>4241000</v>
      </c>
      <c r="D545" s="456">
        <v>4141000</v>
      </c>
      <c r="E545" s="122">
        <v>4141000</v>
      </c>
      <c r="F545" s="122">
        <v>3259068.82</v>
      </c>
      <c r="G545" s="122">
        <v>3940000</v>
      </c>
      <c r="H545" s="96"/>
    </row>
    <row r="546" spans="1:8" ht="24.75" hidden="1" customHeight="1" x14ac:dyDescent="0.2">
      <c r="A546" s="119"/>
      <c r="B546" s="141" t="s">
        <v>661</v>
      </c>
      <c r="C546" s="455">
        <v>0</v>
      </c>
      <c r="D546" s="456">
        <v>0</v>
      </c>
      <c r="E546" s="121">
        <v>0</v>
      </c>
      <c r="F546" s="121">
        <v>0</v>
      </c>
      <c r="G546" s="122">
        <v>576000</v>
      </c>
      <c r="H546" s="96"/>
    </row>
    <row r="547" spans="1:8" ht="24.75" hidden="1" x14ac:dyDescent="0.2">
      <c r="A547" s="119"/>
      <c r="B547" s="141" t="s">
        <v>662</v>
      </c>
      <c r="C547" s="455">
        <v>8270000</v>
      </c>
      <c r="D547" s="456">
        <v>8270000</v>
      </c>
      <c r="E547" s="121">
        <v>8270000</v>
      </c>
      <c r="F547" s="121">
        <v>100130.49</v>
      </c>
      <c r="G547" s="122">
        <v>438000</v>
      </c>
      <c r="H547" s="118"/>
    </row>
    <row r="548" spans="1:8" ht="12.75" hidden="1" customHeight="1" x14ac:dyDescent="0.2">
      <c r="A548" s="119"/>
      <c r="B548" s="141"/>
      <c r="C548" s="455"/>
      <c r="D548" s="456"/>
      <c r="E548" s="121"/>
      <c r="F548" s="121"/>
      <c r="G548" s="121"/>
      <c r="H548" s="474"/>
    </row>
    <row r="549" spans="1:8" ht="12.75" hidden="1" customHeight="1" x14ac:dyDescent="0.2">
      <c r="A549" s="119"/>
      <c r="B549" s="141" t="s">
        <v>663</v>
      </c>
      <c r="C549" s="166">
        <f>SUM(C550:C552)</f>
        <v>5671000</v>
      </c>
      <c r="D549" s="138">
        <f>SUM(D550:D552)</f>
        <v>3871000</v>
      </c>
      <c r="E549" s="166">
        <f>SUM(E550:E552)</f>
        <v>3871000</v>
      </c>
      <c r="F549" s="166">
        <f>SUM(F550:F552)</f>
        <v>2565194.63</v>
      </c>
      <c r="G549" s="166">
        <f>SUM(G550:G552)</f>
        <v>12515000</v>
      </c>
      <c r="H549" s="474"/>
    </row>
    <row r="550" spans="1:8" ht="12.75" hidden="1" customHeight="1" x14ac:dyDescent="0.2">
      <c r="A550" s="119"/>
      <c r="B550" s="141" t="s">
        <v>664</v>
      </c>
      <c r="C550" s="455">
        <f>3454000-20000</f>
        <v>3434000</v>
      </c>
      <c r="D550" s="456">
        <v>3334000</v>
      </c>
      <c r="E550" s="121">
        <v>3334000</v>
      </c>
      <c r="F550" s="121">
        <v>2356000</v>
      </c>
      <c r="G550" s="122">
        <v>3375000</v>
      </c>
      <c r="H550" s="474"/>
    </row>
    <row r="551" spans="1:8" ht="29.25" hidden="1" customHeight="1" x14ac:dyDescent="0.2">
      <c r="A551" s="119"/>
      <c r="B551" s="141" t="s">
        <v>665</v>
      </c>
      <c r="C551" s="455">
        <v>1850000</v>
      </c>
      <c r="D551" s="456">
        <v>150000</v>
      </c>
      <c r="E551" s="121">
        <v>150000</v>
      </c>
      <c r="F551" s="121">
        <v>122194.63</v>
      </c>
      <c r="G551" s="122">
        <f>(4600+2600+500+400)*1000</f>
        <v>8100000</v>
      </c>
      <c r="H551" s="474"/>
    </row>
    <row r="552" spans="1:8" ht="24.75" hidden="1" x14ac:dyDescent="0.2">
      <c r="A552" s="119"/>
      <c r="B552" s="141" t="s">
        <v>666</v>
      </c>
      <c r="C552" s="455">
        <v>387000</v>
      </c>
      <c r="D552" s="456">
        <v>387000</v>
      </c>
      <c r="E552" s="121">
        <v>387000</v>
      </c>
      <c r="F552" s="121">
        <v>87000</v>
      </c>
      <c r="G552" s="122">
        <f>+(600+600-160)*1000</f>
        <v>1040000</v>
      </c>
      <c r="H552" s="474"/>
    </row>
    <row r="553" spans="1:8" ht="12.75" hidden="1" customHeight="1" x14ac:dyDescent="0.2">
      <c r="A553" s="119"/>
      <c r="B553" s="141"/>
      <c r="C553" s="455"/>
      <c r="D553" s="456"/>
      <c r="E553" s="111"/>
      <c r="F553" s="122"/>
      <c r="G553" s="111"/>
      <c r="H553" s="472"/>
    </row>
    <row r="554" spans="1:8" hidden="1" x14ac:dyDescent="0.2">
      <c r="A554" s="119"/>
      <c r="B554" s="141" t="s">
        <v>667</v>
      </c>
      <c r="C554" s="166">
        <f>SUM(C555:C557)</f>
        <v>13412000</v>
      </c>
      <c r="D554" s="138">
        <f>SUM(D555:D557)</f>
        <v>13312000</v>
      </c>
      <c r="E554" s="166">
        <f>SUM(E555:E557)</f>
        <v>13312000</v>
      </c>
      <c r="F554" s="166">
        <f>SUM(F555:F557)</f>
        <v>5311201.68</v>
      </c>
      <c r="G554" s="166">
        <f>SUM(G555:G557)</f>
        <v>6693000</v>
      </c>
      <c r="H554" s="472"/>
    </row>
    <row r="555" spans="1:8" ht="12.75" hidden="1" customHeight="1" x14ac:dyDescent="0.2">
      <c r="A555" s="119"/>
      <c r="B555" s="141" t="s">
        <v>668</v>
      </c>
      <c r="C555" s="455">
        <f>4803000-20000</f>
        <v>4783000</v>
      </c>
      <c r="D555" s="456">
        <v>4683000</v>
      </c>
      <c r="E555" s="253">
        <v>4683000</v>
      </c>
      <c r="F555" s="253">
        <v>3293000</v>
      </c>
      <c r="G555" s="122">
        <v>5053000</v>
      </c>
      <c r="H555" s="96"/>
    </row>
    <row r="556" spans="1:8" ht="15" hidden="1" x14ac:dyDescent="0.2">
      <c r="A556" s="119"/>
      <c r="B556" s="141" t="s">
        <v>669</v>
      </c>
      <c r="C556" s="455">
        <v>8629000</v>
      </c>
      <c r="D556" s="456">
        <v>8629000</v>
      </c>
      <c r="E556" s="309">
        <v>8629000</v>
      </c>
      <c r="F556" s="309">
        <v>2018201.68</v>
      </c>
      <c r="G556" s="122">
        <v>200000</v>
      </c>
      <c r="H556" s="474"/>
    </row>
    <row r="557" spans="1:8" ht="12.75" hidden="1" customHeight="1" x14ac:dyDescent="0.2">
      <c r="A557" s="119"/>
      <c r="B557" s="141" t="s">
        <v>670</v>
      </c>
      <c r="C557" s="455">
        <f>50000-50000</f>
        <v>0</v>
      </c>
      <c r="D557" s="456">
        <v>0</v>
      </c>
      <c r="E557" s="476">
        <v>0</v>
      </c>
      <c r="F557" s="476">
        <v>0</v>
      </c>
      <c r="G557" s="122">
        <f>(320+1250-130)*1000</f>
        <v>1440000</v>
      </c>
      <c r="H557" s="472"/>
    </row>
    <row r="558" spans="1:8" ht="12.75" hidden="1" customHeight="1" x14ac:dyDescent="0.2">
      <c r="A558" s="119"/>
      <c r="B558" s="141"/>
      <c r="C558" s="455"/>
      <c r="D558" s="456"/>
      <c r="E558" s="132"/>
      <c r="F558" s="132"/>
      <c r="G558" s="122"/>
      <c r="H558" s="472"/>
    </row>
    <row r="559" spans="1:8" hidden="1" x14ac:dyDescent="0.2">
      <c r="A559" s="112">
        <v>3233</v>
      </c>
      <c r="B559" s="117" t="s">
        <v>671</v>
      </c>
      <c r="C559" s="166">
        <f>C560</f>
        <v>4374000</v>
      </c>
      <c r="D559" s="138">
        <f>D560</f>
        <v>1686994</v>
      </c>
      <c r="E559" s="166">
        <f>E560</f>
        <v>1686994</v>
      </c>
      <c r="F559" s="166">
        <f>F560</f>
        <v>1343942</v>
      </c>
      <c r="G559" s="166">
        <f>G560</f>
        <v>21464811.300000001</v>
      </c>
      <c r="H559" s="472"/>
    </row>
    <row r="560" spans="1:8" ht="12.75" hidden="1" customHeight="1" x14ac:dyDescent="0.2">
      <c r="A560" s="112"/>
      <c r="B560" s="141" t="s">
        <v>672</v>
      </c>
      <c r="C560" s="471">
        <f>SUM(C561:C563)</f>
        <v>4374000</v>
      </c>
      <c r="D560" s="456">
        <f>SUM(D561:D563)</f>
        <v>1686994</v>
      </c>
      <c r="E560" s="471">
        <f>SUM(E561:E563)</f>
        <v>1686994</v>
      </c>
      <c r="F560" s="471">
        <f>SUM(F561:F563)</f>
        <v>1343942</v>
      </c>
      <c r="G560" s="471">
        <f>SUM(G561:G563)</f>
        <v>21464811.300000001</v>
      </c>
      <c r="H560" s="472"/>
    </row>
    <row r="561" spans="1:8" ht="12.75" hidden="1" customHeight="1" x14ac:dyDescent="0.2">
      <c r="A561" s="112"/>
      <c r="B561" s="141" t="s">
        <v>673</v>
      </c>
      <c r="C561" s="455">
        <f>1509000+2000+3000</f>
        <v>1514000</v>
      </c>
      <c r="D561" s="456">
        <v>1304000</v>
      </c>
      <c r="E561" s="132">
        <v>1304000</v>
      </c>
      <c r="F561" s="132">
        <v>1076000</v>
      </c>
      <c r="G561" s="122">
        <v>1512000</v>
      </c>
      <c r="H561" s="472"/>
    </row>
    <row r="562" spans="1:8" ht="12.75" hidden="1" customHeight="1" x14ac:dyDescent="0.2">
      <c r="A562" s="112"/>
      <c r="B562" s="141" t="s">
        <v>674</v>
      </c>
      <c r="C562" s="455">
        <f>246000-246000</f>
        <v>0</v>
      </c>
      <c r="D562" s="456">
        <v>0</v>
      </c>
      <c r="E562" s="121">
        <v>0</v>
      </c>
      <c r="F562" s="121">
        <v>0</v>
      </c>
      <c r="G562" s="122">
        <v>150000</v>
      </c>
      <c r="H562" s="472"/>
    </row>
    <row r="563" spans="1:8" ht="24.75" hidden="1" x14ac:dyDescent="0.2">
      <c r="A563" s="112"/>
      <c r="B563" s="141" t="s">
        <v>675</v>
      </c>
      <c r="C563" s="455">
        <f>2943000-83000</f>
        <v>2860000</v>
      </c>
      <c r="D563" s="456">
        <v>382994</v>
      </c>
      <c r="E563" s="121">
        <v>382994</v>
      </c>
      <c r="F563" s="121">
        <v>267942</v>
      </c>
      <c r="G563" s="122">
        <f>+(19797.8113+95+50-140)*1000</f>
        <v>19802811.300000001</v>
      </c>
      <c r="H563" s="118"/>
    </row>
    <row r="564" spans="1:8" s="116" customFormat="1" ht="12.75" hidden="1" customHeight="1" x14ac:dyDescent="0.2">
      <c r="A564" s="112">
        <v>3419</v>
      </c>
      <c r="B564" s="117" t="s">
        <v>676</v>
      </c>
      <c r="C564" s="477">
        <v>60000</v>
      </c>
      <c r="D564" s="467">
        <v>60000</v>
      </c>
      <c r="E564" s="111">
        <v>60000</v>
      </c>
      <c r="F564" s="111">
        <v>23782.41</v>
      </c>
      <c r="G564" s="111">
        <v>80000</v>
      </c>
      <c r="H564" s="96"/>
    </row>
    <row r="565" spans="1:8" s="116" customFormat="1" ht="15.75" hidden="1" x14ac:dyDescent="0.25">
      <c r="A565" s="447"/>
      <c r="B565" s="448" t="s">
        <v>677</v>
      </c>
      <c r="C565" s="197">
        <f>SUM(C566,C570,C573,C578,C581,C588)</f>
        <v>39914000</v>
      </c>
      <c r="D565" s="449">
        <f>SUM(D566,D570,D573,D578,D581,D588)</f>
        <v>39435236.609999999</v>
      </c>
      <c r="E565" s="197">
        <f>SUM(E566,E570,E573,E578,E581,E588)</f>
        <v>39435236.609999999</v>
      </c>
      <c r="F565" s="197">
        <f>SUM(F566,F570,F573,F578,F581,F588)</f>
        <v>25118106.539999999</v>
      </c>
      <c r="G565" s="197">
        <f>SUM(G566,G570,G573,G578,G581,G588)</f>
        <v>63946000</v>
      </c>
      <c r="H565" s="92"/>
    </row>
    <row r="566" spans="1:8" s="116" customFormat="1" hidden="1" x14ac:dyDescent="0.2">
      <c r="A566" s="478">
        <v>3311</v>
      </c>
      <c r="B566" s="479" t="s">
        <v>678</v>
      </c>
      <c r="C566" s="226">
        <f>SUM(C567:C569)</f>
        <v>13652000</v>
      </c>
      <c r="D566" s="227">
        <f>SUM(D567:D569)</f>
        <v>13287856.609999999</v>
      </c>
      <c r="E566" s="226">
        <f>SUM(E567:E569)</f>
        <v>13287856.609999999</v>
      </c>
      <c r="F566" s="226">
        <f>SUM(F567:F569)</f>
        <v>8752492.9000000004</v>
      </c>
      <c r="G566" s="226">
        <f>SUM(G567:G569)</f>
        <v>35844000</v>
      </c>
      <c r="H566" s="96"/>
    </row>
    <row r="567" spans="1:8" s="116" customFormat="1" ht="12.75" hidden="1" customHeight="1" x14ac:dyDescent="0.2">
      <c r="A567" s="480"/>
      <c r="B567" s="481" t="s">
        <v>679</v>
      </c>
      <c r="C567" s="455">
        <f>11611000+511000</f>
        <v>12122000</v>
      </c>
      <c r="D567" s="456">
        <v>11554289.039999999</v>
      </c>
      <c r="E567" s="121">
        <v>11554289.039999999</v>
      </c>
      <c r="F567" s="121">
        <v>7809830.2999999998</v>
      </c>
      <c r="G567" s="122">
        <v>12044000</v>
      </c>
      <c r="H567" s="96"/>
    </row>
    <row r="568" spans="1:8" s="116" customFormat="1" ht="24.75" hidden="1" x14ac:dyDescent="0.2">
      <c r="A568" s="480"/>
      <c r="B568" s="482" t="s">
        <v>680</v>
      </c>
      <c r="C568" s="455">
        <f>1150000+220000-400000</f>
        <v>970000</v>
      </c>
      <c r="D568" s="456">
        <v>970000</v>
      </c>
      <c r="E568" s="121">
        <v>970000</v>
      </c>
      <c r="F568" s="121">
        <v>836182.6</v>
      </c>
      <c r="G568" s="122">
        <f>+(20000+4000-200)*1000</f>
        <v>23800000</v>
      </c>
      <c r="H568" s="118"/>
    </row>
    <row r="569" spans="1:8" s="116" customFormat="1" ht="13.5" hidden="1" customHeight="1" x14ac:dyDescent="0.2">
      <c r="A569" s="480"/>
      <c r="B569" s="482" t="s">
        <v>681</v>
      </c>
      <c r="C569" s="483">
        <f>410000+150000</f>
        <v>560000</v>
      </c>
      <c r="D569" s="484">
        <v>763567.57</v>
      </c>
      <c r="E569" s="231">
        <v>763567.57</v>
      </c>
      <c r="F569" s="231">
        <v>106480</v>
      </c>
      <c r="G569" s="122">
        <v>0</v>
      </c>
      <c r="H569" s="96"/>
    </row>
    <row r="570" spans="1:8" hidden="1" x14ac:dyDescent="0.2">
      <c r="A570" s="485">
        <v>3319</v>
      </c>
      <c r="B570" s="486" t="s">
        <v>682</v>
      </c>
      <c r="C570" s="115">
        <f>SUM(C571:C572)</f>
        <v>1005000</v>
      </c>
      <c r="D570" s="138">
        <f>SUM(D571:D572)</f>
        <v>918000</v>
      </c>
      <c r="E570" s="115">
        <f>SUM(E571:E572)</f>
        <v>918000</v>
      </c>
      <c r="F570" s="115">
        <f>SUM(F571:F572)</f>
        <v>235910.69</v>
      </c>
      <c r="G570" s="115">
        <f>SUM(G571:G572)</f>
        <v>1017000</v>
      </c>
      <c r="H570" s="96"/>
    </row>
    <row r="571" spans="1:8" ht="12.75" hidden="1" customHeight="1" x14ac:dyDescent="0.2">
      <c r="A571" s="485"/>
      <c r="B571" s="487" t="s">
        <v>683</v>
      </c>
      <c r="C571" s="455">
        <v>410000</v>
      </c>
      <c r="D571" s="456">
        <v>410000</v>
      </c>
      <c r="E571" s="121">
        <v>410000</v>
      </c>
      <c r="F571" s="121">
        <v>235910.69</v>
      </c>
      <c r="G571" s="122">
        <f>417000+5000</f>
        <v>422000</v>
      </c>
      <c r="H571" s="118"/>
    </row>
    <row r="572" spans="1:8" ht="24.75" hidden="1" customHeight="1" x14ac:dyDescent="0.2">
      <c r="A572" s="485"/>
      <c r="B572" s="488" t="s">
        <v>684</v>
      </c>
      <c r="C572" s="455">
        <v>595000</v>
      </c>
      <c r="D572" s="456">
        <v>508000</v>
      </c>
      <c r="E572" s="121">
        <v>508000</v>
      </c>
      <c r="F572" s="121"/>
      <c r="G572" s="122">
        <v>595000</v>
      </c>
      <c r="H572" s="96"/>
    </row>
    <row r="573" spans="1:8" hidden="1" x14ac:dyDescent="0.2">
      <c r="A573" s="485">
        <v>3322</v>
      </c>
      <c r="B573" s="486" t="s">
        <v>685</v>
      </c>
      <c r="C573" s="166">
        <f>SUM(C574:C577)</f>
        <v>372000</v>
      </c>
      <c r="D573" s="138">
        <f>SUM(D574:D577)</f>
        <v>443000</v>
      </c>
      <c r="E573" s="166">
        <f>SUM(E574:E577)</f>
        <v>443000</v>
      </c>
      <c r="F573" s="166">
        <f>SUM(F574:F577)</f>
        <v>204341.84</v>
      </c>
      <c r="G573" s="166">
        <f>SUM(G574:G577)</f>
        <v>332000</v>
      </c>
      <c r="H573" s="96"/>
    </row>
    <row r="574" spans="1:8" ht="12.75" hidden="1" customHeight="1" x14ac:dyDescent="0.2">
      <c r="A574" s="480"/>
      <c r="B574" s="487" t="s">
        <v>686</v>
      </c>
      <c r="C574" s="455">
        <v>20000</v>
      </c>
      <c r="D574" s="456">
        <v>20000</v>
      </c>
      <c r="E574" s="132">
        <v>20000</v>
      </c>
      <c r="F574" s="132">
        <v>0</v>
      </c>
      <c r="G574" s="122">
        <v>10000</v>
      </c>
      <c r="H574" s="96"/>
    </row>
    <row r="575" spans="1:8" hidden="1" x14ac:dyDescent="0.2">
      <c r="A575" s="480"/>
      <c r="B575" s="487" t="s">
        <v>687</v>
      </c>
      <c r="C575" s="208">
        <v>40000</v>
      </c>
      <c r="D575" s="207">
        <v>40000</v>
      </c>
      <c r="E575" s="121">
        <v>40000</v>
      </c>
      <c r="F575" s="121">
        <v>0</v>
      </c>
      <c r="G575" s="122">
        <v>0</v>
      </c>
      <c r="H575" s="96"/>
    </row>
    <row r="576" spans="1:8" ht="12.75" hidden="1" customHeight="1" x14ac:dyDescent="0.2">
      <c r="A576" s="480"/>
      <c r="B576" s="481" t="s">
        <v>688</v>
      </c>
      <c r="C576" s="455">
        <v>42000</v>
      </c>
      <c r="D576" s="456">
        <v>42000</v>
      </c>
      <c r="E576" s="132">
        <v>42000</v>
      </c>
      <c r="F576" s="132">
        <v>31428</v>
      </c>
      <c r="G576" s="122">
        <v>42000</v>
      </c>
      <c r="H576" s="96"/>
    </row>
    <row r="577" spans="1:8" s="116" customFormat="1" ht="25.5" hidden="1" x14ac:dyDescent="0.2">
      <c r="A577" s="480"/>
      <c r="B577" s="481" t="s">
        <v>689</v>
      </c>
      <c r="C577" s="455">
        <f>305000-35000</f>
        <v>270000</v>
      </c>
      <c r="D577" s="456">
        <v>341000</v>
      </c>
      <c r="E577" s="132">
        <v>341000</v>
      </c>
      <c r="F577" s="132">
        <v>172913.84</v>
      </c>
      <c r="G577" s="122">
        <v>280000</v>
      </c>
      <c r="H577" s="118"/>
    </row>
    <row r="578" spans="1:8" s="116" customFormat="1" hidden="1" x14ac:dyDescent="0.2">
      <c r="A578" s="485">
        <v>3326</v>
      </c>
      <c r="B578" s="489" t="s">
        <v>690</v>
      </c>
      <c r="C578" s="166">
        <f>SUM(C579:C580)</f>
        <v>126000</v>
      </c>
      <c r="D578" s="138">
        <f>SUM(D579:D580)</f>
        <v>126000</v>
      </c>
      <c r="E578" s="166">
        <f>SUM(E579:E580)</f>
        <v>126000</v>
      </c>
      <c r="F578" s="166">
        <f>SUM(F579:F580)</f>
        <v>624.26</v>
      </c>
      <c r="G578" s="166">
        <f>SUM(G579:G580)</f>
        <v>341000</v>
      </c>
      <c r="H578" s="96"/>
    </row>
    <row r="579" spans="1:8" s="116" customFormat="1" ht="12.75" hidden="1" customHeight="1" x14ac:dyDescent="0.2">
      <c r="A579" s="480"/>
      <c r="B579" s="481" t="s">
        <v>691</v>
      </c>
      <c r="C579" s="455">
        <v>116000</v>
      </c>
      <c r="D579" s="456">
        <v>116000</v>
      </c>
      <c r="E579" s="132">
        <v>116000</v>
      </c>
      <c r="F579" s="132">
        <v>0</v>
      </c>
      <c r="G579" s="122">
        <v>338000</v>
      </c>
      <c r="H579" s="96"/>
    </row>
    <row r="580" spans="1:8" s="116" customFormat="1" ht="12.75" hidden="1" customHeight="1" x14ac:dyDescent="0.2">
      <c r="A580" s="480"/>
      <c r="B580" s="481" t="s">
        <v>692</v>
      </c>
      <c r="C580" s="455">
        <v>10000</v>
      </c>
      <c r="D580" s="456">
        <v>10000</v>
      </c>
      <c r="E580" s="132">
        <v>10000</v>
      </c>
      <c r="F580" s="132">
        <v>624.26</v>
      </c>
      <c r="G580" s="122">
        <v>3000</v>
      </c>
      <c r="H580" s="96"/>
    </row>
    <row r="581" spans="1:8" hidden="1" x14ac:dyDescent="0.2">
      <c r="A581" s="485">
        <v>3392</v>
      </c>
      <c r="B581" s="489" t="s">
        <v>693</v>
      </c>
      <c r="C581" s="166">
        <f>C583+C582</f>
        <v>24609000</v>
      </c>
      <c r="D581" s="138">
        <f>D583+D582</f>
        <v>24510380</v>
      </c>
      <c r="E581" s="166">
        <f>E583+E582</f>
        <v>24510380</v>
      </c>
      <c r="F581" s="166">
        <f>F583+F582</f>
        <v>15864967.85</v>
      </c>
      <c r="G581" s="166">
        <f>G583+G582</f>
        <v>26232000</v>
      </c>
      <c r="H581" s="96"/>
    </row>
    <row r="582" spans="1:8" ht="12.75" hidden="1" customHeight="1" x14ac:dyDescent="0.2">
      <c r="A582" s="485"/>
      <c r="B582" s="481" t="s">
        <v>694</v>
      </c>
      <c r="C582" s="455">
        <v>26000</v>
      </c>
      <c r="D582" s="456">
        <v>26000</v>
      </c>
      <c r="E582" s="121">
        <v>26000</v>
      </c>
      <c r="F582" s="121">
        <v>4000</v>
      </c>
      <c r="G582" s="122">
        <v>26000</v>
      </c>
      <c r="H582" s="118"/>
    </row>
    <row r="583" spans="1:8" hidden="1" x14ac:dyDescent="0.2">
      <c r="A583" s="480"/>
      <c r="B583" s="481" t="s">
        <v>695</v>
      </c>
      <c r="C583" s="166">
        <f>SUM(C584+C587+C586)</f>
        <v>24583000</v>
      </c>
      <c r="D583" s="138">
        <f>SUM(D584+D587+D586)</f>
        <v>24484380</v>
      </c>
      <c r="E583" s="166">
        <f>SUM(E584+E587+E586)</f>
        <v>24484380</v>
      </c>
      <c r="F583" s="166">
        <f>SUM(F584+F587+F586)</f>
        <v>15860967.85</v>
      </c>
      <c r="G583" s="166">
        <f>SUM(G584+G587+G586)</f>
        <v>26206000</v>
      </c>
      <c r="H583" s="118"/>
    </row>
    <row r="584" spans="1:8" ht="12.75" hidden="1" customHeight="1" x14ac:dyDescent="0.2">
      <c r="A584" s="480"/>
      <c r="B584" s="481" t="s">
        <v>696</v>
      </c>
      <c r="C584" s="455">
        <f>22225000+975000</f>
        <v>23200000</v>
      </c>
      <c r="D584" s="456">
        <v>23101380</v>
      </c>
      <c r="E584" s="121">
        <v>23101380</v>
      </c>
      <c r="F584" s="121">
        <v>15574415.85</v>
      </c>
      <c r="G584" s="122">
        <v>24300000</v>
      </c>
      <c r="H584" s="96"/>
    </row>
    <row r="585" spans="1:8" ht="12.75" hidden="1" customHeight="1" x14ac:dyDescent="0.2">
      <c r="A585" s="480"/>
      <c r="B585" s="481" t="s">
        <v>697</v>
      </c>
      <c r="C585" s="455"/>
      <c r="D585" s="456"/>
      <c r="E585" s="121"/>
      <c r="F585" s="121"/>
      <c r="G585" s="122"/>
      <c r="H585" s="118"/>
    </row>
    <row r="586" spans="1:8" s="116" customFormat="1" ht="12.75" hidden="1" customHeight="1" x14ac:dyDescent="0.2">
      <c r="A586" s="480"/>
      <c r="B586" s="482" t="s">
        <v>698</v>
      </c>
      <c r="C586" s="455">
        <v>267000</v>
      </c>
      <c r="D586" s="456">
        <v>267000</v>
      </c>
      <c r="E586" s="121">
        <v>267000</v>
      </c>
      <c r="F586" s="121">
        <v>0</v>
      </c>
      <c r="G586" s="122">
        <v>773000</v>
      </c>
      <c r="H586" s="96"/>
    </row>
    <row r="587" spans="1:8" s="116" customFormat="1" ht="48.75" hidden="1" x14ac:dyDescent="0.2">
      <c r="A587" s="480"/>
      <c r="B587" s="481" t="s">
        <v>699</v>
      </c>
      <c r="C587" s="455">
        <v>1116000</v>
      </c>
      <c r="D587" s="456">
        <v>1116000</v>
      </c>
      <c r="E587" s="121">
        <v>1116000</v>
      </c>
      <c r="F587" s="121">
        <v>286552</v>
      </c>
      <c r="G587" s="122">
        <f>+(415+351+130+310+313+57+157-600)*1000</f>
        <v>1133000</v>
      </c>
      <c r="H587" s="118"/>
    </row>
    <row r="588" spans="1:8" hidden="1" x14ac:dyDescent="0.2">
      <c r="A588" s="485">
        <v>3399</v>
      </c>
      <c r="B588" s="489" t="s">
        <v>700</v>
      </c>
      <c r="C588" s="166">
        <f>C589</f>
        <v>150000</v>
      </c>
      <c r="D588" s="138">
        <f>D589</f>
        <v>150000</v>
      </c>
      <c r="E588" s="166">
        <f>E589</f>
        <v>150000</v>
      </c>
      <c r="F588" s="166">
        <f>F589</f>
        <v>59769</v>
      </c>
      <c r="G588" s="166">
        <f>G589</f>
        <v>180000</v>
      </c>
      <c r="H588" s="96"/>
    </row>
    <row r="589" spans="1:8" ht="12.75" hidden="1" customHeight="1" x14ac:dyDescent="0.2">
      <c r="A589" s="480"/>
      <c r="B589" s="481" t="s">
        <v>701</v>
      </c>
      <c r="C589" s="490">
        <v>150000</v>
      </c>
      <c r="D589" s="491">
        <v>150000</v>
      </c>
      <c r="E589" s="309">
        <v>150000</v>
      </c>
      <c r="F589" s="309">
        <v>59769</v>
      </c>
      <c r="G589" s="122">
        <v>180000</v>
      </c>
      <c r="H589" s="118"/>
    </row>
    <row r="590" spans="1:8" ht="15.75" hidden="1" x14ac:dyDescent="0.25">
      <c r="A590" s="447"/>
      <c r="B590" s="196" t="s">
        <v>702</v>
      </c>
      <c r="C590" s="492">
        <f>C591</f>
        <v>21842140</v>
      </c>
      <c r="D590" s="493">
        <f>D591</f>
        <v>35974638</v>
      </c>
      <c r="E590" s="492">
        <f>E591</f>
        <v>35974638</v>
      </c>
      <c r="F590" s="492">
        <f>F591</f>
        <v>33020701</v>
      </c>
      <c r="G590" s="492">
        <f>G591</f>
        <v>17576816</v>
      </c>
      <c r="H590" s="96"/>
    </row>
    <row r="591" spans="1:8" hidden="1" x14ac:dyDescent="0.2">
      <c r="A591" s="112"/>
      <c r="B591" s="450" t="s">
        <v>703</v>
      </c>
      <c r="C591" s="110">
        <f>SUM(C592:C603)</f>
        <v>21842140</v>
      </c>
      <c r="D591" s="494">
        <f>SUM(D592:D603)</f>
        <v>35974638</v>
      </c>
      <c r="E591" s="110">
        <f>SUM(E592:E603)</f>
        <v>35974638</v>
      </c>
      <c r="F591" s="110">
        <f>SUM(F592:F603)</f>
        <v>33020701</v>
      </c>
      <c r="G591" s="110">
        <f>SUM(G592:G603)</f>
        <v>17576816</v>
      </c>
      <c r="H591" s="96"/>
    </row>
    <row r="592" spans="1:8" s="116" customFormat="1" ht="12.75" hidden="1" customHeight="1" x14ac:dyDescent="0.2">
      <c r="A592" s="119"/>
      <c r="B592" s="141" t="s">
        <v>704</v>
      </c>
      <c r="C592" s="455">
        <v>861000</v>
      </c>
      <c r="D592" s="456">
        <v>775000</v>
      </c>
      <c r="E592" s="132">
        <v>775000</v>
      </c>
      <c r="F592" s="132">
        <v>775000</v>
      </c>
      <c r="G592" s="122">
        <v>893000</v>
      </c>
      <c r="H592" s="96"/>
    </row>
    <row r="593" spans="1:8" s="116" customFormat="1" ht="12.75" hidden="1" customHeight="1" x14ac:dyDescent="0.2">
      <c r="A593" s="119"/>
      <c r="B593" s="141" t="s">
        <v>705</v>
      </c>
      <c r="C593" s="455">
        <v>286000</v>
      </c>
      <c r="D593" s="456">
        <v>262000</v>
      </c>
      <c r="E593" s="121">
        <v>262000</v>
      </c>
      <c r="F593" s="121">
        <v>144000</v>
      </c>
      <c r="G593" s="122">
        <v>297000</v>
      </c>
      <c r="H593" s="96"/>
    </row>
    <row r="594" spans="1:8" s="116" customFormat="1" ht="12.75" hidden="1" customHeight="1" x14ac:dyDescent="0.2">
      <c r="A594" s="119"/>
      <c r="B594" s="141" t="s">
        <v>706</v>
      </c>
      <c r="C594" s="455">
        <v>4250000</v>
      </c>
      <c r="D594" s="456">
        <v>4215000</v>
      </c>
      <c r="E594" s="121">
        <v>4215000</v>
      </c>
      <c r="F594" s="121">
        <v>3861500</v>
      </c>
      <c r="G594" s="122">
        <v>3050000</v>
      </c>
      <c r="H594" s="118"/>
    </row>
    <row r="595" spans="1:8" ht="12.75" hidden="1" customHeight="1" x14ac:dyDescent="0.2">
      <c r="A595" s="119"/>
      <c r="B595" s="141" t="s">
        <v>707</v>
      </c>
      <c r="C595" s="455">
        <v>7593000</v>
      </c>
      <c r="D595" s="456">
        <v>7178000</v>
      </c>
      <c r="E595" s="121">
        <v>7178000</v>
      </c>
      <c r="F595" s="121">
        <v>7011000</v>
      </c>
      <c r="G595" s="122">
        <v>5423000</v>
      </c>
      <c r="H595" s="118"/>
    </row>
    <row r="596" spans="1:8" ht="12.75" hidden="1" customHeight="1" x14ac:dyDescent="0.2">
      <c r="A596" s="119"/>
      <c r="B596" s="141" t="s">
        <v>708</v>
      </c>
      <c r="C596" s="455">
        <v>100000</v>
      </c>
      <c r="D596" s="456">
        <v>95000</v>
      </c>
      <c r="E596" s="121">
        <v>95000</v>
      </c>
      <c r="F596" s="121">
        <v>52000</v>
      </c>
      <c r="G596" s="122">
        <v>40000</v>
      </c>
      <c r="H596" s="96"/>
    </row>
    <row r="597" spans="1:8" ht="12.75" hidden="1" customHeight="1" x14ac:dyDescent="0.2">
      <c r="A597" s="119"/>
      <c r="B597" s="141" t="s">
        <v>709</v>
      </c>
      <c r="C597" s="455">
        <v>6700000</v>
      </c>
      <c r="D597" s="456">
        <v>6701700</v>
      </c>
      <c r="E597" s="132">
        <v>6701700</v>
      </c>
      <c r="F597" s="132">
        <v>5198300</v>
      </c>
      <c r="G597" s="122">
        <v>6500000</v>
      </c>
      <c r="H597" s="96"/>
    </row>
    <row r="598" spans="1:8" ht="12.75" hidden="1" customHeight="1" x14ac:dyDescent="0.2">
      <c r="A598" s="119"/>
      <c r="B598" s="141" t="s">
        <v>710</v>
      </c>
      <c r="C598" s="455">
        <v>0</v>
      </c>
      <c r="D598" s="456">
        <v>932</v>
      </c>
      <c r="E598" s="231">
        <v>932</v>
      </c>
      <c r="F598" s="231">
        <v>-932</v>
      </c>
      <c r="G598" s="122">
        <v>0</v>
      </c>
      <c r="H598" s="96"/>
    </row>
    <row r="599" spans="1:8" ht="12.75" hidden="1" customHeight="1" x14ac:dyDescent="0.2">
      <c r="A599" s="119"/>
      <c r="B599" s="141" t="s">
        <v>711</v>
      </c>
      <c r="C599" s="455">
        <v>0</v>
      </c>
      <c r="D599" s="456">
        <v>6800</v>
      </c>
      <c r="E599" s="231">
        <v>6800</v>
      </c>
      <c r="F599" s="231">
        <v>-6800</v>
      </c>
      <c r="G599" s="122">
        <v>0</v>
      </c>
      <c r="H599" s="96"/>
    </row>
    <row r="600" spans="1:8" ht="12.75" hidden="1" customHeight="1" x14ac:dyDescent="0.2">
      <c r="A600" s="120"/>
      <c r="B600" s="141" t="s">
        <v>712</v>
      </c>
      <c r="C600" s="455">
        <v>740000</v>
      </c>
      <c r="D600" s="456">
        <v>746532</v>
      </c>
      <c r="E600" s="309">
        <v>746532</v>
      </c>
      <c r="F600" s="309">
        <v>702468</v>
      </c>
      <c r="G600" s="122">
        <v>666000</v>
      </c>
      <c r="H600" s="96"/>
    </row>
    <row r="601" spans="1:8" ht="12.75" hidden="1" customHeight="1" x14ac:dyDescent="0.2">
      <c r="A601" s="120"/>
      <c r="B601" s="141" t="s">
        <v>713</v>
      </c>
      <c r="C601" s="455">
        <v>120000</v>
      </c>
      <c r="D601" s="456">
        <v>110000</v>
      </c>
      <c r="E601" s="253">
        <v>110000</v>
      </c>
      <c r="F601" s="253">
        <v>33000</v>
      </c>
      <c r="G601" s="122">
        <v>84000</v>
      </c>
      <c r="H601" s="96"/>
    </row>
    <row r="602" spans="1:8" ht="12.75" hidden="1" customHeight="1" x14ac:dyDescent="0.2">
      <c r="A602" s="120"/>
      <c r="B602" s="141" t="s">
        <v>714</v>
      </c>
      <c r="C602" s="455">
        <v>574000</v>
      </c>
      <c r="D602" s="456">
        <v>500000</v>
      </c>
      <c r="E602" s="134">
        <v>500000</v>
      </c>
      <c r="F602" s="134">
        <v>500000</v>
      </c>
      <c r="G602" s="122">
        <v>0</v>
      </c>
      <c r="H602" s="96"/>
    </row>
    <row r="603" spans="1:8" ht="36.75" hidden="1" x14ac:dyDescent="0.2">
      <c r="A603" s="113"/>
      <c r="B603" s="141" t="s">
        <v>715</v>
      </c>
      <c r="C603" s="455">
        <f>160000+276000+15000+55440+90000+21700</f>
        <v>618140</v>
      </c>
      <c r="D603" s="456">
        <v>15383674</v>
      </c>
      <c r="E603" s="121">
        <v>15383674</v>
      </c>
      <c r="F603" s="121">
        <v>14751165</v>
      </c>
      <c r="G603" s="122">
        <f>+(165+220+33.816+15+90+100)*1000</f>
        <v>623816</v>
      </c>
      <c r="H603" s="118"/>
    </row>
    <row r="604" spans="1:8" ht="21" hidden="1" customHeight="1" x14ac:dyDescent="0.3">
      <c r="A604" s="447"/>
      <c r="B604" s="94" t="s">
        <v>716</v>
      </c>
      <c r="C604" s="495">
        <f>SUM(C606)</f>
        <v>24216100</v>
      </c>
      <c r="D604" s="496">
        <v>26216100</v>
      </c>
      <c r="E604" s="497">
        <v>26000000</v>
      </c>
      <c r="F604" s="497">
        <v>16002050.35</v>
      </c>
      <c r="G604" s="497">
        <f>SUM(G606)</f>
        <v>24084500</v>
      </c>
      <c r="H604" s="96"/>
    </row>
    <row r="605" spans="1:8" ht="12" hidden="1" customHeight="1" x14ac:dyDescent="0.2">
      <c r="A605" s="112">
        <v>5311</v>
      </c>
      <c r="B605" s="161" t="s">
        <v>717</v>
      </c>
      <c r="C605" s="498">
        <f>SUM(C606)</f>
        <v>24216100</v>
      </c>
      <c r="D605" s="498">
        <v>26216100</v>
      </c>
      <c r="E605" s="111">
        <v>26000000</v>
      </c>
      <c r="F605" s="122">
        <v>16002050.35</v>
      </c>
      <c r="G605" s="111">
        <f>SUM(G606)</f>
        <v>24084500</v>
      </c>
      <c r="H605" s="96"/>
    </row>
    <row r="606" spans="1:8" ht="61.5" hidden="1" x14ac:dyDescent="0.2">
      <c r="A606" s="112"/>
      <c r="B606" s="425" t="s">
        <v>718</v>
      </c>
      <c r="C606" s="499">
        <f>(16200+4017.6+1458+2+1+200+2+68+169.5+10+240+10+237+35+3+48+2+529+288+80+15+50+20+25+6+500)*1000</f>
        <v>24216100</v>
      </c>
      <c r="D606" s="499">
        <v>26216100</v>
      </c>
      <c r="E606" s="121">
        <v>26000000</v>
      </c>
      <c r="F606" s="121">
        <v>16002050.35</v>
      </c>
      <c r="G606" s="122">
        <f>(16000+3968+1440+2+275+1+101+127.5+10+240+1+242+30+3+27+2+579+283+80+7+50+10+100+6+500)*1000</f>
        <v>24084500</v>
      </c>
      <c r="H606" s="118"/>
    </row>
    <row r="607" spans="1:8" ht="12.75" hidden="1" customHeight="1" x14ac:dyDescent="0.2">
      <c r="A607" s="500"/>
      <c r="B607" s="501"/>
      <c r="C607" s="502"/>
      <c r="D607" s="502"/>
      <c r="E607" s="309"/>
      <c r="F607" s="309"/>
      <c r="G607" s="431"/>
      <c r="H607" s="118"/>
    </row>
    <row r="608" spans="1:8" ht="20.25" hidden="1" x14ac:dyDescent="0.3">
      <c r="A608" s="447"/>
      <c r="B608" s="94" t="s">
        <v>719</v>
      </c>
      <c r="C608" s="97">
        <f>SUM(C609:C614)+C623</f>
        <v>36789421</v>
      </c>
      <c r="D608" s="95">
        <f>SUM(D609:D614)+D623</f>
        <v>33301421</v>
      </c>
      <c r="E608" s="95">
        <f>SUM(E609:E614)+E623</f>
        <v>30587183.09</v>
      </c>
      <c r="F608" s="95">
        <f>SUM(F609:F614)+F623</f>
        <v>14768627.58</v>
      </c>
      <c r="G608" s="95">
        <f>SUM(G609:G614)+G623</f>
        <v>34895800</v>
      </c>
      <c r="H608" s="96"/>
    </row>
    <row r="609" spans="1:8" s="116" customFormat="1" ht="36.75" hidden="1" x14ac:dyDescent="0.2">
      <c r="A609" s="108">
        <v>5212</v>
      </c>
      <c r="B609" s="225" t="s">
        <v>720</v>
      </c>
      <c r="C609" s="226">
        <f>1000+80000+25000+23000+40000</f>
        <v>169000</v>
      </c>
      <c r="D609" s="226">
        <v>169000</v>
      </c>
      <c r="E609" s="111">
        <v>136000</v>
      </c>
      <c r="F609" s="111">
        <v>38199.1</v>
      </c>
      <c r="G609" s="111">
        <v>169000</v>
      </c>
      <c r="H609" s="118"/>
    </row>
    <row r="610" spans="1:8" s="289" customFormat="1" ht="36.75" hidden="1" x14ac:dyDescent="0.25">
      <c r="A610" s="112">
        <v>5213</v>
      </c>
      <c r="B610" s="167" t="s">
        <v>721</v>
      </c>
      <c r="C610" s="166">
        <f>50000+70000+3000+3000+4000+10000+60000</f>
        <v>200000</v>
      </c>
      <c r="D610" s="166">
        <v>800000</v>
      </c>
      <c r="E610" s="166">
        <v>957907.71</v>
      </c>
      <c r="F610" s="166">
        <v>671490.34</v>
      </c>
      <c r="G610" s="111">
        <v>300000</v>
      </c>
      <c r="H610" s="118"/>
    </row>
    <row r="611" spans="1:8" s="116" customFormat="1" ht="24.75" hidden="1" x14ac:dyDescent="0.2">
      <c r="A611" s="112">
        <v>5273</v>
      </c>
      <c r="B611" s="167" t="s">
        <v>722</v>
      </c>
      <c r="C611" s="166">
        <f>1000+2000+1000+1000</f>
        <v>5000</v>
      </c>
      <c r="D611" s="166">
        <v>5000</v>
      </c>
      <c r="E611" s="115">
        <v>5000</v>
      </c>
      <c r="F611" s="115">
        <v>0</v>
      </c>
      <c r="G611" s="111">
        <v>5000</v>
      </c>
      <c r="H611" s="118"/>
    </row>
    <row r="612" spans="1:8" s="289" customFormat="1" ht="15.75" hidden="1" x14ac:dyDescent="0.25">
      <c r="A612" s="112">
        <v>5511</v>
      </c>
      <c r="B612" s="167" t="s">
        <v>723</v>
      </c>
      <c r="C612" s="166">
        <v>1800000</v>
      </c>
      <c r="D612" s="166">
        <v>1800000</v>
      </c>
      <c r="E612" s="115">
        <v>1645974</v>
      </c>
      <c r="F612" s="115">
        <v>1645974</v>
      </c>
      <c r="G612" s="111">
        <v>1800000</v>
      </c>
      <c r="H612" s="118"/>
    </row>
    <row r="613" spans="1:8" s="289" customFormat="1" ht="36.75" hidden="1" x14ac:dyDescent="0.25">
      <c r="A613" s="112">
        <v>5512</v>
      </c>
      <c r="B613" s="167" t="s">
        <v>724</v>
      </c>
      <c r="C613" s="166">
        <f>40000+50000+5000+12000+3600+5000+7000+35000+4000</f>
        <v>161600</v>
      </c>
      <c r="D613" s="166">
        <v>161600</v>
      </c>
      <c r="E613" s="166">
        <v>161380.54</v>
      </c>
      <c r="F613" s="166">
        <v>103169.81</v>
      </c>
      <c r="G613" s="111">
        <v>332600</v>
      </c>
      <c r="H613" s="118"/>
    </row>
    <row r="614" spans="1:8" s="289" customFormat="1" ht="12.75" hidden="1" customHeight="1" x14ac:dyDescent="0.25">
      <c r="A614" s="112">
        <v>6171</v>
      </c>
      <c r="B614" s="165" t="s">
        <v>725</v>
      </c>
      <c r="C614" s="166">
        <f>SUM(C615:C622)</f>
        <v>33103821</v>
      </c>
      <c r="D614" s="166">
        <f>SUM(D615:D622)</f>
        <v>29015821</v>
      </c>
      <c r="E614" s="166">
        <f>SUM(E615:E622)</f>
        <v>26330920.84</v>
      </c>
      <c r="F614" s="166">
        <f>SUM(F615:F622)</f>
        <v>11460329.33</v>
      </c>
      <c r="G614" s="166">
        <f>SUM(G615:G622)</f>
        <v>30939200</v>
      </c>
      <c r="H614" s="96"/>
    </row>
    <row r="615" spans="1:8" s="289" customFormat="1" ht="144" hidden="1" x14ac:dyDescent="0.25">
      <c r="A615" s="112"/>
      <c r="B615" s="503" t="s">
        <v>726</v>
      </c>
      <c r="C615" s="132">
        <f>(40000+100000+32500+600000+980000+1000000+1000000+2000000+1075000+350000+2100000+1500000+1000+182000+1700000+71000+126000+578200+260000+4655000+100000+500000+2070000+500000+200000+200000+4500+1000+21000+2000)-1000000-400000</f>
        <v>20549200</v>
      </c>
      <c r="D615" s="132">
        <v>16631700</v>
      </c>
      <c r="E615" s="132">
        <v>15433900</v>
      </c>
      <c r="F615" s="132">
        <v>7773789.1399999997</v>
      </c>
      <c r="G615" s="122">
        <f>21917200-1500000</f>
        <v>20417200</v>
      </c>
      <c r="H615" s="118"/>
    </row>
    <row r="616" spans="1:8" s="289" customFormat="1" ht="24" hidden="1" x14ac:dyDescent="0.25">
      <c r="A616" s="112"/>
      <c r="B616" s="504" t="s">
        <v>727</v>
      </c>
      <c r="C616" s="132">
        <f>100000+150000+150000+1000000+600000</f>
        <v>2000000</v>
      </c>
      <c r="D616" s="132">
        <v>2420000</v>
      </c>
      <c r="E616" s="121">
        <v>1904250.45</v>
      </c>
      <c r="F616" s="121">
        <v>548557.02</v>
      </c>
      <c r="G616" s="122">
        <v>480000</v>
      </c>
      <c r="H616" s="118"/>
    </row>
    <row r="617" spans="1:8" s="116" customFormat="1" ht="48" hidden="1" x14ac:dyDescent="0.2">
      <c r="A617" s="119"/>
      <c r="B617" s="505" t="s">
        <v>728</v>
      </c>
      <c r="C617" s="132">
        <f>2040000+395000+33000+10000+3936516+50000+530000+312905</f>
        <v>7307421</v>
      </c>
      <c r="D617" s="132">
        <v>6807421</v>
      </c>
      <c r="E617" s="121">
        <v>6437421</v>
      </c>
      <c r="F617" s="121">
        <v>2355907.66</v>
      </c>
      <c r="G617" s="122">
        <v>5977400</v>
      </c>
      <c r="H617" s="118"/>
    </row>
    <row r="618" spans="1:8" ht="24" hidden="1" x14ac:dyDescent="0.2">
      <c r="A618" s="119"/>
      <c r="B618" s="505" t="s">
        <v>729</v>
      </c>
      <c r="C618" s="132">
        <f>100000+314600+20000+100000+200000+400000+200000+600000</f>
        <v>1934600</v>
      </c>
      <c r="D618" s="132">
        <v>1834600</v>
      </c>
      <c r="E618" s="121">
        <v>1234600</v>
      </c>
      <c r="F618" s="121">
        <v>0</v>
      </c>
      <c r="G618" s="122">
        <v>3071000</v>
      </c>
      <c r="H618" s="118"/>
    </row>
    <row r="619" spans="1:8" ht="36.75" hidden="1" x14ac:dyDescent="0.2">
      <c r="A619" s="119"/>
      <c r="B619" s="168" t="s">
        <v>730</v>
      </c>
      <c r="C619" s="132">
        <f>12000+10000+15000+90000+1000+1000+50000+50000+17000+650000</f>
        <v>896000</v>
      </c>
      <c r="D619" s="132">
        <v>896000</v>
      </c>
      <c r="E619" s="121">
        <v>895649.39</v>
      </c>
      <c r="F619" s="121">
        <v>563472.49</v>
      </c>
      <c r="G619" s="122">
        <f>833000-300000</f>
        <v>533000</v>
      </c>
      <c r="H619" s="118"/>
    </row>
    <row r="620" spans="1:8" hidden="1" x14ac:dyDescent="0.2">
      <c r="A620" s="119"/>
      <c r="B620" s="143" t="s">
        <v>731</v>
      </c>
      <c r="C620" s="132">
        <v>200000</v>
      </c>
      <c r="D620" s="132">
        <v>201500</v>
      </c>
      <c r="E620" s="121">
        <v>201500</v>
      </c>
      <c r="F620" s="121">
        <v>132647.82</v>
      </c>
      <c r="G620" s="122">
        <v>200000</v>
      </c>
      <c r="H620" s="118"/>
    </row>
    <row r="621" spans="1:8" hidden="1" x14ac:dyDescent="0.2">
      <c r="A621" s="119"/>
      <c r="B621" s="143" t="s">
        <v>732</v>
      </c>
      <c r="C621" s="132">
        <v>60000</v>
      </c>
      <c r="D621" s="132">
        <v>61000</v>
      </c>
      <c r="E621" s="121">
        <v>60000</v>
      </c>
      <c r="F621" s="121">
        <v>23746.6</v>
      </c>
      <c r="G621" s="122">
        <v>60000</v>
      </c>
      <c r="H621" s="506"/>
    </row>
    <row r="622" spans="1:8" ht="24.75" hidden="1" x14ac:dyDescent="0.2">
      <c r="A622" s="119"/>
      <c r="B622" s="168" t="s">
        <v>733</v>
      </c>
      <c r="C622" s="132">
        <f>2000+20000+9000+18000+11000+72600+24000</f>
        <v>156600</v>
      </c>
      <c r="D622" s="132">
        <v>163600</v>
      </c>
      <c r="E622" s="132">
        <v>163600</v>
      </c>
      <c r="F622" s="132">
        <v>62208.6</v>
      </c>
      <c r="G622" s="122">
        <v>200600</v>
      </c>
      <c r="H622" s="96"/>
    </row>
    <row r="623" spans="1:8" ht="12.75" hidden="1" customHeight="1" x14ac:dyDescent="0.2">
      <c r="A623" s="112">
        <v>6320</v>
      </c>
      <c r="B623" s="165" t="s">
        <v>734</v>
      </c>
      <c r="C623" s="166">
        <f>1300000+50000</f>
        <v>1350000</v>
      </c>
      <c r="D623" s="166">
        <v>1350000</v>
      </c>
      <c r="E623" s="114">
        <v>1350000</v>
      </c>
      <c r="F623" s="114">
        <v>849465</v>
      </c>
      <c r="G623" s="111">
        <v>1350000</v>
      </c>
      <c r="H623" s="96"/>
    </row>
    <row r="624" spans="1:8" ht="12.75" hidden="1" customHeight="1" x14ac:dyDescent="0.2">
      <c r="A624" s="507"/>
      <c r="B624" s="417"/>
      <c r="C624" s="191"/>
      <c r="D624" s="191"/>
      <c r="E624" s="309"/>
      <c r="F624" s="309"/>
      <c r="G624" s="431"/>
      <c r="H624" s="96"/>
    </row>
    <row r="625" spans="1:8" ht="20.25" hidden="1" x14ac:dyDescent="0.3">
      <c r="A625" s="447"/>
      <c r="B625" s="94" t="s">
        <v>735</v>
      </c>
      <c r="C625" s="508">
        <f>C626+C627+C631</f>
        <v>153267660</v>
      </c>
      <c r="D625" s="508">
        <f>D626+D627+D631</f>
        <v>152405979</v>
      </c>
      <c r="E625" s="508">
        <f>E626+E627+E631</f>
        <v>152405979</v>
      </c>
      <c r="F625" s="508">
        <f>F626+F627+F631</f>
        <v>87122082</v>
      </c>
      <c r="G625" s="508">
        <f>G626+G627+G631</f>
        <v>149365960</v>
      </c>
      <c r="H625" s="96"/>
    </row>
    <row r="626" spans="1:8" s="116" customFormat="1" ht="36.75" hidden="1" x14ac:dyDescent="0.2">
      <c r="A626" s="112">
        <v>6112</v>
      </c>
      <c r="B626" s="167" t="s">
        <v>736</v>
      </c>
      <c r="C626" s="166">
        <f>25000+7200000+954800+648000+12000+13000+500+20000+75000+7000+40000+30000</f>
        <v>9025300</v>
      </c>
      <c r="D626" s="166">
        <v>8652800</v>
      </c>
      <c r="E626" s="166">
        <v>8652800</v>
      </c>
      <c r="F626" s="111">
        <v>5523052</v>
      </c>
      <c r="G626" s="111">
        <v>8946400</v>
      </c>
      <c r="H626" s="118"/>
    </row>
    <row r="627" spans="1:8" s="116" customFormat="1" hidden="1" x14ac:dyDescent="0.2">
      <c r="A627" s="112">
        <v>6171</v>
      </c>
      <c r="B627" s="165" t="s">
        <v>725</v>
      </c>
      <c r="C627" s="226">
        <f>SUM(C628:C630)</f>
        <v>138157960</v>
      </c>
      <c r="D627" s="226">
        <f>SUM(D628:D630)</f>
        <v>137668779</v>
      </c>
      <c r="E627" s="226">
        <f>SUM(E628:E630)</f>
        <v>137668779</v>
      </c>
      <c r="F627" s="226">
        <f>SUM(F628:F630)</f>
        <v>77035730</v>
      </c>
      <c r="G627" s="226">
        <f>SUM(G628:G630)</f>
        <v>134519560</v>
      </c>
      <c r="H627" s="96"/>
    </row>
    <row r="628" spans="1:8" ht="36" hidden="1" x14ac:dyDescent="0.2">
      <c r="A628" s="108"/>
      <c r="B628" s="509" t="s">
        <v>737</v>
      </c>
      <c r="C628" s="134">
        <f>89500000+10000+1300000+10000+22518400+8172000+490000+1000+1000000+250000+25000+30000+40000+100000+700000</f>
        <v>124146400</v>
      </c>
      <c r="D628" s="134">
        <v>123657219</v>
      </c>
      <c r="E628" s="134">
        <v>123657219</v>
      </c>
      <c r="F628" s="121">
        <v>68686166</v>
      </c>
      <c r="G628" s="122">
        <v>120650400</v>
      </c>
      <c r="H628" s="118"/>
    </row>
    <row r="629" spans="1:8" ht="25.5" hidden="1" customHeight="1" x14ac:dyDescent="0.25">
      <c r="A629" s="510"/>
      <c r="B629" s="168" t="s">
        <v>738</v>
      </c>
      <c r="C629" s="511">
        <f>5800000+24000+1456000+524160+120000+3000</f>
        <v>7927160</v>
      </c>
      <c r="D629" s="511">
        <v>7927160</v>
      </c>
      <c r="E629" s="511">
        <v>7927160</v>
      </c>
      <c r="F629" s="121">
        <v>4879761</v>
      </c>
      <c r="G629" s="122">
        <v>7669160</v>
      </c>
      <c r="H629" s="96"/>
    </row>
    <row r="630" spans="1:8" ht="48.75" hidden="1" x14ac:dyDescent="0.25">
      <c r="A630" s="510"/>
      <c r="B630" s="414" t="s">
        <v>739</v>
      </c>
      <c r="C630" s="511">
        <f>60700+2687200+1157500+95000+1066000+20000+100000+98000+800000</f>
        <v>6084400</v>
      </c>
      <c r="D630" s="511">
        <v>6084400</v>
      </c>
      <c r="E630" s="511">
        <v>6084400</v>
      </c>
      <c r="F630" s="121">
        <v>3469803</v>
      </c>
      <c r="G630" s="122">
        <f>5900000+300000</f>
        <v>6200000</v>
      </c>
      <c r="H630" s="118"/>
    </row>
    <row r="631" spans="1:8" hidden="1" x14ac:dyDescent="0.2">
      <c r="A631" s="112">
        <v>6330</v>
      </c>
      <c r="B631" s="165" t="s">
        <v>740</v>
      </c>
      <c r="C631" s="166">
        <v>6084400</v>
      </c>
      <c r="D631" s="166">
        <v>6084400</v>
      </c>
      <c r="E631" s="166">
        <v>6084400</v>
      </c>
      <c r="F631" s="115">
        <v>4563300</v>
      </c>
      <c r="G631" s="111">
        <v>5900000</v>
      </c>
      <c r="H631" s="118"/>
    </row>
    <row r="632" spans="1:8" hidden="1" x14ac:dyDescent="0.2">
      <c r="A632" s="512"/>
      <c r="B632" s="513"/>
      <c r="C632" s="514"/>
      <c r="D632" s="514"/>
      <c r="E632" s="309"/>
      <c r="F632" s="309"/>
      <c r="G632" s="431"/>
      <c r="H632" s="118"/>
    </row>
    <row r="633" spans="1:8" ht="20.25" hidden="1" x14ac:dyDescent="0.3">
      <c r="A633" s="447"/>
      <c r="B633" s="94" t="s">
        <v>43</v>
      </c>
      <c r="C633" s="508">
        <f>C634+C662</f>
        <v>10199000</v>
      </c>
      <c r="D633" s="508">
        <f>D634+D662</f>
        <v>10026000</v>
      </c>
      <c r="E633" s="508">
        <f>E634+E662</f>
        <v>8890100</v>
      </c>
      <c r="F633" s="508">
        <f>F634+F662</f>
        <v>6802858.8700000001</v>
      </c>
      <c r="G633" s="508">
        <f>G634+G662</f>
        <v>10937288</v>
      </c>
      <c r="H633" s="118"/>
    </row>
    <row r="634" spans="1:8" ht="15.75" hidden="1" x14ac:dyDescent="0.25">
      <c r="A634" s="447"/>
      <c r="B634" s="196" t="s">
        <v>741</v>
      </c>
      <c r="C634" s="515">
        <f>C635+C636+C637+C638+C642+C644+C646+C649+C651+C653+C655+C660+C661</f>
        <v>3459000</v>
      </c>
      <c r="D634" s="515">
        <f>D635+D636+D637+D638+D642+D644+D646+D649+D651+D653+D655+D660+D661</f>
        <v>3286000</v>
      </c>
      <c r="E634" s="515">
        <f>E635+E636+E637+E638+E642+E644+E646+E649+E651+E653+E655+E660+E661</f>
        <v>2734100</v>
      </c>
      <c r="F634" s="515">
        <f>F635+F636+F637+F638+F642+F644+F646+F649+F651+F653+F655+F660+F661</f>
        <v>769858.87000000011</v>
      </c>
      <c r="G634" s="515">
        <f>G635+G636+G637+G638+G642+G644+G646+G649+G651+G653+G655+G660+G661</f>
        <v>3067000</v>
      </c>
      <c r="H634" s="118"/>
    </row>
    <row r="635" spans="1:8" hidden="1" x14ac:dyDescent="0.2">
      <c r="A635" s="112">
        <v>2293</v>
      </c>
      <c r="B635" s="165" t="s">
        <v>742</v>
      </c>
      <c r="C635" s="166">
        <v>726000</v>
      </c>
      <c r="D635" s="166">
        <v>726000</v>
      </c>
      <c r="E635" s="111">
        <v>710000</v>
      </c>
      <c r="F635" s="111">
        <v>466566.40000000002</v>
      </c>
      <c r="G635" s="111">
        <v>726000</v>
      </c>
      <c r="H635" s="118"/>
    </row>
    <row r="636" spans="1:8" hidden="1" x14ac:dyDescent="0.2">
      <c r="A636" s="112">
        <v>3613</v>
      </c>
      <c r="B636" s="165" t="s">
        <v>743</v>
      </c>
      <c r="C636" s="166">
        <v>3000</v>
      </c>
      <c r="D636" s="166">
        <v>3000</v>
      </c>
      <c r="E636" s="115">
        <v>0</v>
      </c>
      <c r="F636" s="121">
        <v>0</v>
      </c>
      <c r="G636" s="111">
        <v>3000</v>
      </c>
      <c r="H636" s="96"/>
    </row>
    <row r="637" spans="1:8" s="289" customFormat="1" ht="15.75" hidden="1" x14ac:dyDescent="0.25">
      <c r="A637" s="112">
        <v>3632</v>
      </c>
      <c r="B637" s="165" t="s">
        <v>744</v>
      </c>
      <c r="C637" s="166">
        <v>130000</v>
      </c>
      <c r="D637" s="166">
        <v>130000</v>
      </c>
      <c r="E637" s="115">
        <v>130000</v>
      </c>
      <c r="F637" s="115">
        <v>104602.78</v>
      </c>
      <c r="G637" s="111">
        <v>130000</v>
      </c>
      <c r="H637" s="472"/>
    </row>
    <row r="638" spans="1:8" s="289" customFormat="1" ht="12.75" hidden="1" customHeight="1" x14ac:dyDescent="0.25">
      <c r="A638" s="112">
        <v>4329</v>
      </c>
      <c r="B638" s="165" t="s">
        <v>745</v>
      </c>
      <c r="C638" s="166">
        <f>SUM(C639:C641)</f>
        <v>205000</v>
      </c>
      <c r="D638" s="166">
        <f>SUM(D639:D641)</f>
        <v>255000</v>
      </c>
      <c r="E638" s="166">
        <f>SUM(E639:E641)</f>
        <v>254600</v>
      </c>
      <c r="F638" s="166">
        <f>SUM(F639:F641)</f>
        <v>72733</v>
      </c>
      <c r="G638" s="166">
        <f>SUM(G639:G641)</f>
        <v>205000</v>
      </c>
      <c r="H638" s="474"/>
    </row>
    <row r="639" spans="1:8" s="116" customFormat="1" hidden="1" x14ac:dyDescent="0.2">
      <c r="A639" s="112"/>
      <c r="B639" s="182" t="s">
        <v>746</v>
      </c>
      <c r="C639" s="132">
        <v>5000</v>
      </c>
      <c r="D639" s="132">
        <v>5000</v>
      </c>
      <c r="E639" s="121">
        <v>2000</v>
      </c>
      <c r="F639" s="121">
        <v>1333</v>
      </c>
      <c r="G639" s="122">
        <v>5000</v>
      </c>
      <c r="H639" s="474"/>
    </row>
    <row r="640" spans="1:8" s="116" customFormat="1" hidden="1" x14ac:dyDescent="0.2">
      <c r="A640" s="112"/>
      <c r="B640" s="182" t="s">
        <v>747</v>
      </c>
      <c r="C640" s="132">
        <v>200000</v>
      </c>
      <c r="D640" s="132">
        <v>250000</v>
      </c>
      <c r="E640" s="121">
        <v>250000</v>
      </c>
      <c r="F640" s="121">
        <v>68800</v>
      </c>
      <c r="G640" s="122">
        <v>200000</v>
      </c>
      <c r="H640" s="96"/>
    </row>
    <row r="641" spans="1:8" s="116" customFormat="1" hidden="1" x14ac:dyDescent="0.2">
      <c r="A641" s="112"/>
      <c r="B641" s="182" t="s">
        <v>748</v>
      </c>
      <c r="C641" s="132">
        <v>0</v>
      </c>
      <c r="D641" s="132">
        <v>0</v>
      </c>
      <c r="E641" s="121">
        <v>2600</v>
      </c>
      <c r="F641" s="121">
        <v>2600</v>
      </c>
      <c r="G641" s="122">
        <v>0</v>
      </c>
      <c r="H641" s="96"/>
    </row>
    <row r="642" spans="1:8" s="116" customFormat="1" hidden="1" x14ac:dyDescent="0.2">
      <c r="A642" s="112">
        <v>4339</v>
      </c>
      <c r="B642" s="165" t="s">
        <v>749</v>
      </c>
      <c r="C642" s="166">
        <f>C643</f>
        <v>192000</v>
      </c>
      <c r="D642" s="166">
        <f>D643</f>
        <v>144000</v>
      </c>
      <c r="E642" s="166">
        <f>E643</f>
        <v>20000</v>
      </c>
      <c r="F642" s="166">
        <f>F643</f>
        <v>0</v>
      </c>
      <c r="G642" s="166">
        <f>G643</f>
        <v>0</v>
      </c>
      <c r="H642" s="118"/>
    </row>
    <row r="643" spans="1:8" s="116" customFormat="1" hidden="1" x14ac:dyDescent="0.2">
      <c r="A643" s="112"/>
      <c r="B643" s="182" t="s">
        <v>750</v>
      </c>
      <c r="C643" s="132">
        <v>192000</v>
      </c>
      <c r="D643" s="132">
        <v>144000</v>
      </c>
      <c r="E643" s="122">
        <v>20000</v>
      </c>
      <c r="F643" s="122">
        <v>0</v>
      </c>
      <c r="G643" s="122">
        <v>0</v>
      </c>
      <c r="H643" s="118"/>
    </row>
    <row r="644" spans="1:8" s="116" customFormat="1" hidden="1" x14ac:dyDescent="0.2">
      <c r="A644" s="112">
        <v>4344</v>
      </c>
      <c r="B644" s="165" t="s">
        <v>751</v>
      </c>
      <c r="C644" s="166">
        <f>SUM(C645:C645)</f>
        <v>298000</v>
      </c>
      <c r="D644" s="166">
        <f>SUM(D645:D645)</f>
        <v>298000</v>
      </c>
      <c r="E644" s="166">
        <f>SUM(E645:E645)</f>
        <v>293500</v>
      </c>
      <c r="F644" s="166">
        <f>SUM(F645:F645)</f>
        <v>0</v>
      </c>
      <c r="G644" s="166">
        <f>SUM(G645:G645)</f>
        <v>298000</v>
      </c>
      <c r="H644" s="118"/>
    </row>
    <row r="645" spans="1:8" s="116" customFormat="1" hidden="1" x14ac:dyDescent="0.2">
      <c r="A645" s="119"/>
      <c r="B645" s="165" t="s">
        <v>752</v>
      </c>
      <c r="C645" s="132">
        <v>298000</v>
      </c>
      <c r="D645" s="132">
        <v>298000</v>
      </c>
      <c r="E645" s="121">
        <v>293500</v>
      </c>
      <c r="F645" s="121">
        <v>0</v>
      </c>
      <c r="G645" s="122">
        <v>298000</v>
      </c>
      <c r="H645" s="118"/>
    </row>
    <row r="646" spans="1:8" hidden="1" x14ac:dyDescent="0.2">
      <c r="A646" s="112">
        <v>4349</v>
      </c>
      <c r="B646" s="165" t="s">
        <v>753</v>
      </c>
      <c r="C646" s="166">
        <f>SUM(C647:C648)</f>
        <v>350000</v>
      </c>
      <c r="D646" s="166">
        <f>SUM(D647:D648)</f>
        <v>280000</v>
      </c>
      <c r="E646" s="166">
        <f>SUM(E647:E648)</f>
        <v>0</v>
      </c>
      <c r="F646" s="166">
        <f>SUM(F647:F648)</f>
        <v>0</v>
      </c>
      <c r="G646" s="166">
        <f>SUM(G647:G648)</f>
        <v>250000</v>
      </c>
      <c r="H646" s="118"/>
    </row>
    <row r="647" spans="1:8" hidden="1" x14ac:dyDescent="0.2">
      <c r="A647" s="119"/>
      <c r="B647" s="143" t="s">
        <v>754</v>
      </c>
      <c r="C647" s="132">
        <v>280000</v>
      </c>
      <c r="D647" s="132">
        <v>280000</v>
      </c>
      <c r="E647" s="121">
        <v>0</v>
      </c>
      <c r="F647" s="121">
        <v>0</v>
      </c>
      <c r="G647" s="122">
        <v>250000</v>
      </c>
      <c r="H647" s="118"/>
    </row>
    <row r="648" spans="1:8" s="116" customFormat="1" hidden="1" x14ac:dyDescent="0.2">
      <c r="A648" s="119"/>
      <c r="B648" s="143" t="s">
        <v>755</v>
      </c>
      <c r="C648" s="132">
        <v>70000</v>
      </c>
      <c r="D648" s="132">
        <v>0</v>
      </c>
      <c r="E648" s="121">
        <v>0</v>
      </c>
      <c r="F648" s="121">
        <v>0</v>
      </c>
      <c r="G648" s="122">
        <v>0</v>
      </c>
      <c r="H648" s="118"/>
    </row>
    <row r="649" spans="1:8" hidden="1" x14ac:dyDescent="0.2">
      <c r="A649" s="112">
        <v>4351</v>
      </c>
      <c r="B649" s="165" t="s">
        <v>756</v>
      </c>
      <c r="C649" s="166">
        <f>SUM(C650:C650)</f>
        <v>35000</v>
      </c>
      <c r="D649" s="166">
        <f>SUM(D650:D650)</f>
        <v>35000</v>
      </c>
      <c r="E649" s="166">
        <f>SUM(E650:E650)</f>
        <v>35000</v>
      </c>
      <c r="F649" s="166">
        <f>SUM(F650:F650)</f>
        <v>0</v>
      </c>
      <c r="G649" s="166">
        <f>SUM(G650:G650)</f>
        <v>35000</v>
      </c>
      <c r="H649" s="96"/>
    </row>
    <row r="650" spans="1:8" s="116" customFormat="1" hidden="1" x14ac:dyDescent="0.2">
      <c r="A650" s="119"/>
      <c r="B650" s="182" t="s">
        <v>757</v>
      </c>
      <c r="C650" s="132">
        <v>35000</v>
      </c>
      <c r="D650" s="132">
        <v>35000</v>
      </c>
      <c r="E650" s="132">
        <v>35000</v>
      </c>
      <c r="F650" s="132">
        <v>0</v>
      </c>
      <c r="G650" s="122">
        <v>35000</v>
      </c>
      <c r="H650" s="118"/>
    </row>
    <row r="651" spans="1:8" hidden="1" x14ac:dyDescent="0.2">
      <c r="A651" s="112">
        <v>4371</v>
      </c>
      <c r="B651" s="165" t="s">
        <v>758</v>
      </c>
      <c r="C651" s="166">
        <f>SUM(C652:C652)</f>
        <v>240000</v>
      </c>
      <c r="D651" s="166">
        <f>SUM(D652:D652)</f>
        <v>240000</v>
      </c>
      <c r="E651" s="166">
        <f>SUM(E652:E652)</f>
        <v>233000</v>
      </c>
      <c r="F651" s="166">
        <f>SUM(F652:F652)</f>
        <v>0</v>
      </c>
      <c r="G651" s="166">
        <f>SUM(G652:G652)</f>
        <v>240000</v>
      </c>
      <c r="H651" s="118"/>
    </row>
    <row r="652" spans="1:8" hidden="1" x14ac:dyDescent="0.2">
      <c r="A652" s="119"/>
      <c r="B652" s="182" t="s">
        <v>757</v>
      </c>
      <c r="C652" s="132">
        <v>240000</v>
      </c>
      <c r="D652" s="132">
        <v>240000</v>
      </c>
      <c r="E652" s="121">
        <v>233000</v>
      </c>
      <c r="F652" s="121">
        <v>0</v>
      </c>
      <c r="G652" s="122">
        <v>240000</v>
      </c>
      <c r="H652" s="118"/>
    </row>
    <row r="653" spans="1:8" s="116" customFormat="1" hidden="1" x14ac:dyDescent="0.2">
      <c r="A653" s="112">
        <v>4374</v>
      </c>
      <c r="B653" s="516" t="s">
        <v>759</v>
      </c>
      <c r="C653" s="166">
        <f>SUM(C654:C654)</f>
        <v>822000</v>
      </c>
      <c r="D653" s="166">
        <f>SUM(D654:D654)</f>
        <v>822000</v>
      </c>
      <c r="E653" s="166">
        <f>SUM(E654:E654)</f>
        <v>822000</v>
      </c>
      <c r="F653" s="166">
        <f>SUM(F654:F654)</f>
        <v>0</v>
      </c>
      <c r="G653" s="166">
        <f>SUM(G654:G654)</f>
        <v>822000</v>
      </c>
      <c r="H653" s="96"/>
    </row>
    <row r="654" spans="1:8" hidden="1" x14ac:dyDescent="0.2">
      <c r="A654" s="119"/>
      <c r="B654" s="182" t="s">
        <v>757</v>
      </c>
      <c r="C654" s="132">
        <v>822000</v>
      </c>
      <c r="D654" s="132">
        <v>822000</v>
      </c>
      <c r="E654" s="121">
        <v>822000</v>
      </c>
      <c r="F654" s="121">
        <v>0</v>
      </c>
      <c r="G654" s="122">
        <v>822000</v>
      </c>
      <c r="H654" s="118"/>
    </row>
    <row r="655" spans="1:8" s="116" customFormat="1" hidden="1" x14ac:dyDescent="0.2">
      <c r="A655" s="112">
        <v>4379</v>
      </c>
      <c r="B655" s="165" t="s">
        <v>760</v>
      </c>
      <c r="C655" s="166">
        <f>SUM(C656:C659)</f>
        <v>345000</v>
      </c>
      <c r="D655" s="166">
        <f>SUM(D656:D659)</f>
        <v>340000</v>
      </c>
      <c r="E655" s="166">
        <f>SUM(E656:E659)</f>
        <v>225000</v>
      </c>
      <c r="F655" s="166">
        <f>SUM(F656:F659)</f>
        <v>116965.55</v>
      </c>
      <c r="G655" s="166">
        <f>SUM(G656:G659)</f>
        <v>345000</v>
      </c>
      <c r="H655" s="118"/>
    </row>
    <row r="656" spans="1:8" hidden="1" x14ac:dyDescent="0.2">
      <c r="A656" s="119"/>
      <c r="B656" s="143" t="s">
        <v>761</v>
      </c>
      <c r="C656" s="132">
        <v>232000</v>
      </c>
      <c r="D656" s="132">
        <v>232000</v>
      </c>
      <c r="E656" s="121">
        <v>135000</v>
      </c>
      <c r="F656" s="121">
        <v>77907.850000000006</v>
      </c>
      <c r="G656" s="122">
        <v>232000</v>
      </c>
      <c r="H656" s="118"/>
    </row>
    <row r="657" spans="1:8" s="517" customFormat="1" hidden="1" x14ac:dyDescent="0.2">
      <c r="A657" s="119"/>
      <c r="B657" s="143" t="s">
        <v>762</v>
      </c>
      <c r="C657" s="132">
        <v>59000</v>
      </c>
      <c r="D657" s="132">
        <v>59000</v>
      </c>
      <c r="E657" s="121">
        <v>45000</v>
      </c>
      <c r="F657" s="121">
        <v>18050</v>
      </c>
      <c r="G657" s="122">
        <v>59000</v>
      </c>
      <c r="H657" s="96"/>
    </row>
    <row r="658" spans="1:8" hidden="1" x14ac:dyDescent="0.2">
      <c r="A658" s="119"/>
      <c r="B658" s="143" t="s">
        <v>763</v>
      </c>
      <c r="C658" s="132">
        <v>44000</v>
      </c>
      <c r="D658" s="132">
        <v>44000</v>
      </c>
      <c r="E658" s="121">
        <v>40000</v>
      </c>
      <c r="F658" s="121">
        <v>21007.7</v>
      </c>
      <c r="G658" s="122">
        <v>44000</v>
      </c>
      <c r="H658" s="96"/>
    </row>
    <row r="659" spans="1:8" s="116" customFormat="1" hidden="1" x14ac:dyDescent="0.2">
      <c r="A659" s="119"/>
      <c r="B659" s="143" t="s">
        <v>764</v>
      </c>
      <c r="C659" s="132">
        <v>10000</v>
      </c>
      <c r="D659" s="132">
        <v>5000</v>
      </c>
      <c r="E659" s="121">
        <v>5000</v>
      </c>
      <c r="F659" s="121">
        <v>0</v>
      </c>
      <c r="G659" s="122">
        <v>10000</v>
      </c>
      <c r="H659" s="118"/>
    </row>
    <row r="660" spans="1:8" hidden="1" x14ac:dyDescent="0.2">
      <c r="A660" s="112">
        <v>4399</v>
      </c>
      <c r="B660" s="165" t="s">
        <v>765</v>
      </c>
      <c r="C660" s="166">
        <v>13000</v>
      </c>
      <c r="D660" s="166">
        <v>13000</v>
      </c>
      <c r="E660" s="115">
        <v>11000</v>
      </c>
      <c r="F660" s="115">
        <v>8991.14</v>
      </c>
      <c r="G660" s="111">
        <v>13000</v>
      </c>
      <c r="H660" s="118"/>
    </row>
    <row r="661" spans="1:8" hidden="1" x14ac:dyDescent="0.2">
      <c r="A661" s="149">
        <v>6409</v>
      </c>
      <c r="B661" s="518" t="s">
        <v>766</v>
      </c>
      <c r="C661" s="519">
        <v>100000</v>
      </c>
      <c r="D661" s="519">
        <v>0</v>
      </c>
      <c r="E661" s="115">
        <v>0</v>
      </c>
      <c r="F661" s="115">
        <v>0</v>
      </c>
      <c r="G661" s="111">
        <v>0</v>
      </c>
      <c r="H661" s="96"/>
    </row>
    <row r="662" spans="1:8" ht="15.75" hidden="1" x14ac:dyDescent="0.25">
      <c r="A662" s="447"/>
      <c r="B662" s="196" t="s">
        <v>767</v>
      </c>
      <c r="C662" s="197">
        <f>C663</f>
        <v>6740000</v>
      </c>
      <c r="D662" s="197">
        <f>D663</f>
        <v>6740000</v>
      </c>
      <c r="E662" s="197">
        <f>E663</f>
        <v>6156000</v>
      </c>
      <c r="F662" s="197">
        <f>F663</f>
        <v>6033000</v>
      </c>
      <c r="G662" s="197">
        <f>G663</f>
        <v>7870288</v>
      </c>
      <c r="H662" s="96"/>
    </row>
    <row r="663" spans="1:8" hidden="1" x14ac:dyDescent="0.2">
      <c r="A663" s="520"/>
      <c r="B663" s="159" t="s">
        <v>768</v>
      </c>
      <c r="C663" s="166">
        <f>SUM(C664:C671)</f>
        <v>6740000</v>
      </c>
      <c r="D663" s="166">
        <f>SUM(D664:D671)</f>
        <v>6740000</v>
      </c>
      <c r="E663" s="166">
        <f>SUM(E664:E671)</f>
        <v>6156000</v>
      </c>
      <c r="F663" s="166">
        <f>SUM(F664:F671)</f>
        <v>6033000</v>
      </c>
      <c r="G663" s="166">
        <f>SUM(G664:G671)</f>
        <v>7870288</v>
      </c>
      <c r="H663" s="96"/>
    </row>
    <row r="664" spans="1:8" s="116" customFormat="1" hidden="1" x14ac:dyDescent="0.2">
      <c r="A664" s="520"/>
      <c r="B664" s="143" t="s">
        <v>769</v>
      </c>
      <c r="C664" s="132">
        <v>180000</v>
      </c>
      <c r="D664" s="132">
        <v>180000</v>
      </c>
      <c r="E664" s="122">
        <v>148000</v>
      </c>
      <c r="F664" s="122">
        <v>148000</v>
      </c>
      <c r="G664" s="122">
        <v>190000</v>
      </c>
      <c r="H664" s="96"/>
    </row>
    <row r="665" spans="1:8" hidden="1" x14ac:dyDescent="0.2">
      <c r="A665" s="520"/>
      <c r="B665" s="143" t="s">
        <v>770</v>
      </c>
      <c r="C665" s="132">
        <v>150000</v>
      </c>
      <c r="D665" s="132">
        <v>150000</v>
      </c>
      <c r="E665" s="121">
        <v>82000</v>
      </c>
      <c r="F665" s="121">
        <v>82000</v>
      </c>
      <c r="G665" s="122">
        <v>170000</v>
      </c>
      <c r="H665" s="96"/>
    </row>
    <row r="666" spans="1:8" hidden="1" x14ac:dyDescent="0.2">
      <c r="A666" s="520"/>
      <c r="B666" s="143" t="s">
        <v>771</v>
      </c>
      <c r="C666" s="132">
        <v>5373000</v>
      </c>
      <c r="D666" s="132">
        <v>5373000</v>
      </c>
      <c r="E666" s="121">
        <v>5062900</v>
      </c>
      <c r="F666" s="121">
        <v>5062900</v>
      </c>
      <c r="G666" s="122">
        <v>5776002</v>
      </c>
      <c r="H666" s="96"/>
    </row>
    <row r="667" spans="1:8" hidden="1" x14ac:dyDescent="0.2">
      <c r="A667" s="520"/>
      <c r="B667" s="143" t="s">
        <v>772</v>
      </c>
      <c r="C667" s="132">
        <v>400000</v>
      </c>
      <c r="D667" s="132">
        <v>400000</v>
      </c>
      <c r="E667" s="132">
        <v>396100</v>
      </c>
      <c r="F667" s="132">
        <v>396100</v>
      </c>
      <c r="G667" s="122">
        <v>1036286</v>
      </c>
      <c r="H667" s="96"/>
    </row>
    <row r="668" spans="1:8" hidden="1" x14ac:dyDescent="0.2">
      <c r="A668" s="520"/>
      <c r="B668" s="143" t="s">
        <v>773</v>
      </c>
      <c r="C668" s="132">
        <v>287000</v>
      </c>
      <c r="D668" s="132">
        <v>263000</v>
      </c>
      <c r="E668" s="132">
        <v>120000</v>
      </c>
      <c r="F668" s="132">
        <v>120000</v>
      </c>
      <c r="G668" s="122">
        <v>298000</v>
      </c>
      <c r="H668" s="96"/>
    </row>
    <row r="669" spans="1:8" hidden="1" x14ac:dyDescent="0.2">
      <c r="A669" s="520"/>
      <c r="B669" s="143" t="s">
        <v>774</v>
      </c>
      <c r="C669" s="132">
        <v>200000</v>
      </c>
      <c r="D669" s="132">
        <v>180000</v>
      </c>
      <c r="E669" s="132">
        <v>180000</v>
      </c>
      <c r="F669" s="132">
        <v>180000</v>
      </c>
      <c r="G669" s="122">
        <v>250000</v>
      </c>
      <c r="H669" s="96"/>
    </row>
    <row r="670" spans="1:8" hidden="1" x14ac:dyDescent="0.2">
      <c r="A670" s="112"/>
      <c r="B670" s="143" t="s">
        <v>775</v>
      </c>
      <c r="C670" s="132">
        <v>150000</v>
      </c>
      <c r="D670" s="132">
        <v>150000</v>
      </c>
      <c r="E670" s="121">
        <v>123000</v>
      </c>
      <c r="F670" s="121">
        <v>0</v>
      </c>
      <c r="G670" s="122">
        <v>150000</v>
      </c>
      <c r="H670" s="96"/>
    </row>
    <row r="671" spans="1:8" hidden="1" x14ac:dyDescent="0.2">
      <c r="A671" s="112"/>
      <c r="B671" s="246" t="s">
        <v>776</v>
      </c>
      <c r="C671" s="231">
        <v>0</v>
      </c>
      <c r="D671" s="231">
        <v>44000</v>
      </c>
      <c r="E671" s="121">
        <v>44000</v>
      </c>
      <c r="F671" s="121">
        <v>44000</v>
      </c>
      <c r="G671" s="122">
        <v>0</v>
      </c>
      <c r="H671" s="96"/>
    </row>
    <row r="672" spans="1:8" hidden="1" x14ac:dyDescent="0.2">
      <c r="A672" s="500"/>
      <c r="B672" s="521"/>
      <c r="C672" s="279"/>
      <c r="D672" s="279"/>
      <c r="E672" s="231"/>
      <c r="F672" s="231"/>
      <c r="G672" s="431"/>
      <c r="H672" s="96"/>
    </row>
    <row r="673" spans="1:9" ht="20.25" hidden="1" x14ac:dyDescent="0.2">
      <c r="A673" s="500"/>
      <c r="B673" s="522" t="s">
        <v>777</v>
      </c>
      <c r="C673" s="394">
        <f>C674</f>
        <v>14255100</v>
      </c>
      <c r="D673" s="394">
        <v>20033588</v>
      </c>
      <c r="E673" s="394">
        <f>E674</f>
        <v>20033588</v>
      </c>
      <c r="F673" s="394">
        <v>7184316.8099999996</v>
      </c>
      <c r="G673" s="394">
        <f>G674</f>
        <v>13505100</v>
      </c>
      <c r="H673" s="96"/>
    </row>
    <row r="674" spans="1:9" hidden="1" x14ac:dyDescent="0.2">
      <c r="A674" s="523">
        <v>4351</v>
      </c>
      <c r="B674" s="524" t="s">
        <v>778</v>
      </c>
      <c r="C674" s="525">
        <f>SUM(C675:C677)</f>
        <v>14255100</v>
      </c>
      <c r="D674" s="525">
        <v>20033588</v>
      </c>
      <c r="E674" s="525">
        <f>SUM(E675:E677)</f>
        <v>20033588</v>
      </c>
      <c r="F674" s="111">
        <v>7184316.8099999996</v>
      </c>
      <c r="G674" s="525">
        <f>SUM(G675:G677)</f>
        <v>13505100</v>
      </c>
      <c r="H674" s="96"/>
    </row>
    <row r="675" spans="1:9" ht="60" hidden="1" x14ac:dyDescent="0.2">
      <c r="A675" s="119"/>
      <c r="B675" s="509" t="s">
        <v>779</v>
      </c>
      <c r="C675" s="298">
        <v>6911500</v>
      </c>
      <c r="D675" s="298">
        <v>10203820</v>
      </c>
      <c r="E675" s="298">
        <f>D675</f>
        <v>10203820</v>
      </c>
      <c r="F675" s="132">
        <v>3433058.91</v>
      </c>
      <c r="G675" s="298">
        <v>6835500</v>
      </c>
      <c r="H675" s="118"/>
      <c r="I675" s="186"/>
    </row>
    <row r="676" spans="1:9" ht="48" hidden="1" x14ac:dyDescent="0.2">
      <c r="A676" s="119"/>
      <c r="B676" s="509" t="s">
        <v>780</v>
      </c>
      <c r="C676" s="526">
        <v>1796800</v>
      </c>
      <c r="D676" s="526">
        <v>2479432</v>
      </c>
      <c r="E676" s="526">
        <f>D676</f>
        <v>2479432</v>
      </c>
      <c r="F676" s="121">
        <v>763396.3</v>
      </c>
      <c r="G676" s="526">
        <v>1739300</v>
      </c>
      <c r="H676" s="118"/>
      <c r="I676" s="186"/>
    </row>
    <row r="677" spans="1:9" ht="36" hidden="1" x14ac:dyDescent="0.2">
      <c r="A677" s="112"/>
      <c r="B677" s="509" t="s">
        <v>781</v>
      </c>
      <c r="C677" s="298">
        <v>5546800</v>
      </c>
      <c r="D677" s="298">
        <v>7350336</v>
      </c>
      <c r="E677" s="298">
        <f>D677</f>
        <v>7350336</v>
      </c>
      <c r="F677" s="132">
        <v>2987864.6</v>
      </c>
      <c r="G677" s="298">
        <v>4930300</v>
      </c>
      <c r="H677" s="118"/>
      <c r="I677" s="186"/>
    </row>
    <row r="678" spans="1:9" hidden="1" x14ac:dyDescent="0.2">
      <c r="A678" s="500"/>
      <c r="B678" s="527"/>
      <c r="C678" s="440"/>
      <c r="D678" s="440"/>
      <c r="E678" s="440"/>
      <c r="F678" s="309"/>
      <c r="G678" s="440"/>
      <c r="H678" s="96"/>
    </row>
    <row r="679" spans="1:9" ht="20.25" hidden="1" x14ac:dyDescent="0.3">
      <c r="A679" s="447"/>
      <c r="B679" s="94" t="s">
        <v>50</v>
      </c>
      <c r="C679" s="394">
        <f>SUM(C680,C681,C682,C683,C684,C685,C686,C687,C691,C692,C693,C694,C699,C700)</f>
        <v>48341000</v>
      </c>
      <c r="D679" s="394">
        <f>SUM(D680,D681,D682,D683,D684,D685,D686,D687,D691,D692,D693,D694,D699,D700)</f>
        <v>48246622</v>
      </c>
      <c r="E679" s="394">
        <f>SUM(E680,E681,E682,E683,E684,E685,E686,E687,E691,E692,E693,E694,E699,E700)</f>
        <v>48220555</v>
      </c>
      <c r="F679" s="394">
        <f>SUM(F680,F681,F682,F683,F684,F685,F686,F687,F691,F692,F693,F694,F699,F700)</f>
        <v>26931631</v>
      </c>
      <c r="G679" s="394">
        <f>SUM(G680,G681,G682,G683,G684,G685,G686,G687,G691,G692,G693,G694,G699,G700)</f>
        <v>58483000</v>
      </c>
      <c r="H679" s="96"/>
    </row>
    <row r="680" spans="1:9" hidden="1" x14ac:dyDescent="0.2">
      <c r="A680" s="108">
        <v>1014</v>
      </c>
      <c r="B680" s="159" t="s">
        <v>782</v>
      </c>
      <c r="C680" s="226">
        <v>760000</v>
      </c>
      <c r="D680" s="528">
        <v>760000</v>
      </c>
      <c r="E680" s="111">
        <v>760000</v>
      </c>
      <c r="F680" s="528">
        <v>250713</v>
      </c>
      <c r="G680" s="111">
        <v>770000</v>
      </c>
      <c r="H680" s="96"/>
    </row>
    <row r="681" spans="1:9" hidden="1" x14ac:dyDescent="0.2">
      <c r="A681" s="112">
        <v>1031</v>
      </c>
      <c r="B681" s="165" t="s">
        <v>783</v>
      </c>
      <c r="C681" s="166">
        <v>481000</v>
      </c>
      <c r="D681" s="529">
        <v>481000</v>
      </c>
      <c r="E681" s="115">
        <v>481000</v>
      </c>
      <c r="F681" s="529">
        <v>82116</v>
      </c>
      <c r="G681" s="111">
        <v>436000</v>
      </c>
      <c r="H681" s="96"/>
    </row>
    <row r="682" spans="1:9" hidden="1" x14ac:dyDescent="0.2">
      <c r="A682" s="112">
        <v>1036</v>
      </c>
      <c r="B682" s="165" t="s">
        <v>784</v>
      </c>
      <c r="C682" s="166">
        <v>100000</v>
      </c>
      <c r="D682" s="529">
        <v>100000</v>
      </c>
      <c r="E682" s="166">
        <v>100000</v>
      </c>
      <c r="F682" s="530">
        <v>60738</v>
      </c>
      <c r="G682" s="111">
        <v>100000</v>
      </c>
      <c r="H682" s="96"/>
    </row>
    <row r="683" spans="1:9" s="289" customFormat="1" ht="15.75" hidden="1" x14ac:dyDescent="0.25">
      <c r="A683" s="112">
        <v>1037</v>
      </c>
      <c r="B683" s="165" t="s">
        <v>785</v>
      </c>
      <c r="C683" s="166">
        <v>773000</v>
      </c>
      <c r="D683" s="529">
        <v>773000</v>
      </c>
      <c r="E683" s="477">
        <v>773000</v>
      </c>
      <c r="F683" s="531">
        <v>15125.64</v>
      </c>
      <c r="G683" s="111">
        <v>20000</v>
      </c>
      <c r="H683" s="96"/>
    </row>
    <row r="684" spans="1:9" s="116" customFormat="1" hidden="1" x14ac:dyDescent="0.2">
      <c r="A684" s="112">
        <v>1039</v>
      </c>
      <c r="B684" s="165" t="s">
        <v>786</v>
      </c>
      <c r="C684" s="166">
        <v>300000</v>
      </c>
      <c r="D684" s="529">
        <v>570497</v>
      </c>
      <c r="E684" s="532">
        <v>570000</v>
      </c>
      <c r="F684" s="533">
        <v>0</v>
      </c>
      <c r="G684" s="111">
        <v>200000</v>
      </c>
      <c r="H684" s="96"/>
    </row>
    <row r="685" spans="1:9" s="116" customFormat="1" hidden="1" x14ac:dyDescent="0.2">
      <c r="A685" s="112">
        <v>2369</v>
      </c>
      <c r="B685" s="165" t="s">
        <v>787</v>
      </c>
      <c r="C685" s="166">
        <v>370000</v>
      </c>
      <c r="D685" s="529">
        <v>370000</v>
      </c>
      <c r="E685" s="111">
        <v>370000</v>
      </c>
      <c r="F685" s="534">
        <v>400</v>
      </c>
      <c r="G685" s="111">
        <v>370000</v>
      </c>
      <c r="H685" s="96"/>
    </row>
    <row r="686" spans="1:9" s="116" customFormat="1" hidden="1" x14ac:dyDescent="0.2">
      <c r="A686" s="112">
        <v>3721</v>
      </c>
      <c r="B686" s="165" t="s">
        <v>788</v>
      </c>
      <c r="C686" s="166">
        <v>50000</v>
      </c>
      <c r="D686" s="529">
        <v>50000</v>
      </c>
      <c r="E686" s="115">
        <v>50000</v>
      </c>
      <c r="F686" s="529">
        <v>33600</v>
      </c>
      <c r="G686" s="111">
        <v>50000</v>
      </c>
      <c r="H686" s="96"/>
    </row>
    <row r="687" spans="1:9" s="116" customFormat="1" hidden="1" x14ac:dyDescent="0.2">
      <c r="A687" s="112">
        <v>3722</v>
      </c>
      <c r="B687" s="165" t="s">
        <v>789</v>
      </c>
      <c r="C687" s="166">
        <f>SUM(C688:C690)</f>
        <v>24470000</v>
      </c>
      <c r="D687" s="535">
        <f>SUM(D688:D690)</f>
        <v>24350625</v>
      </c>
      <c r="E687" s="166">
        <f>SUM(E688:E690)</f>
        <v>24350625</v>
      </c>
      <c r="F687" s="535">
        <f>SUM(F688:F690)</f>
        <v>14850244.939999999</v>
      </c>
      <c r="G687" s="166">
        <f>SUM(G688:G690)</f>
        <v>27100000</v>
      </c>
      <c r="H687" s="96"/>
    </row>
    <row r="688" spans="1:9" s="116" customFormat="1" hidden="1" x14ac:dyDescent="0.2">
      <c r="A688" s="112"/>
      <c r="B688" s="182" t="s">
        <v>790</v>
      </c>
      <c r="C688" s="132">
        <v>20955000</v>
      </c>
      <c r="D688" s="536">
        <f>C688+130625</f>
        <v>21085625</v>
      </c>
      <c r="E688" s="121">
        <v>21085625</v>
      </c>
      <c r="F688" s="536">
        <v>14100625</v>
      </c>
      <c r="G688" s="122">
        <v>24500000</v>
      </c>
      <c r="H688" s="96"/>
    </row>
    <row r="689" spans="1:256" s="116" customFormat="1" hidden="1" x14ac:dyDescent="0.2">
      <c r="A689" s="112"/>
      <c r="B689" s="182" t="s">
        <v>791</v>
      </c>
      <c r="C689" s="132">
        <v>1990000</v>
      </c>
      <c r="D689" s="536">
        <v>1990000</v>
      </c>
      <c r="E689" s="121">
        <v>1990000</v>
      </c>
      <c r="F689" s="536">
        <v>749619.94</v>
      </c>
      <c r="G689" s="122">
        <f>2140000+100000</f>
        <v>2240000</v>
      </c>
      <c r="H689" s="96"/>
    </row>
    <row r="690" spans="1:256" s="116" customFormat="1" hidden="1" x14ac:dyDescent="0.2">
      <c r="A690" s="112"/>
      <c r="B690" s="168" t="s">
        <v>792</v>
      </c>
      <c r="C690" s="132">
        <v>1525000</v>
      </c>
      <c r="D690" s="536">
        <f>C690-250000</f>
        <v>1275000</v>
      </c>
      <c r="E690" s="121">
        <v>1275000</v>
      </c>
      <c r="F690" s="536">
        <v>0</v>
      </c>
      <c r="G690" s="122">
        <v>360000</v>
      </c>
      <c r="H690" s="96"/>
    </row>
    <row r="691" spans="1:256" s="116" customFormat="1" hidden="1" x14ac:dyDescent="0.2">
      <c r="A691" s="112">
        <v>3733</v>
      </c>
      <c r="B691" s="165" t="s">
        <v>793</v>
      </c>
      <c r="C691" s="166">
        <v>65000</v>
      </c>
      <c r="D691" s="529">
        <v>65000</v>
      </c>
      <c r="E691" s="115">
        <v>40000</v>
      </c>
      <c r="F691" s="529">
        <v>0</v>
      </c>
      <c r="G691" s="111">
        <v>65000</v>
      </c>
      <c r="H691" s="96"/>
    </row>
    <row r="692" spans="1:256" s="116" customFormat="1" hidden="1" x14ac:dyDescent="0.2">
      <c r="A692" s="112">
        <v>3742</v>
      </c>
      <c r="B692" s="167" t="s">
        <v>794</v>
      </c>
      <c r="C692" s="166">
        <v>100000</v>
      </c>
      <c r="D692" s="529">
        <v>100000</v>
      </c>
      <c r="E692" s="477">
        <v>100000</v>
      </c>
      <c r="F692" s="537">
        <v>0</v>
      </c>
      <c r="G692" s="111">
        <v>100000</v>
      </c>
      <c r="H692" s="96"/>
    </row>
    <row r="693" spans="1:256" s="116" customFormat="1" hidden="1" x14ac:dyDescent="0.2">
      <c r="A693" s="112">
        <v>3743</v>
      </c>
      <c r="B693" s="165" t="s">
        <v>795</v>
      </c>
      <c r="C693" s="166">
        <v>2000</v>
      </c>
      <c r="D693" s="529">
        <v>2000</v>
      </c>
      <c r="E693" s="477">
        <v>1430</v>
      </c>
      <c r="F693" s="537">
        <v>0</v>
      </c>
      <c r="G693" s="111">
        <v>2000</v>
      </c>
      <c r="H693" s="96"/>
    </row>
    <row r="694" spans="1:256" s="116" customFormat="1" hidden="1" x14ac:dyDescent="0.2">
      <c r="A694" s="112">
        <v>3745</v>
      </c>
      <c r="B694" s="165" t="s">
        <v>796</v>
      </c>
      <c r="C694" s="166">
        <f>SUM(C695:C698)</f>
        <v>20640000</v>
      </c>
      <c r="D694" s="535">
        <f>SUM(D695:D698)</f>
        <v>20394500</v>
      </c>
      <c r="E694" s="166">
        <f>SUM(E695:E698)</f>
        <v>20394500</v>
      </c>
      <c r="F694" s="535">
        <f>SUM(F695:F698)</f>
        <v>11629207.42</v>
      </c>
      <c r="G694" s="166">
        <f>SUM(G695:G698)</f>
        <v>29115000</v>
      </c>
      <c r="H694" s="96"/>
    </row>
    <row r="695" spans="1:256" s="116" customFormat="1" hidden="1" x14ac:dyDescent="0.2">
      <c r="A695" s="112"/>
      <c r="B695" s="182" t="s">
        <v>797</v>
      </c>
      <c r="C695" s="134">
        <v>150000</v>
      </c>
      <c r="D695" s="538">
        <v>0</v>
      </c>
      <c r="E695" s="134">
        <v>0</v>
      </c>
      <c r="F695" s="538">
        <v>0</v>
      </c>
      <c r="G695" s="122">
        <v>150000</v>
      </c>
      <c r="H695" s="96"/>
    </row>
    <row r="696" spans="1:256" s="116" customFormat="1" hidden="1" x14ac:dyDescent="0.2">
      <c r="A696" s="119"/>
      <c r="B696" s="182" t="s">
        <v>798</v>
      </c>
      <c r="C696" s="132">
        <v>14620000</v>
      </c>
      <c r="D696" s="536">
        <f>C696+104500</f>
        <v>14724500</v>
      </c>
      <c r="E696" s="122">
        <v>14724500</v>
      </c>
      <c r="F696" s="538">
        <v>9851164</v>
      </c>
      <c r="G696" s="122">
        <v>16000000</v>
      </c>
      <c r="H696" s="118"/>
    </row>
    <row r="697" spans="1:256" s="116" customFormat="1" hidden="1" x14ac:dyDescent="0.2">
      <c r="A697" s="119"/>
      <c r="B697" s="182" t="s">
        <v>799</v>
      </c>
      <c r="C697" s="132">
        <v>3570000</v>
      </c>
      <c r="D697" s="536">
        <f>C697-300000+100000</f>
        <v>3370000</v>
      </c>
      <c r="E697" s="121">
        <v>3370000</v>
      </c>
      <c r="F697" s="536">
        <v>844983.42</v>
      </c>
      <c r="G697" s="122">
        <v>3200000</v>
      </c>
      <c r="H697" s="474"/>
    </row>
    <row r="698" spans="1:256" s="116" customFormat="1" ht="24" hidden="1" x14ac:dyDescent="0.2">
      <c r="A698" s="112"/>
      <c r="B698" s="168" t="s">
        <v>800</v>
      </c>
      <c r="C698" s="132">
        <v>2300000</v>
      </c>
      <c r="D698" s="536">
        <v>2300000</v>
      </c>
      <c r="E698" s="122">
        <v>2300000</v>
      </c>
      <c r="F698" s="538">
        <v>933060</v>
      </c>
      <c r="G698" s="122">
        <f>9285000+480000</f>
        <v>9765000</v>
      </c>
      <c r="H698" s="539"/>
    </row>
    <row r="699" spans="1:256" hidden="1" x14ac:dyDescent="0.2">
      <c r="A699" s="112">
        <v>3792</v>
      </c>
      <c r="B699" s="165" t="s">
        <v>801</v>
      </c>
      <c r="C699" s="166">
        <v>150000</v>
      </c>
      <c r="D699" s="529">
        <v>150000</v>
      </c>
      <c r="E699" s="115">
        <v>150000</v>
      </c>
      <c r="F699" s="529">
        <v>9486</v>
      </c>
      <c r="G699" s="111">
        <v>155000</v>
      </c>
      <c r="H699" s="96"/>
    </row>
    <row r="700" spans="1:256" hidden="1" x14ac:dyDescent="0.2">
      <c r="A700" s="112">
        <v>3799</v>
      </c>
      <c r="B700" s="165" t="s">
        <v>802</v>
      </c>
      <c r="C700" s="166">
        <v>80000</v>
      </c>
      <c r="D700" s="529">
        <v>80000</v>
      </c>
      <c r="E700" s="115">
        <v>80000</v>
      </c>
      <c r="F700" s="529">
        <v>0</v>
      </c>
      <c r="G700" s="111">
        <v>0</v>
      </c>
      <c r="H700" s="96"/>
    </row>
    <row r="701" spans="1:256" hidden="1" x14ac:dyDescent="0.2">
      <c r="A701" s="523"/>
      <c r="B701" s="300"/>
      <c r="C701" s="540"/>
      <c r="D701" s="540"/>
      <c r="E701" s="309"/>
      <c r="F701" s="309"/>
      <c r="G701" s="309"/>
      <c r="H701" s="96"/>
    </row>
    <row r="702" spans="1:256" ht="20.25" hidden="1" x14ac:dyDescent="0.2">
      <c r="A702" s="541"/>
      <c r="B702" s="542" t="s">
        <v>803</v>
      </c>
      <c r="C702" s="543">
        <f>SUM(C703,C704,C734,C782,C849,C872,C874,C875,C879)</f>
        <v>272420000</v>
      </c>
      <c r="D702" s="543">
        <f>SUM(D703,D704,D734,D782,D849,D872,D874,D875,D879)</f>
        <v>198055883.74000001</v>
      </c>
      <c r="E702" s="543">
        <f>SUM(E703,E704,E734,E782,E849,E872,E874,E875,E879)</f>
        <v>186143155.44</v>
      </c>
      <c r="F702" s="544">
        <f>SUM(F703,F704,F734,F782,F849,F872,F874,F875,F879)</f>
        <v>96334031.909999996</v>
      </c>
      <c r="G702" s="543">
        <f>SUM(G703,G704,G734,G782,G849,G872,G874,G875,G879)</f>
        <v>222630000</v>
      </c>
      <c r="H702"/>
      <c r="I702"/>
      <c r="J702"/>
      <c r="K702"/>
      <c r="L702"/>
      <c r="M702"/>
      <c r="N702"/>
      <c r="O702"/>
      <c r="P702"/>
      <c r="Q702"/>
      <c r="R702"/>
      <c r="S702"/>
      <c r="T702"/>
      <c r="U702"/>
      <c r="V702"/>
      <c r="W702"/>
      <c r="X702"/>
      <c r="Y702"/>
      <c r="Z702"/>
      <c r="AA702"/>
      <c r="AB702"/>
      <c r="AC702"/>
      <c r="AD702"/>
      <c r="AE702"/>
      <c r="AF702"/>
      <c r="AG702"/>
      <c r="AH702"/>
      <c r="AI702"/>
      <c r="AJ702"/>
      <c r="AK702"/>
      <c r="AL702"/>
      <c r="AM702"/>
      <c r="AN702"/>
      <c r="AO702"/>
      <c r="AP702"/>
      <c r="AQ702"/>
      <c r="AR702"/>
      <c r="AS702"/>
      <c r="AT702"/>
      <c r="AU702"/>
      <c r="AV702"/>
      <c r="AW702"/>
      <c r="AX702"/>
      <c r="AY702"/>
      <c r="AZ702"/>
      <c r="BA702"/>
      <c r="BB702"/>
      <c r="BC702"/>
      <c r="BD702"/>
      <c r="BE702"/>
      <c r="BF702"/>
      <c r="BG702"/>
      <c r="BH702"/>
      <c r="BI702"/>
      <c r="BJ702"/>
      <c r="BK702"/>
      <c r="BL702"/>
      <c r="BM702"/>
      <c r="BN702"/>
      <c r="BO702"/>
      <c r="BP702"/>
      <c r="BQ702"/>
      <c r="BR702"/>
      <c r="BS702"/>
      <c r="BT702"/>
      <c r="BU702"/>
      <c r="BV702"/>
      <c r="BW702"/>
      <c r="BX702"/>
      <c r="BY702"/>
      <c r="BZ702"/>
      <c r="CA702"/>
      <c r="CB702"/>
      <c r="CC702"/>
      <c r="CD702"/>
      <c r="CE702"/>
      <c r="CF702"/>
      <c r="CG702"/>
      <c r="CH702"/>
      <c r="CI702"/>
      <c r="CJ702"/>
      <c r="CK702"/>
      <c r="CL702"/>
      <c r="CM702"/>
      <c r="CN702"/>
      <c r="CO702"/>
      <c r="CP702"/>
      <c r="CQ702"/>
      <c r="CR702"/>
      <c r="CS702"/>
      <c r="CT702"/>
      <c r="CU702"/>
      <c r="CV702"/>
      <c r="CW702"/>
      <c r="CX702"/>
      <c r="CY702"/>
      <c r="CZ702"/>
      <c r="DA702"/>
      <c r="DB702"/>
      <c r="DC702"/>
      <c r="DD702"/>
      <c r="DE702"/>
      <c r="DF702"/>
      <c r="DG702"/>
      <c r="DH702"/>
      <c r="DI702"/>
      <c r="DJ702"/>
      <c r="DK702"/>
      <c r="DL702"/>
      <c r="DM702"/>
      <c r="DN702"/>
      <c r="DO702"/>
      <c r="DP702"/>
      <c r="DQ702"/>
      <c r="DR702"/>
      <c r="DS702"/>
      <c r="DT702"/>
      <c r="DU702"/>
      <c r="DV702"/>
      <c r="DW702"/>
      <c r="DX702"/>
      <c r="DY702"/>
      <c r="DZ702"/>
      <c r="EA702"/>
      <c r="EB702"/>
      <c r="EC702"/>
      <c r="ED702"/>
      <c r="EE702"/>
      <c r="EF702"/>
      <c r="EG702"/>
      <c r="EH702"/>
      <c r="EI702"/>
      <c r="EJ702"/>
      <c r="EK702"/>
      <c r="EL702"/>
      <c r="EM702"/>
      <c r="EN702"/>
      <c r="EO702"/>
      <c r="EP702"/>
      <c r="EQ702"/>
      <c r="ER702"/>
      <c r="ES702"/>
      <c r="ET702"/>
      <c r="EU702"/>
      <c r="EV702"/>
      <c r="EW702"/>
      <c r="EX702"/>
      <c r="EY702"/>
      <c r="EZ702"/>
      <c r="FA702"/>
      <c r="FB702"/>
      <c r="FC702"/>
      <c r="FD702"/>
      <c r="FE702"/>
      <c r="FF702"/>
      <c r="FG702"/>
      <c r="FH702"/>
      <c r="FI702"/>
      <c r="FJ702"/>
      <c r="FK702"/>
      <c r="FL702"/>
      <c r="FM702"/>
      <c r="FN702"/>
      <c r="FO702"/>
      <c r="FP702"/>
      <c r="FQ702"/>
      <c r="FR702"/>
      <c r="FS702"/>
      <c r="FT702"/>
      <c r="FU702"/>
      <c r="FV702"/>
      <c r="FW702"/>
      <c r="FX702"/>
      <c r="FY702"/>
      <c r="FZ702"/>
      <c r="GA702"/>
      <c r="GB702"/>
      <c r="GC702"/>
      <c r="GD702"/>
      <c r="GE702"/>
      <c r="GF702"/>
      <c r="GG702"/>
      <c r="GH702"/>
      <c r="GI702"/>
      <c r="GJ702"/>
      <c r="GK702"/>
      <c r="GL702"/>
      <c r="GM702"/>
      <c r="GN702"/>
      <c r="GO702"/>
      <c r="GP702"/>
      <c r="GQ702"/>
      <c r="GR702"/>
      <c r="GS702"/>
      <c r="GT702"/>
      <c r="GU702"/>
      <c r="GV702"/>
      <c r="GW702"/>
      <c r="GX702"/>
      <c r="GY702"/>
      <c r="GZ702"/>
      <c r="HA702"/>
      <c r="HB702"/>
      <c r="HC702"/>
      <c r="HD702"/>
      <c r="HE702"/>
      <c r="HF702"/>
      <c r="HG702"/>
      <c r="HH702"/>
      <c r="HI702"/>
      <c r="HJ702"/>
      <c r="HK702"/>
      <c r="HL702"/>
      <c r="HM702"/>
      <c r="HN702"/>
      <c r="HO702"/>
      <c r="HP702"/>
      <c r="HQ702"/>
      <c r="HR702"/>
      <c r="HS702"/>
      <c r="HT702"/>
      <c r="HU702"/>
      <c r="HV702"/>
      <c r="HW702"/>
      <c r="HX702"/>
      <c r="HY702"/>
      <c r="HZ702"/>
      <c r="IA702"/>
      <c r="IB702"/>
      <c r="IC702"/>
      <c r="ID702"/>
      <c r="IE702"/>
      <c r="IF702"/>
      <c r="IG702"/>
      <c r="IH702"/>
      <c r="II702"/>
      <c r="IJ702"/>
      <c r="IK702"/>
      <c r="IL702"/>
      <c r="IM702"/>
      <c r="IN702"/>
      <c r="IO702"/>
      <c r="IP702"/>
      <c r="IQ702"/>
      <c r="IR702"/>
      <c r="IS702"/>
      <c r="IT702"/>
      <c r="IU702"/>
      <c r="IV702"/>
    </row>
    <row r="703" spans="1:256" ht="12.75" hidden="1" customHeight="1" x14ac:dyDescent="0.2">
      <c r="A703" s="545">
        <v>3122</v>
      </c>
      <c r="B703" s="546" t="s">
        <v>804</v>
      </c>
      <c r="C703" s="547">
        <v>370000</v>
      </c>
      <c r="D703" s="548">
        <v>370000</v>
      </c>
      <c r="E703" s="549">
        <v>315000</v>
      </c>
      <c r="F703" s="550">
        <v>275040</v>
      </c>
      <c r="G703" s="451">
        <v>376000</v>
      </c>
      <c r="H703"/>
      <c r="I703"/>
      <c r="J703"/>
      <c r="K703"/>
      <c r="L703"/>
      <c r="M703"/>
      <c r="N703"/>
      <c r="O703"/>
      <c r="P703"/>
      <c r="Q703"/>
      <c r="R703"/>
      <c r="S703"/>
      <c r="T703"/>
      <c r="U703"/>
      <c r="V703"/>
      <c r="W703"/>
      <c r="X703"/>
      <c r="Y703"/>
      <c r="Z703"/>
      <c r="AA703"/>
      <c r="AB703"/>
      <c r="AC703"/>
      <c r="AD703"/>
      <c r="AE703"/>
      <c r="AF703"/>
      <c r="AG703"/>
      <c r="AH703"/>
      <c r="AI703"/>
      <c r="AJ703"/>
      <c r="AK703"/>
      <c r="AL703"/>
      <c r="AM703"/>
      <c r="AN703"/>
      <c r="AO703"/>
      <c r="AP703"/>
      <c r="AQ703"/>
      <c r="AR703"/>
      <c r="AS703"/>
      <c r="AT703"/>
      <c r="AU703"/>
      <c r="AV703"/>
      <c r="AW703"/>
      <c r="AX703"/>
      <c r="AY703"/>
      <c r="AZ703"/>
      <c r="BA703"/>
      <c r="BB703"/>
      <c r="BC703"/>
      <c r="BD703"/>
      <c r="BE703"/>
      <c r="BF703"/>
      <c r="BG703"/>
      <c r="BH703"/>
      <c r="BI703"/>
      <c r="BJ703"/>
      <c r="BK703"/>
      <c r="BL703"/>
      <c r="BM703"/>
      <c r="BN703"/>
      <c r="BO703"/>
      <c r="BP703"/>
      <c r="BQ703"/>
      <c r="BR703"/>
      <c r="BS703"/>
      <c r="BT703"/>
      <c r="BU703"/>
      <c r="BV703"/>
      <c r="BW703"/>
      <c r="BX703"/>
      <c r="BY703"/>
      <c r="BZ703"/>
      <c r="CA703"/>
      <c r="CB703"/>
      <c r="CC703"/>
      <c r="CD703"/>
      <c r="CE703"/>
      <c r="CF703"/>
      <c r="CG703"/>
      <c r="CH703"/>
      <c r="CI703"/>
      <c r="CJ703"/>
      <c r="CK703"/>
      <c r="CL703"/>
      <c r="CM703"/>
      <c r="CN703"/>
      <c r="CO703"/>
      <c r="CP703"/>
      <c r="CQ703"/>
      <c r="CR703"/>
      <c r="CS703"/>
      <c r="CT703"/>
      <c r="CU703"/>
      <c r="CV703"/>
      <c r="CW703"/>
      <c r="CX703"/>
      <c r="CY703"/>
      <c r="CZ703"/>
      <c r="DA703"/>
      <c r="DB703"/>
      <c r="DC703"/>
      <c r="DD703"/>
      <c r="DE703"/>
      <c r="DF703"/>
      <c r="DG703"/>
      <c r="DH703"/>
      <c r="DI703"/>
      <c r="DJ703"/>
      <c r="DK703"/>
      <c r="DL703"/>
      <c r="DM703"/>
      <c r="DN703"/>
      <c r="DO703"/>
      <c r="DP703"/>
      <c r="DQ703"/>
      <c r="DR703"/>
      <c r="DS703"/>
      <c r="DT703"/>
      <c r="DU703"/>
      <c r="DV703"/>
      <c r="DW703"/>
      <c r="DX703"/>
      <c r="DY703"/>
      <c r="DZ703"/>
      <c r="EA703"/>
      <c r="EB703"/>
      <c r="EC703"/>
      <c r="ED703"/>
      <c r="EE703"/>
      <c r="EF703"/>
      <c r="EG703"/>
      <c r="EH703"/>
      <c r="EI703"/>
      <c r="EJ703"/>
      <c r="EK703"/>
      <c r="EL703"/>
      <c r="EM703"/>
      <c r="EN703"/>
      <c r="EO703"/>
      <c r="EP703"/>
      <c r="EQ703"/>
      <c r="ER703"/>
      <c r="ES703"/>
      <c r="ET703"/>
      <c r="EU703"/>
      <c r="EV703"/>
      <c r="EW703"/>
      <c r="EX703"/>
      <c r="EY703"/>
      <c r="EZ703"/>
      <c r="FA703"/>
      <c r="FB703"/>
      <c r="FC703"/>
      <c r="FD703"/>
      <c r="FE703"/>
      <c r="FF703"/>
      <c r="FG703"/>
      <c r="FH703"/>
      <c r="FI703"/>
      <c r="FJ703"/>
      <c r="FK703"/>
      <c r="FL703"/>
      <c r="FM703"/>
      <c r="FN703"/>
      <c r="FO703"/>
      <c r="FP703"/>
      <c r="FQ703"/>
      <c r="FR703"/>
      <c r="FS703"/>
      <c r="FT703"/>
      <c r="FU703"/>
      <c r="FV703"/>
      <c r="FW703"/>
      <c r="FX703"/>
      <c r="FY703"/>
      <c r="FZ703"/>
      <c r="GA703"/>
      <c r="GB703"/>
      <c r="GC703"/>
      <c r="GD703"/>
      <c r="GE703"/>
      <c r="GF703"/>
      <c r="GG703"/>
      <c r="GH703"/>
      <c r="GI703"/>
      <c r="GJ703"/>
      <c r="GK703"/>
      <c r="GL703"/>
      <c r="GM703"/>
      <c r="GN703"/>
      <c r="GO703"/>
      <c r="GP703"/>
      <c r="GQ703"/>
      <c r="GR703"/>
      <c r="GS703"/>
      <c r="GT703"/>
      <c r="GU703"/>
      <c r="GV703"/>
      <c r="GW703"/>
      <c r="GX703"/>
      <c r="GY703"/>
      <c r="GZ703"/>
      <c r="HA703"/>
      <c r="HB703"/>
      <c r="HC703"/>
      <c r="HD703"/>
      <c r="HE703"/>
      <c r="HF703"/>
      <c r="HG703"/>
      <c r="HH703"/>
      <c r="HI703"/>
      <c r="HJ703"/>
      <c r="HK703"/>
      <c r="HL703"/>
      <c r="HM703"/>
      <c r="HN703"/>
      <c r="HO703"/>
      <c r="HP703"/>
      <c r="HQ703"/>
      <c r="HR703"/>
      <c r="HS703"/>
      <c r="HT703"/>
      <c r="HU703"/>
      <c r="HV703"/>
      <c r="HW703"/>
      <c r="HX703"/>
      <c r="HY703"/>
      <c r="HZ703"/>
      <c r="IA703"/>
      <c r="IB703"/>
      <c r="IC703"/>
      <c r="ID703"/>
      <c r="IE703"/>
      <c r="IF703"/>
      <c r="IG703"/>
      <c r="IH703"/>
      <c r="II703"/>
      <c r="IJ703"/>
      <c r="IK703"/>
      <c r="IL703"/>
      <c r="IM703"/>
      <c r="IN703"/>
      <c r="IO703"/>
      <c r="IP703"/>
      <c r="IQ703"/>
      <c r="IR703"/>
      <c r="IS703"/>
      <c r="IT703"/>
      <c r="IU703"/>
      <c r="IV703"/>
    </row>
    <row r="704" spans="1:256" ht="12.75" hidden="1" customHeight="1" x14ac:dyDescent="0.2">
      <c r="A704" s="551">
        <v>3412</v>
      </c>
      <c r="B704" s="552" t="s">
        <v>805</v>
      </c>
      <c r="C704" s="553">
        <f>C705+C722</f>
        <v>85713000</v>
      </c>
      <c r="D704" s="553">
        <f>D705+D722</f>
        <v>93169650.74000001</v>
      </c>
      <c r="E704" s="553">
        <f>E705+E722</f>
        <v>92258958.379999995</v>
      </c>
      <c r="F704" s="554">
        <f>F705+F722</f>
        <v>50865083.780000001</v>
      </c>
      <c r="G704" s="555">
        <f>G705+G722</f>
        <v>38471000</v>
      </c>
      <c r="H704"/>
      <c r="I704"/>
      <c r="J704"/>
      <c r="K704"/>
      <c r="L704"/>
      <c r="M704"/>
      <c r="N704"/>
      <c r="O704"/>
      <c r="P704"/>
      <c r="Q704"/>
      <c r="R704"/>
      <c r="S704"/>
      <c r="T704"/>
      <c r="U704"/>
      <c r="V704"/>
      <c r="W704"/>
      <c r="X704"/>
      <c r="Y704"/>
      <c r="Z704"/>
      <c r="AA704"/>
      <c r="AB704"/>
      <c r="AC704"/>
      <c r="AD704"/>
      <c r="AE704"/>
      <c r="AF704"/>
      <c r="AG704"/>
      <c r="AH704"/>
      <c r="AI704"/>
      <c r="AJ704"/>
      <c r="AK704"/>
      <c r="AL704"/>
      <c r="AM704"/>
      <c r="AN704"/>
      <c r="AO704"/>
      <c r="AP704"/>
      <c r="AQ704"/>
      <c r="AR704"/>
      <c r="AS704"/>
      <c r="AT704"/>
      <c r="AU704"/>
      <c r="AV704"/>
      <c r="AW704"/>
      <c r="AX704"/>
      <c r="AY704"/>
      <c r="AZ704"/>
      <c r="BA704"/>
      <c r="BB704"/>
      <c r="BC704"/>
      <c r="BD704"/>
      <c r="BE704"/>
      <c r="BF704"/>
      <c r="BG704"/>
      <c r="BH704"/>
      <c r="BI704"/>
      <c r="BJ704"/>
      <c r="BK704"/>
      <c r="BL704"/>
      <c r="BM704"/>
      <c r="BN704"/>
      <c r="BO704"/>
      <c r="BP704"/>
      <c r="BQ704"/>
      <c r="BR704"/>
      <c r="BS704"/>
      <c r="BT704"/>
      <c r="BU704"/>
      <c r="BV704"/>
      <c r="BW704"/>
      <c r="BX704"/>
      <c r="BY704"/>
      <c r="BZ704"/>
      <c r="CA704"/>
      <c r="CB704"/>
      <c r="CC704"/>
      <c r="CD704"/>
      <c r="CE704"/>
      <c r="CF704"/>
      <c r="CG704"/>
      <c r="CH704"/>
      <c r="CI704"/>
      <c r="CJ704"/>
      <c r="CK704"/>
      <c r="CL704"/>
      <c r="CM704"/>
      <c r="CN704"/>
      <c r="CO704"/>
      <c r="CP704"/>
      <c r="CQ704"/>
      <c r="CR704"/>
      <c r="CS704"/>
      <c r="CT704"/>
      <c r="CU704"/>
      <c r="CV704"/>
      <c r="CW704"/>
      <c r="CX704"/>
      <c r="CY704"/>
      <c r="CZ704"/>
      <c r="DA704"/>
      <c r="DB704"/>
      <c r="DC704"/>
      <c r="DD704"/>
      <c r="DE704"/>
      <c r="DF704"/>
      <c r="DG704"/>
      <c r="DH704"/>
      <c r="DI704"/>
      <c r="DJ704"/>
      <c r="DK704"/>
      <c r="DL704"/>
      <c r="DM704"/>
      <c r="DN704"/>
      <c r="DO704"/>
      <c r="DP704"/>
      <c r="DQ704"/>
      <c r="DR704"/>
      <c r="DS704"/>
      <c r="DT704"/>
      <c r="DU704"/>
      <c r="DV704"/>
      <c r="DW704"/>
      <c r="DX704"/>
      <c r="DY704"/>
      <c r="DZ704"/>
      <c r="EA704"/>
      <c r="EB704"/>
      <c r="EC704"/>
      <c r="ED704"/>
      <c r="EE704"/>
      <c r="EF704"/>
      <c r="EG704"/>
      <c r="EH704"/>
      <c r="EI704"/>
      <c r="EJ704"/>
      <c r="EK704"/>
      <c r="EL704"/>
      <c r="EM704"/>
      <c r="EN704"/>
      <c r="EO704"/>
      <c r="EP704"/>
      <c r="EQ704"/>
      <c r="ER704"/>
      <c r="ES704"/>
      <c r="ET704"/>
      <c r="EU704"/>
      <c r="EV704"/>
      <c r="EW704"/>
      <c r="EX704"/>
      <c r="EY704"/>
      <c r="EZ704"/>
      <c r="FA704"/>
      <c r="FB704"/>
      <c r="FC704"/>
      <c r="FD704"/>
      <c r="FE704"/>
      <c r="FF704"/>
      <c r="FG704"/>
      <c r="FH704"/>
      <c r="FI704"/>
      <c r="FJ704"/>
      <c r="FK704"/>
      <c r="FL704"/>
      <c r="FM704"/>
      <c r="FN704"/>
      <c r="FO704"/>
      <c r="FP704"/>
      <c r="FQ704"/>
      <c r="FR704"/>
      <c r="FS704"/>
      <c r="FT704"/>
      <c r="FU704"/>
      <c r="FV704"/>
      <c r="FW704"/>
      <c r="FX704"/>
      <c r="FY704"/>
      <c r="FZ704"/>
      <c r="GA704"/>
      <c r="GB704"/>
      <c r="GC704"/>
      <c r="GD704"/>
      <c r="GE704"/>
      <c r="GF704"/>
      <c r="GG704"/>
      <c r="GH704"/>
      <c r="GI704"/>
      <c r="GJ704"/>
      <c r="GK704"/>
      <c r="GL704"/>
      <c r="GM704"/>
      <c r="GN704"/>
      <c r="GO704"/>
      <c r="GP704"/>
      <c r="GQ704"/>
      <c r="GR704"/>
      <c r="GS704"/>
      <c r="GT704"/>
      <c r="GU704"/>
      <c r="GV704"/>
      <c r="GW704"/>
      <c r="GX704"/>
      <c r="GY704"/>
      <c r="GZ704"/>
      <c r="HA704"/>
      <c r="HB704"/>
      <c r="HC704"/>
      <c r="HD704"/>
      <c r="HE704"/>
      <c r="HF704"/>
      <c r="HG704"/>
      <c r="HH704"/>
      <c r="HI704"/>
      <c r="HJ704"/>
      <c r="HK704"/>
      <c r="HL704"/>
      <c r="HM704"/>
      <c r="HN704"/>
      <c r="HO704"/>
      <c r="HP704"/>
      <c r="HQ704"/>
      <c r="HR704"/>
      <c r="HS704"/>
      <c r="HT704"/>
      <c r="HU704"/>
      <c r="HV704"/>
      <c r="HW704"/>
      <c r="HX704"/>
      <c r="HY704"/>
      <c r="HZ704"/>
      <c r="IA704"/>
      <c r="IB704"/>
      <c r="IC704"/>
      <c r="ID704"/>
      <c r="IE704"/>
      <c r="IF704"/>
      <c r="IG704"/>
      <c r="IH704"/>
      <c r="II704"/>
      <c r="IJ704"/>
      <c r="IK704"/>
      <c r="IL704"/>
      <c r="IM704"/>
      <c r="IN704"/>
      <c r="IO704"/>
      <c r="IP704"/>
      <c r="IQ704"/>
      <c r="IR704"/>
      <c r="IS704"/>
      <c r="IT704"/>
      <c r="IU704"/>
      <c r="IV704"/>
    </row>
    <row r="705" spans="1:256" ht="12.75" hidden="1" customHeight="1" x14ac:dyDescent="0.2">
      <c r="A705" s="551"/>
      <c r="B705" s="556" t="s">
        <v>806</v>
      </c>
      <c r="C705" s="553">
        <f>C706+C711+C718</f>
        <v>23763000</v>
      </c>
      <c r="D705" s="553">
        <f>D706+D711+D718</f>
        <v>28219650.740000002</v>
      </c>
      <c r="E705" s="553">
        <f>E706+E711+E718</f>
        <v>26508958.380000003</v>
      </c>
      <c r="F705" s="554">
        <f>F706+F711+F718</f>
        <v>19875050.77</v>
      </c>
      <c r="G705" s="555">
        <f>G706+G711+G718</f>
        <v>25637000</v>
      </c>
      <c r="H705"/>
      <c r="I705"/>
      <c r="J705"/>
      <c r="K705"/>
      <c r="L705"/>
      <c r="M705"/>
      <c r="N705"/>
      <c r="O705"/>
      <c r="P705"/>
      <c r="Q705"/>
      <c r="R705"/>
      <c r="S705"/>
      <c r="T705"/>
      <c r="U705"/>
      <c r="V705"/>
      <c r="W705"/>
      <c r="X705"/>
      <c r="Y705"/>
      <c r="Z705"/>
      <c r="AA705"/>
      <c r="AB705"/>
      <c r="AC705"/>
      <c r="AD705"/>
      <c r="AE705"/>
      <c r="AF705"/>
      <c r="AG705"/>
      <c r="AH705"/>
      <c r="AI705"/>
      <c r="AJ705"/>
      <c r="AK705"/>
      <c r="AL705"/>
      <c r="AM705"/>
      <c r="AN705"/>
      <c r="AO705"/>
      <c r="AP705"/>
      <c r="AQ705"/>
      <c r="AR705"/>
      <c r="AS705"/>
      <c r="AT705"/>
      <c r="AU705"/>
      <c r="AV705"/>
      <c r="AW705"/>
      <c r="AX705"/>
      <c r="AY705"/>
      <c r="AZ705"/>
      <c r="BA705"/>
      <c r="BB705"/>
      <c r="BC705"/>
      <c r="BD705"/>
      <c r="BE705"/>
      <c r="BF705"/>
      <c r="BG705"/>
      <c r="BH705"/>
      <c r="BI705"/>
      <c r="BJ705"/>
      <c r="BK705"/>
      <c r="BL705"/>
      <c r="BM705"/>
      <c r="BN705"/>
      <c r="BO705"/>
      <c r="BP705"/>
      <c r="BQ705"/>
      <c r="BR705"/>
      <c r="BS705"/>
      <c r="BT705"/>
      <c r="BU705"/>
      <c r="BV705"/>
      <c r="BW705"/>
      <c r="BX705"/>
      <c r="BY705"/>
      <c r="BZ705"/>
      <c r="CA705"/>
      <c r="CB705"/>
      <c r="CC705"/>
      <c r="CD705"/>
      <c r="CE705"/>
      <c r="CF705"/>
      <c r="CG705"/>
      <c r="CH705"/>
      <c r="CI705"/>
      <c r="CJ705"/>
      <c r="CK705"/>
      <c r="CL705"/>
      <c r="CM705"/>
      <c r="CN705"/>
      <c r="CO705"/>
      <c r="CP705"/>
      <c r="CQ705"/>
      <c r="CR705"/>
      <c r="CS705"/>
      <c r="CT705"/>
      <c r="CU705"/>
      <c r="CV705"/>
      <c r="CW705"/>
      <c r="CX705"/>
      <c r="CY705"/>
      <c r="CZ705"/>
      <c r="DA705"/>
      <c r="DB705"/>
      <c r="DC705"/>
      <c r="DD705"/>
      <c r="DE705"/>
      <c r="DF705"/>
      <c r="DG705"/>
      <c r="DH705"/>
      <c r="DI705"/>
      <c r="DJ705"/>
      <c r="DK705"/>
      <c r="DL705"/>
      <c r="DM705"/>
      <c r="DN705"/>
      <c r="DO705"/>
      <c r="DP705"/>
      <c r="DQ705"/>
      <c r="DR705"/>
      <c r="DS705"/>
      <c r="DT705"/>
      <c r="DU705"/>
      <c r="DV705"/>
      <c r="DW705"/>
      <c r="DX705"/>
      <c r="DY705"/>
      <c r="DZ705"/>
      <c r="EA705"/>
      <c r="EB705"/>
      <c r="EC705"/>
      <c r="ED705"/>
      <c r="EE705"/>
      <c r="EF705"/>
      <c r="EG705"/>
      <c r="EH705"/>
      <c r="EI705"/>
      <c r="EJ705"/>
      <c r="EK705"/>
      <c r="EL705"/>
      <c r="EM705"/>
      <c r="EN705"/>
      <c r="EO705"/>
      <c r="EP705"/>
      <c r="EQ705"/>
      <c r="ER705"/>
      <c r="ES705"/>
      <c r="ET705"/>
      <c r="EU705"/>
      <c r="EV705"/>
      <c r="EW705"/>
      <c r="EX705"/>
      <c r="EY705"/>
      <c r="EZ705"/>
      <c r="FA705"/>
      <c r="FB705"/>
      <c r="FC705"/>
      <c r="FD705"/>
      <c r="FE705"/>
      <c r="FF705"/>
      <c r="FG705"/>
      <c r="FH705"/>
      <c r="FI705"/>
      <c r="FJ705"/>
      <c r="FK705"/>
      <c r="FL705"/>
      <c r="FM705"/>
      <c r="FN705"/>
      <c r="FO705"/>
      <c r="FP705"/>
      <c r="FQ705"/>
      <c r="FR705"/>
      <c r="FS705"/>
      <c r="FT705"/>
      <c r="FU705"/>
      <c r="FV705"/>
      <c r="FW705"/>
      <c r="FX705"/>
      <c r="FY705"/>
      <c r="FZ705"/>
      <c r="GA705"/>
      <c r="GB705"/>
      <c r="GC705"/>
      <c r="GD705"/>
      <c r="GE705"/>
      <c r="GF705"/>
      <c r="GG705"/>
      <c r="GH705"/>
      <c r="GI705"/>
      <c r="GJ705"/>
      <c r="GK705"/>
      <c r="GL705"/>
      <c r="GM705"/>
      <c r="GN705"/>
      <c r="GO705"/>
      <c r="GP705"/>
      <c r="GQ705"/>
      <c r="GR705"/>
      <c r="GS705"/>
      <c r="GT705"/>
      <c r="GU705"/>
      <c r="GV705"/>
      <c r="GW705"/>
      <c r="GX705"/>
      <c r="GY705"/>
      <c r="GZ705"/>
      <c r="HA705"/>
      <c r="HB705"/>
      <c r="HC705"/>
      <c r="HD705"/>
      <c r="HE705"/>
      <c r="HF705"/>
      <c r="HG705"/>
      <c r="HH705"/>
      <c r="HI705"/>
      <c r="HJ705"/>
      <c r="HK705"/>
      <c r="HL705"/>
      <c r="HM705"/>
      <c r="HN705"/>
      <c r="HO705"/>
      <c r="HP705"/>
      <c r="HQ705"/>
      <c r="HR705"/>
      <c r="HS705"/>
      <c r="HT705"/>
      <c r="HU705"/>
      <c r="HV705"/>
      <c r="HW705"/>
      <c r="HX705"/>
      <c r="HY705"/>
      <c r="HZ705"/>
      <c r="IA705"/>
      <c r="IB705"/>
      <c r="IC705"/>
      <c r="ID705"/>
      <c r="IE705"/>
      <c r="IF705"/>
      <c r="IG705"/>
      <c r="IH705"/>
      <c r="II705"/>
      <c r="IJ705"/>
      <c r="IK705"/>
      <c r="IL705"/>
      <c r="IM705"/>
      <c r="IN705"/>
      <c r="IO705"/>
      <c r="IP705"/>
      <c r="IQ705"/>
      <c r="IR705"/>
      <c r="IS705"/>
      <c r="IT705"/>
      <c r="IU705"/>
      <c r="IV705"/>
    </row>
    <row r="706" spans="1:256" ht="12.75" hidden="1" customHeight="1" x14ac:dyDescent="0.2">
      <c r="A706" s="551"/>
      <c r="B706" s="557" t="s">
        <v>807</v>
      </c>
      <c r="C706" s="558">
        <f>SUM(C707:C708)</f>
        <v>2600000</v>
      </c>
      <c r="D706" s="558">
        <f>SUM(D707:D708)</f>
        <v>3700000</v>
      </c>
      <c r="E706" s="558">
        <f>SUM(E707:E708)</f>
        <v>3489307.64</v>
      </c>
      <c r="F706" s="559">
        <f>SUM(F707:F708)</f>
        <v>2282709.0299999998</v>
      </c>
      <c r="G706" s="560">
        <f>SUM(G707:G710)</f>
        <v>1600000</v>
      </c>
      <c r="H706"/>
      <c r="I706"/>
      <c r="J706"/>
      <c r="K706"/>
      <c r="L706"/>
      <c r="M706"/>
      <c r="N706"/>
      <c r="O706"/>
      <c r="P706"/>
      <c r="Q706"/>
      <c r="R706"/>
      <c r="S706"/>
      <c r="T706"/>
      <c r="U706"/>
      <c r="V706"/>
      <c r="W706"/>
      <c r="X706"/>
      <c r="Y706"/>
      <c r="Z706"/>
      <c r="AA706"/>
      <c r="AB706"/>
      <c r="AC706"/>
      <c r="AD706"/>
      <c r="AE706"/>
      <c r="AF706"/>
      <c r="AG706"/>
      <c r="AH706"/>
      <c r="AI706"/>
      <c r="AJ706"/>
      <c r="AK706"/>
      <c r="AL706"/>
      <c r="AM706"/>
      <c r="AN706"/>
      <c r="AO706"/>
      <c r="AP706"/>
      <c r="AQ706"/>
      <c r="AR706"/>
      <c r="AS706"/>
      <c r="AT706"/>
      <c r="AU706"/>
      <c r="AV706"/>
      <c r="AW706"/>
      <c r="AX706"/>
      <c r="AY706"/>
      <c r="AZ706"/>
      <c r="BA706"/>
      <c r="BB706"/>
      <c r="BC706"/>
      <c r="BD706"/>
      <c r="BE706"/>
      <c r="BF706"/>
      <c r="BG706"/>
      <c r="BH706"/>
      <c r="BI706"/>
      <c r="BJ706"/>
      <c r="BK706"/>
      <c r="BL706"/>
      <c r="BM706"/>
      <c r="BN706"/>
      <c r="BO706"/>
      <c r="BP706"/>
      <c r="BQ706"/>
      <c r="BR706"/>
      <c r="BS706"/>
      <c r="BT706"/>
      <c r="BU706"/>
      <c r="BV706"/>
      <c r="BW706"/>
      <c r="BX706"/>
      <c r="BY706"/>
      <c r="BZ706"/>
      <c r="CA706"/>
      <c r="CB706"/>
      <c r="CC706"/>
      <c r="CD706"/>
      <c r="CE706"/>
      <c r="CF706"/>
      <c r="CG706"/>
      <c r="CH706"/>
      <c r="CI706"/>
      <c r="CJ706"/>
      <c r="CK706"/>
      <c r="CL706"/>
      <c r="CM706"/>
      <c r="CN706"/>
      <c r="CO706"/>
      <c r="CP706"/>
      <c r="CQ706"/>
      <c r="CR706"/>
      <c r="CS706"/>
      <c r="CT706"/>
      <c r="CU706"/>
      <c r="CV706"/>
      <c r="CW706"/>
      <c r="CX706"/>
      <c r="CY706"/>
      <c r="CZ706"/>
      <c r="DA706"/>
      <c r="DB706"/>
      <c r="DC706"/>
      <c r="DD706"/>
      <c r="DE706"/>
      <c r="DF706"/>
      <c r="DG706"/>
      <c r="DH706"/>
      <c r="DI706"/>
      <c r="DJ706"/>
      <c r="DK706"/>
      <c r="DL706"/>
      <c r="DM706"/>
      <c r="DN706"/>
      <c r="DO706"/>
      <c r="DP706"/>
      <c r="DQ706"/>
      <c r="DR706"/>
      <c r="DS706"/>
      <c r="DT706"/>
      <c r="DU706"/>
      <c r="DV706"/>
      <c r="DW706"/>
      <c r="DX706"/>
      <c r="DY706"/>
      <c r="DZ706"/>
      <c r="EA706"/>
      <c r="EB706"/>
      <c r="EC706"/>
      <c r="ED706"/>
      <c r="EE706"/>
      <c r="EF706"/>
      <c r="EG706"/>
      <c r="EH706"/>
      <c r="EI706"/>
      <c r="EJ706"/>
      <c r="EK706"/>
      <c r="EL706"/>
      <c r="EM706"/>
      <c r="EN706"/>
      <c r="EO706"/>
      <c r="EP706"/>
      <c r="EQ706"/>
      <c r="ER706"/>
      <c r="ES706"/>
      <c r="ET706"/>
      <c r="EU706"/>
      <c r="EV706"/>
      <c r="EW706"/>
      <c r="EX706"/>
      <c r="EY706"/>
      <c r="EZ706"/>
      <c r="FA706"/>
      <c r="FB706"/>
      <c r="FC706"/>
      <c r="FD706"/>
      <c r="FE706"/>
      <c r="FF706"/>
      <c r="FG706"/>
      <c r="FH706"/>
      <c r="FI706"/>
      <c r="FJ706"/>
      <c r="FK706"/>
      <c r="FL706"/>
      <c r="FM706"/>
      <c r="FN706"/>
      <c r="FO706"/>
      <c r="FP706"/>
      <c r="FQ706"/>
      <c r="FR706"/>
      <c r="FS706"/>
      <c r="FT706"/>
      <c r="FU706"/>
      <c r="FV706"/>
      <c r="FW706"/>
      <c r="FX706"/>
      <c r="FY706"/>
      <c r="FZ706"/>
      <c r="GA706"/>
      <c r="GB706"/>
      <c r="GC706"/>
      <c r="GD706"/>
      <c r="GE706"/>
      <c r="GF706"/>
      <c r="GG706"/>
      <c r="GH706"/>
      <c r="GI706"/>
      <c r="GJ706"/>
      <c r="GK706"/>
      <c r="GL706"/>
      <c r="GM706"/>
      <c r="GN706"/>
      <c r="GO706"/>
      <c r="GP706"/>
      <c r="GQ706"/>
      <c r="GR706"/>
      <c r="GS706"/>
      <c r="GT706"/>
      <c r="GU706"/>
      <c r="GV706"/>
      <c r="GW706"/>
      <c r="GX706"/>
      <c r="GY706"/>
      <c r="GZ706"/>
      <c r="HA706"/>
      <c r="HB706"/>
      <c r="HC706"/>
      <c r="HD706"/>
      <c r="HE706"/>
      <c r="HF706"/>
      <c r="HG706"/>
      <c r="HH706"/>
      <c r="HI706"/>
      <c r="HJ706"/>
      <c r="HK706"/>
      <c r="HL706"/>
      <c r="HM706"/>
      <c r="HN706"/>
      <c r="HO706"/>
      <c r="HP706"/>
      <c r="HQ706"/>
      <c r="HR706"/>
      <c r="HS706"/>
      <c r="HT706"/>
      <c r="HU706"/>
      <c r="HV706"/>
      <c r="HW706"/>
      <c r="HX706"/>
      <c r="HY706"/>
      <c r="HZ706"/>
      <c r="IA706"/>
      <c r="IB706"/>
      <c r="IC706"/>
      <c r="ID706"/>
      <c r="IE706"/>
      <c r="IF706"/>
      <c r="IG706"/>
      <c r="IH706"/>
      <c r="II706"/>
      <c r="IJ706"/>
      <c r="IK706"/>
      <c r="IL706"/>
      <c r="IM706"/>
      <c r="IN706"/>
      <c r="IO706"/>
      <c r="IP706"/>
      <c r="IQ706"/>
      <c r="IR706"/>
      <c r="IS706"/>
      <c r="IT706"/>
      <c r="IU706"/>
      <c r="IV706"/>
    </row>
    <row r="707" spans="1:256" ht="12.75" hidden="1" customHeight="1" x14ac:dyDescent="0.2">
      <c r="A707" s="551"/>
      <c r="B707" s="561" t="s">
        <v>808</v>
      </c>
      <c r="C707" s="558">
        <v>600000</v>
      </c>
      <c r="D707" s="562">
        <f>600000-600000</f>
        <v>0</v>
      </c>
      <c r="E707" s="562">
        <f>600000-600000</f>
        <v>0</v>
      </c>
      <c r="F707" s="563">
        <v>0</v>
      </c>
      <c r="G707" s="127">
        <v>0</v>
      </c>
      <c r="H707"/>
      <c r="I707"/>
      <c r="J707"/>
      <c r="K707"/>
      <c r="L707"/>
      <c r="M707"/>
      <c r="N707"/>
      <c r="O707"/>
      <c r="P707"/>
      <c r="Q707"/>
      <c r="R707"/>
      <c r="S707"/>
      <c r="T707"/>
      <c r="U707"/>
      <c r="V707"/>
      <c r="W707"/>
      <c r="X707"/>
      <c r="Y707"/>
      <c r="Z707"/>
      <c r="AA707"/>
      <c r="AB707"/>
      <c r="AC707"/>
      <c r="AD707"/>
      <c r="AE707"/>
      <c r="AF707"/>
      <c r="AG707"/>
      <c r="AH707"/>
      <c r="AI707"/>
      <c r="AJ707"/>
      <c r="AK707"/>
      <c r="AL707"/>
      <c r="AM707"/>
      <c r="AN707"/>
      <c r="AO707"/>
      <c r="AP707"/>
      <c r="AQ707"/>
      <c r="AR707"/>
      <c r="AS707"/>
      <c r="AT707"/>
      <c r="AU707"/>
      <c r="AV707"/>
      <c r="AW707"/>
      <c r="AX707"/>
      <c r="AY707"/>
      <c r="AZ707"/>
      <c r="BA707"/>
      <c r="BB707"/>
      <c r="BC707"/>
      <c r="BD707"/>
      <c r="BE707"/>
      <c r="BF707"/>
      <c r="BG707"/>
      <c r="BH707"/>
      <c r="BI707"/>
      <c r="BJ707"/>
      <c r="BK707"/>
      <c r="BL707"/>
      <c r="BM707"/>
      <c r="BN707"/>
      <c r="BO707"/>
      <c r="BP707"/>
      <c r="BQ707"/>
      <c r="BR707"/>
      <c r="BS707"/>
      <c r="BT707"/>
      <c r="BU707"/>
      <c r="BV707"/>
      <c r="BW707"/>
      <c r="BX707"/>
      <c r="BY707"/>
      <c r="BZ707"/>
      <c r="CA707"/>
      <c r="CB707"/>
      <c r="CC707"/>
      <c r="CD707"/>
      <c r="CE707"/>
      <c r="CF707"/>
      <c r="CG707"/>
      <c r="CH707"/>
      <c r="CI707"/>
      <c r="CJ707"/>
      <c r="CK707"/>
      <c r="CL707"/>
      <c r="CM707"/>
      <c r="CN707"/>
      <c r="CO707"/>
      <c r="CP707"/>
      <c r="CQ707"/>
      <c r="CR707"/>
      <c r="CS707"/>
      <c r="CT707"/>
      <c r="CU707"/>
      <c r="CV707"/>
      <c r="CW707"/>
      <c r="CX707"/>
      <c r="CY707"/>
      <c r="CZ707"/>
      <c r="DA707"/>
      <c r="DB707"/>
      <c r="DC707"/>
      <c r="DD707"/>
      <c r="DE707"/>
      <c r="DF707"/>
      <c r="DG707"/>
      <c r="DH707"/>
      <c r="DI707"/>
      <c r="DJ707"/>
      <c r="DK707"/>
      <c r="DL707"/>
      <c r="DM707"/>
      <c r="DN707"/>
      <c r="DO707"/>
      <c r="DP707"/>
      <c r="DQ707"/>
      <c r="DR707"/>
      <c r="DS707"/>
      <c r="DT707"/>
      <c r="DU707"/>
      <c r="DV707"/>
      <c r="DW707"/>
      <c r="DX707"/>
      <c r="DY707"/>
      <c r="DZ707"/>
      <c r="EA707"/>
      <c r="EB707"/>
      <c r="EC707"/>
      <c r="ED707"/>
      <c r="EE707"/>
      <c r="EF707"/>
      <c r="EG707"/>
      <c r="EH707"/>
      <c r="EI707"/>
      <c r="EJ707"/>
      <c r="EK707"/>
      <c r="EL707"/>
      <c r="EM707"/>
      <c r="EN707"/>
      <c r="EO707"/>
      <c r="EP707"/>
      <c r="EQ707"/>
      <c r="ER707"/>
      <c r="ES707"/>
      <c r="ET707"/>
      <c r="EU707"/>
      <c r="EV707"/>
      <c r="EW707"/>
      <c r="EX707"/>
      <c r="EY707"/>
      <c r="EZ707"/>
      <c r="FA707"/>
      <c r="FB707"/>
      <c r="FC707"/>
      <c r="FD707"/>
      <c r="FE707"/>
      <c r="FF707"/>
      <c r="FG707"/>
      <c r="FH707"/>
      <c r="FI707"/>
      <c r="FJ707"/>
      <c r="FK707"/>
      <c r="FL707"/>
      <c r="FM707"/>
      <c r="FN707"/>
      <c r="FO707"/>
      <c r="FP707"/>
      <c r="FQ707"/>
      <c r="FR707"/>
      <c r="FS707"/>
      <c r="FT707"/>
      <c r="FU707"/>
      <c r="FV707"/>
      <c r="FW707"/>
      <c r="FX707"/>
      <c r="FY707"/>
      <c r="FZ707"/>
      <c r="GA707"/>
      <c r="GB707"/>
      <c r="GC707"/>
      <c r="GD707"/>
      <c r="GE707"/>
      <c r="GF707"/>
      <c r="GG707"/>
      <c r="GH707"/>
      <c r="GI707"/>
      <c r="GJ707"/>
      <c r="GK707"/>
      <c r="GL707"/>
      <c r="GM707"/>
      <c r="GN707"/>
      <c r="GO707"/>
      <c r="GP707"/>
      <c r="GQ707"/>
      <c r="GR707"/>
      <c r="GS707"/>
      <c r="GT707"/>
      <c r="GU707"/>
      <c r="GV707"/>
      <c r="GW707"/>
      <c r="GX707"/>
      <c r="GY707"/>
      <c r="GZ707"/>
      <c r="HA707"/>
      <c r="HB707"/>
      <c r="HC707"/>
      <c r="HD707"/>
      <c r="HE707"/>
      <c r="HF707"/>
      <c r="HG707"/>
      <c r="HH707"/>
      <c r="HI707"/>
      <c r="HJ707"/>
      <c r="HK707"/>
      <c r="HL707"/>
      <c r="HM707"/>
      <c r="HN707"/>
      <c r="HO707"/>
      <c r="HP707"/>
      <c r="HQ707"/>
      <c r="HR707"/>
      <c r="HS707"/>
      <c r="HT707"/>
      <c r="HU707"/>
      <c r="HV707"/>
      <c r="HW707"/>
      <c r="HX707"/>
      <c r="HY707"/>
      <c r="HZ707"/>
      <c r="IA707"/>
      <c r="IB707"/>
      <c r="IC707"/>
      <c r="ID707"/>
      <c r="IE707"/>
      <c r="IF707"/>
      <c r="IG707"/>
      <c r="IH707"/>
      <c r="II707"/>
      <c r="IJ707"/>
      <c r="IK707"/>
      <c r="IL707"/>
      <c r="IM707"/>
      <c r="IN707"/>
      <c r="IO707"/>
      <c r="IP707"/>
      <c r="IQ707"/>
      <c r="IR707"/>
      <c r="IS707"/>
      <c r="IT707"/>
      <c r="IU707"/>
      <c r="IV707"/>
    </row>
    <row r="708" spans="1:256" ht="12.75" hidden="1" customHeight="1" x14ac:dyDescent="0.2">
      <c r="A708" s="551"/>
      <c r="B708" s="561" t="s">
        <v>809</v>
      </c>
      <c r="C708" s="558">
        <v>2000000</v>
      </c>
      <c r="D708" s="562">
        <f>2000000+1700000</f>
        <v>3700000</v>
      </c>
      <c r="E708" s="564">
        <v>3489307.64</v>
      </c>
      <c r="F708" s="563">
        <v>2282709.0299999998</v>
      </c>
      <c r="G708" s="127">
        <v>0</v>
      </c>
      <c r="H708"/>
      <c r="I708"/>
      <c r="J708"/>
      <c r="K708"/>
      <c r="L708"/>
      <c r="M708"/>
      <c r="N708"/>
      <c r="O708"/>
      <c r="P708"/>
      <c r="Q708"/>
      <c r="R708"/>
      <c r="S708"/>
      <c r="T708"/>
      <c r="U708"/>
      <c r="V708"/>
      <c r="W708"/>
      <c r="X708"/>
      <c r="Y708"/>
      <c r="Z708"/>
      <c r="AA708"/>
      <c r="AB708"/>
      <c r="AC708"/>
      <c r="AD708"/>
      <c r="AE708"/>
      <c r="AF708"/>
      <c r="AG708"/>
      <c r="AH708"/>
      <c r="AI708"/>
      <c r="AJ708"/>
      <c r="AK708"/>
      <c r="AL708"/>
      <c r="AM708"/>
      <c r="AN708"/>
      <c r="AO708"/>
      <c r="AP708"/>
      <c r="AQ708"/>
      <c r="AR708"/>
      <c r="AS708"/>
      <c r="AT708"/>
      <c r="AU708"/>
      <c r="AV708"/>
      <c r="AW708"/>
      <c r="AX708"/>
      <c r="AY708"/>
      <c r="AZ708"/>
      <c r="BA708"/>
      <c r="BB708"/>
      <c r="BC708"/>
      <c r="BD708"/>
      <c r="BE708"/>
      <c r="BF708"/>
      <c r="BG708"/>
      <c r="BH708"/>
      <c r="BI708"/>
      <c r="BJ708"/>
      <c r="BK708"/>
      <c r="BL708"/>
      <c r="BM708"/>
      <c r="BN708"/>
      <c r="BO708"/>
      <c r="BP708"/>
      <c r="BQ708"/>
      <c r="BR708"/>
      <c r="BS708"/>
      <c r="BT708"/>
      <c r="BU708"/>
      <c r="BV708"/>
      <c r="BW708"/>
      <c r="BX708"/>
      <c r="BY708"/>
      <c r="BZ708"/>
      <c r="CA708"/>
      <c r="CB708"/>
      <c r="CC708"/>
      <c r="CD708"/>
      <c r="CE708"/>
      <c r="CF708"/>
      <c r="CG708"/>
      <c r="CH708"/>
      <c r="CI708"/>
      <c r="CJ708"/>
      <c r="CK708"/>
      <c r="CL708"/>
      <c r="CM708"/>
      <c r="CN708"/>
      <c r="CO708"/>
      <c r="CP708"/>
      <c r="CQ708"/>
      <c r="CR708"/>
      <c r="CS708"/>
      <c r="CT708"/>
      <c r="CU708"/>
      <c r="CV708"/>
      <c r="CW708"/>
      <c r="CX708"/>
      <c r="CY708"/>
      <c r="CZ708"/>
      <c r="DA708"/>
      <c r="DB708"/>
      <c r="DC708"/>
      <c r="DD708"/>
      <c r="DE708"/>
      <c r="DF708"/>
      <c r="DG708"/>
      <c r="DH708"/>
      <c r="DI708"/>
      <c r="DJ708"/>
      <c r="DK708"/>
      <c r="DL708"/>
      <c r="DM708"/>
      <c r="DN708"/>
      <c r="DO708"/>
      <c r="DP708"/>
      <c r="DQ708"/>
      <c r="DR708"/>
      <c r="DS708"/>
      <c r="DT708"/>
      <c r="DU708"/>
      <c r="DV708"/>
      <c r="DW708"/>
      <c r="DX708"/>
      <c r="DY708"/>
      <c r="DZ708"/>
      <c r="EA708"/>
      <c r="EB708"/>
      <c r="EC708"/>
      <c r="ED708"/>
      <c r="EE708"/>
      <c r="EF708"/>
      <c r="EG708"/>
      <c r="EH708"/>
      <c r="EI708"/>
      <c r="EJ708"/>
      <c r="EK708"/>
      <c r="EL708"/>
      <c r="EM708"/>
      <c r="EN708"/>
      <c r="EO708"/>
      <c r="EP708"/>
      <c r="EQ708"/>
      <c r="ER708"/>
      <c r="ES708"/>
      <c r="ET708"/>
      <c r="EU708"/>
      <c r="EV708"/>
      <c r="EW708"/>
      <c r="EX708"/>
      <c r="EY708"/>
      <c r="EZ708"/>
      <c r="FA708"/>
      <c r="FB708"/>
      <c r="FC708"/>
      <c r="FD708"/>
      <c r="FE708"/>
      <c r="FF708"/>
      <c r="FG708"/>
      <c r="FH708"/>
      <c r="FI708"/>
      <c r="FJ708"/>
      <c r="FK708"/>
      <c r="FL708"/>
      <c r="FM708"/>
      <c r="FN708"/>
      <c r="FO708"/>
      <c r="FP708"/>
      <c r="FQ708"/>
      <c r="FR708"/>
      <c r="FS708"/>
      <c r="FT708"/>
      <c r="FU708"/>
      <c r="FV708"/>
      <c r="FW708"/>
      <c r="FX708"/>
      <c r="FY708"/>
      <c r="FZ708"/>
      <c r="GA708"/>
      <c r="GB708"/>
      <c r="GC708"/>
      <c r="GD708"/>
      <c r="GE708"/>
      <c r="GF708"/>
      <c r="GG708"/>
      <c r="GH708"/>
      <c r="GI708"/>
      <c r="GJ708"/>
      <c r="GK708"/>
      <c r="GL708"/>
      <c r="GM708"/>
      <c r="GN708"/>
      <c r="GO708"/>
      <c r="GP708"/>
      <c r="GQ708"/>
      <c r="GR708"/>
      <c r="GS708"/>
      <c r="GT708"/>
      <c r="GU708"/>
      <c r="GV708"/>
      <c r="GW708"/>
      <c r="GX708"/>
      <c r="GY708"/>
      <c r="GZ708"/>
      <c r="HA708"/>
      <c r="HB708"/>
      <c r="HC708"/>
      <c r="HD708"/>
      <c r="HE708"/>
      <c r="HF708"/>
      <c r="HG708"/>
      <c r="HH708"/>
      <c r="HI708"/>
      <c r="HJ708"/>
      <c r="HK708"/>
      <c r="HL708"/>
      <c r="HM708"/>
      <c r="HN708"/>
      <c r="HO708"/>
      <c r="HP708"/>
      <c r="HQ708"/>
      <c r="HR708"/>
      <c r="HS708"/>
      <c r="HT708"/>
      <c r="HU708"/>
      <c r="HV708"/>
      <c r="HW708"/>
      <c r="HX708"/>
      <c r="HY708"/>
      <c r="HZ708"/>
      <c r="IA708"/>
      <c r="IB708"/>
      <c r="IC708"/>
      <c r="ID708"/>
      <c r="IE708"/>
      <c r="IF708"/>
      <c r="IG708"/>
      <c r="IH708"/>
      <c r="II708"/>
      <c r="IJ708"/>
      <c r="IK708"/>
      <c r="IL708"/>
      <c r="IM708"/>
      <c r="IN708"/>
      <c r="IO708"/>
      <c r="IP708"/>
      <c r="IQ708"/>
      <c r="IR708"/>
      <c r="IS708"/>
      <c r="IT708"/>
      <c r="IU708"/>
      <c r="IV708"/>
    </row>
    <row r="709" spans="1:256" ht="12.75" hidden="1" customHeight="1" x14ac:dyDescent="0.2">
      <c r="A709" s="551"/>
      <c r="B709" s="565" t="s">
        <v>810</v>
      </c>
      <c r="C709" s="558"/>
      <c r="D709" s="562"/>
      <c r="E709" s="566"/>
      <c r="F709" s="567"/>
      <c r="G709" s="568">
        <v>1300000</v>
      </c>
      <c r="H709"/>
      <c r="I709"/>
      <c r="J709"/>
      <c r="K709"/>
      <c r="L709"/>
      <c r="M709"/>
      <c r="N709"/>
      <c r="O709"/>
      <c r="P709"/>
      <c r="Q709"/>
      <c r="R709"/>
      <c r="S709"/>
      <c r="T709"/>
      <c r="U709"/>
      <c r="V709"/>
      <c r="W709"/>
      <c r="X709"/>
      <c r="Y709"/>
      <c r="Z709"/>
      <c r="AA709"/>
      <c r="AB709"/>
      <c r="AC709"/>
      <c r="AD709"/>
      <c r="AE709"/>
      <c r="AF709"/>
      <c r="AG709"/>
      <c r="AH709"/>
      <c r="AI709"/>
      <c r="AJ709"/>
      <c r="AK709"/>
      <c r="AL709"/>
      <c r="AM709"/>
      <c r="AN709"/>
      <c r="AO709"/>
      <c r="AP709"/>
      <c r="AQ709"/>
      <c r="AR709"/>
      <c r="AS709"/>
      <c r="AT709"/>
      <c r="AU709"/>
      <c r="AV709"/>
      <c r="AW709"/>
      <c r="AX709"/>
      <c r="AY709"/>
      <c r="AZ709"/>
      <c r="BA709"/>
      <c r="BB709"/>
      <c r="BC709"/>
      <c r="BD709"/>
      <c r="BE709"/>
      <c r="BF709"/>
      <c r="BG709"/>
      <c r="BH709"/>
      <c r="BI709"/>
      <c r="BJ709"/>
      <c r="BK709"/>
      <c r="BL709"/>
      <c r="BM709"/>
      <c r="BN709"/>
      <c r="BO709"/>
      <c r="BP709"/>
      <c r="BQ709"/>
      <c r="BR709"/>
      <c r="BS709"/>
      <c r="BT709"/>
      <c r="BU709"/>
      <c r="BV709"/>
      <c r="BW709"/>
      <c r="BX709"/>
      <c r="BY709"/>
      <c r="BZ709"/>
      <c r="CA709"/>
      <c r="CB709"/>
      <c r="CC709"/>
      <c r="CD709"/>
      <c r="CE709"/>
      <c r="CF709"/>
      <c r="CG709"/>
      <c r="CH709"/>
      <c r="CI709"/>
      <c r="CJ709"/>
      <c r="CK709"/>
      <c r="CL709"/>
      <c r="CM709"/>
      <c r="CN709"/>
      <c r="CO709"/>
      <c r="CP709"/>
      <c r="CQ709"/>
      <c r="CR709"/>
      <c r="CS709"/>
      <c r="CT709"/>
      <c r="CU709"/>
      <c r="CV709"/>
      <c r="CW709"/>
      <c r="CX709"/>
      <c r="CY709"/>
      <c r="CZ709"/>
      <c r="DA709"/>
      <c r="DB709"/>
      <c r="DC709"/>
      <c r="DD709"/>
      <c r="DE709"/>
      <c r="DF709"/>
      <c r="DG709"/>
      <c r="DH709"/>
      <c r="DI709"/>
      <c r="DJ709"/>
      <c r="DK709"/>
      <c r="DL709"/>
      <c r="DM709"/>
      <c r="DN709"/>
      <c r="DO709"/>
      <c r="DP709"/>
      <c r="DQ709"/>
      <c r="DR709"/>
      <c r="DS709"/>
      <c r="DT709"/>
      <c r="DU709"/>
      <c r="DV709"/>
      <c r="DW709"/>
      <c r="DX709"/>
      <c r="DY709"/>
      <c r="DZ709"/>
      <c r="EA709"/>
      <c r="EB709"/>
      <c r="EC709"/>
      <c r="ED709"/>
      <c r="EE709"/>
      <c r="EF709"/>
      <c r="EG709"/>
      <c r="EH709"/>
      <c r="EI709"/>
      <c r="EJ709"/>
      <c r="EK709"/>
      <c r="EL709"/>
      <c r="EM709"/>
      <c r="EN709"/>
      <c r="EO709"/>
      <c r="EP709"/>
      <c r="EQ709"/>
      <c r="ER709"/>
      <c r="ES709"/>
      <c r="ET709"/>
      <c r="EU709"/>
      <c r="EV709"/>
      <c r="EW709"/>
      <c r="EX709"/>
      <c r="EY709"/>
      <c r="EZ709"/>
      <c r="FA709"/>
      <c r="FB709"/>
      <c r="FC709"/>
      <c r="FD709"/>
      <c r="FE709"/>
      <c r="FF709"/>
      <c r="FG709"/>
      <c r="FH709"/>
      <c r="FI709"/>
      <c r="FJ709"/>
      <c r="FK709"/>
      <c r="FL709"/>
      <c r="FM709"/>
      <c r="FN709"/>
      <c r="FO709"/>
      <c r="FP709"/>
      <c r="FQ709"/>
      <c r="FR709"/>
      <c r="FS709"/>
      <c r="FT709"/>
      <c r="FU709"/>
      <c r="FV709"/>
      <c r="FW709"/>
      <c r="FX709"/>
      <c r="FY709"/>
      <c r="FZ709"/>
      <c r="GA709"/>
      <c r="GB709"/>
      <c r="GC709"/>
      <c r="GD709"/>
      <c r="GE709"/>
      <c r="GF709"/>
      <c r="GG709"/>
      <c r="GH709"/>
      <c r="GI709"/>
      <c r="GJ709"/>
      <c r="GK709"/>
      <c r="GL709"/>
      <c r="GM709"/>
      <c r="GN709"/>
      <c r="GO709"/>
      <c r="GP709"/>
      <c r="GQ709"/>
      <c r="GR709"/>
      <c r="GS709"/>
      <c r="GT709"/>
      <c r="GU709"/>
      <c r="GV709"/>
      <c r="GW709"/>
      <c r="GX709"/>
      <c r="GY709"/>
      <c r="GZ709"/>
      <c r="HA709"/>
      <c r="HB709"/>
      <c r="HC709"/>
      <c r="HD709"/>
      <c r="HE709"/>
      <c r="HF709"/>
      <c r="HG709"/>
      <c r="HH709"/>
      <c r="HI709"/>
      <c r="HJ709"/>
      <c r="HK709"/>
      <c r="HL709"/>
      <c r="HM709"/>
      <c r="HN709"/>
      <c r="HO709"/>
      <c r="HP709"/>
      <c r="HQ709"/>
      <c r="HR709"/>
      <c r="HS709"/>
      <c r="HT709"/>
      <c r="HU709"/>
      <c r="HV709"/>
      <c r="HW709"/>
      <c r="HX709"/>
      <c r="HY709"/>
      <c r="HZ709"/>
      <c r="IA709"/>
      <c r="IB709"/>
      <c r="IC709"/>
      <c r="ID709"/>
      <c r="IE709"/>
      <c r="IF709"/>
      <c r="IG709"/>
      <c r="IH709"/>
      <c r="II709"/>
      <c r="IJ709"/>
      <c r="IK709"/>
      <c r="IL709"/>
      <c r="IM709"/>
      <c r="IN709"/>
      <c r="IO709"/>
      <c r="IP709"/>
      <c r="IQ709"/>
      <c r="IR709"/>
      <c r="IS709"/>
      <c r="IT709"/>
      <c r="IU709"/>
      <c r="IV709"/>
    </row>
    <row r="710" spans="1:256" ht="12.75" hidden="1" customHeight="1" x14ac:dyDescent="0.2">
      <c r="A710" s="551"/>
      <c r="B710" s="565" t="s">
        <v>811</v>
      </c>
      <c r="C710" s="569"/>
      <c r="D710" s="570"/>
      <c r="E710" s="571"/>
      <c r="F710" s="572"/>
      <c r="G710" s="170">
        <v>300000</v>
      </c>
      <c r="H710"/>
      <c r="I710"/>
      <c r="J710"/>
      <c r="K710"/>
      <c r="L710"/>
      <c r="M710"/>
      <c r="N710"/>
      <c r="O710"/>
      <c r="P710"/>
      <c r="Q710"/>
      <c r="R710"/>
      <c r="S710"/>
      <c r="T710"/>
      <c r="U710"/>
      <c r="V710"/>
      <c r="W710"/>
      <c r="X710"/>
      <c r="Y710"/>
      <c r="Z710"/>
      <c r="AA710"/>
      <c r="AB710"/>
      <c r="AC710"/>
      <c r="AD710"/>
      <c r="AE710"/>
      <c r="AF710"/>
      <c r="AG710"/>
      <c r="AH710"/>
      <c r="AI710"/>
      <c r="AJ710"/>
      <c r="AK710"/>
      <c r="AL710"/>
      <c r="AM710"/>
      <c r="AN710"/>
      <c r="AO710"/>
      <c r="AP710"/>
      <c r="AQ710"/>
      <c r="AR710"/>
      <c r="AS710"/>
      <c r="AT710"/>
      <c r="AU710"/>
      <c r="AV710"/>
      <c r="AW710"/>
      <c r="AX710"/>
      <c r="AY710"/>
      <c r="AZ710"/>
      <c r="BA710"/>
      <c r="BB710"/>
      <c r="BC710"/>
      <c r="BD710"/>
      <c r="BE710"/>
      <c r="BF710"/>
      <c r="BG710"/>
      <c r="BH710"/>
      <c r="BI710"/>
      <c r="BJ710"/>
      <c r="BK710"/>
      <c r="BL710"/>
      <c r="BM710"/>
      <c r="BN710"/>
      <c r="BO710"/>
      <c r="BP710"/>
      <c r="BQ710"/>
      <c r="BR710"/>
      <c r="BS710"/>
      <c r="BT710"/>
      <c r="BU710"/>
      <c r="BV710"/>
      <c r="BW710"/>
      <c r="BX710"/>
      <c r="BY710"/>
      <c r="BZ710"/>
      <c r="CA710"/>
      <c r="CB710"/>
      <c r="CC710"/>
      <c r="CD710"/>
      <c r="CE710"/>
      <c r="CF710"/>
      <c r="CG710"/>
      <c r="CH710"/>
      <c r="CI710"/>
      <c r="CJ710"/>
      <c r="CK710"/>
      <c r="CL710"/>
      <c r="CM710"/>
      <c r="CN710"/>
      <c r="CO710"/>
      <c r="CP710"/>
      <c r="CQ710"/>
      <c r="CR710"/>
      <c r="CS710"/>
      <c r="CT710"/>
      <c r="CU710"/>
      <c r="CV710"/>
      <c r="CW710"/>
      <c r="CX710"/>
      <c r="CY710"/>
      <c r="CZ710"/>
      <c r="DA710"/>
      <c r="DB710"/>
      <c r="DC710"/>
      <c r="DD710"/>
      <c r="DE710"/>
      <c r="DF710"/>
      <c r="DG710"/>
      <c r="DH710"/>
      <c r="DI710"/>
      <c r="DJ710"/>
      <c r="DK710"/>
      <c r="DL710"/>
      <c r="DM710"/>
      <c r="DN710"/>
      <c r="DO710"/>
      <c r="DP710"/>
      <c r="DQ710"/>
      <c r="DR710"/>
      <c r="DS710"/>
      <c r="DT710"/>
      <c r="DU710"/>
      <c r="DV710"/>
      <c r="DW710"/>
      <c r="DX710"/>
      <c r="DY710"/>
      <c r="DZ710"/>
      <c r="EA710"/>
      <c r="EB710"/>
      <c r="EC710"/>
      <c r="ED710"/>
      <c r="EE710"/>
      <c r="EF710"/>
      <c r="EG710"/>
      <c r="EH710"/>
      <c r="EI710"/>
      <c r="EJ710"/>
      <c r="EK710"/>
      <c r="EL710"/>
      <c r="EM710"/>
      <c r="EN710"/>
      <c r="EO710"/>
      <c r="EP710"/>
      <c r="EQ710"/>
      <c r="ER710"/>
      <c r="ES710"/>
      <c r="ET710"/>
      <c r="EU710"/>
      <c r="EV710"/>
      <c r="EW710"/>
      <c r="EX710"/>
      <c r="EY710"/>
      <c r="EZ710"/>
      <c r="FA710"/>
      <c r="FB710"/>
      <c r="FC710"/>
      <c r="FD710"/>
      <c r="FE710"/>
      <c r="FF710"/>
      <c r="FG710"/>
      <c r="FH710"/>
      <c r="FI710"/>
      <c r="FJ710"/>
      <c r="FK710"/>
      <c r="FL710"/>
      <c r="FM710"/>
      <c r="FN710"/>
      <c r="FO710"/>
      <c r="FP710"/>
      <c r="FQ710"/>
      <c r="FR710"/>
      <c r="FS710"/>
      <c r="FT710"/>
      <c r="FU710"/>
      <c r="FV710"/>
      <c r="FW710"/>
      <c r="FX710"/>
      <c r="FY710"/>
      <c r="FZ710"/>
      <c r="GA710"/>
      <c r="GB710"/>
      <c r="GC710"/>
      <c r="GD710"/>
      <c r="GE710"/>
      <c r="GF710"/>
      <c r="GG710"/>
      <c r="GH710"/>
      <c r="GI710"/>
      <c r="GJ710"/>
      <c r="GK710"/>
      <c r="GL710"/>
      <c r="GM710"/>
      <c r="GN710"/>
      <c r="GO710"/>
      <c r="GP710"/>
      <c r="GQ710"/>
      <c r="GR710"/>
      <c r="GS710"/>
      <c r="GT710"/>
      <c r="GU710"/>
      <c r="GV710"/>
      <c r="GW710"/>
      <c r="GX710"/>
      <c r="GY710"/>
      <c r="GZ710"/>
      <c r="HA710"/>
      <c r="HB710"/>
      <c r="HC710"/>
      <c r="HD710"/>
      <c r="HE710"/>
      <c r="HF710"/>
      <c r="HG710"/>
      <c r="HH710"/>
      <c r="HI710"/>
      <c r="HJ710"/>
      <c r="HK710"/>
      <c r="HL710"/>
      <c r="HM710"/>
      <c r="HN710"/>
      <c r="HO710"/>
      <c r="HP710"/>
      <c r="HQ710"/>
      <c r="HR710"/>
      <c r="HS710"/>
      <c r="HT710"/>
      <c r="HU710"/>
      <c r="HV710"/>
      <c r="HW710"/>
      <c r="HX710"/>
      <c r="HY710"/>
      <c r="HZ710"/>
      <c r="IA710"/>
      <c r="IB710"/>
      <c r="IC710"/>
      <c r="ID710"/>
      <c r="IE710"/>
      <c r="IF710"/>
      <c r="IG710"/>
      <c r="IH710"/>
      <c r="II710"/>
      <c r="IJ710"/>
      <c r="IK710"/>
      <c r="IL710"/>
      <c r="IM710"/>
      <c r="IN710"/>
      <c r="IO710"/>
      <c r="IP710"/>
      <c r="IQ710"/>
      <c r="IR710"/>
      <c r="IS710"/>
      <c r="IT710"/>
      <c r="IU710"/>
      <c r="IV710"/>
    </row>
    <row r="711" spans="1:256" ht="12.75" hidden="1" customHeight="1" x14ac:dyDescent="0.2">
      <c r="A711" s="551"/>
      <c r="B711" s="561" t="s">
        <v>812</v>
      </c>
      <c r="C711" s="573">
        <f>SUM(C712:C717)</f>
        <v>450000</v>
      </c>
      <c r="D711" s="574">
        <f>SUM(D712:D717)</f>
        <v>3206650.74</v>
      </c>
      <c r="E711" s="574">
        <f>SUM(E712:E717)</f>
        <v>3206650.74</v>
      </c>
      <c r="F711" s="554">
        <f>SUM(F712:F717)</f>
        <v>3006650.74</v>
      </c>
      <c r="G711" s="555">
        <f>SUM(G712:G717)</f>
        <v>850000</v>
      </c>
      <c r="H711"/>
      <c r="I711"/>
      <c r="J711"/>
      <c r="K711"/>
      <c r="L711"/>
      <c r="M711"/>
      <c r="N711"/>
      <c r="O711"/>
      <c r="P711"/>
      <c r="Q711"/>
      <c r="R711"/>
      <c r="S711"/>
      <c r="T711"/>
      <c r="U711"/>
      <c r="V711"/>
      <c r="W711"/>
      <c r="X711"/>
      <c r="Y711"/>
      <c r="Z711"/>
      <c r="AA711"/>
      <c r="AB711"/>
      <c r="AC711"/>
      <c r="AD711"/>
      <c r="AE711"/>
      <c r="AF711"/>
      <c r="AG711"/>
      <c r="AH711"/>
      <c r="AI711"/>
      <c r="AJ711"/>
      <c r="AK711"/>
      <c r="AL711"/>
      <c r="AM711"/>
      <c r="AN711"/>
      <c r="AO711"/>
      <c r="AP711"/>
      <c r="AQ711"/>
      <c r="AR711"/>
      <c r="AS711"/>
      <c r="AT711"/>
      <c r="AU711"/>
      <c r="AV711"/>
      <c r="AW711"/>
      <c r="AX711"/>
      <c r="AY711"/>
      <c r="AZ711"/>
      <c r="BA711"/>
      <c r="BB711"/>
      <c r="BC711"/>
      <c r="BD711"/>
      <c r="BE711"/>
      <c r="BF711"/>
      <c r="BG711"/>
      <c r="BH711"/>
      <c r="BI711"/>
      <c r="BJ711"/>
      <c r="BK711"/>
      <c r="BL711"/>
      <c r="BM711"/>
      <c r="BN711"/>
      <c r="BO711"/>
      <c r="BP711"/>
      <c r="BQ711"/>
      <c r="BR711"/>
      <c r="BS711"/>
      <c r="BT711"/>
      <c r="BU711"/>
      <c r="BV711"/>
      <c r="BW711"/>
      <c r="BX711"/>
      <c r="BY711"/>
      <c r="BZ711"/>
      <c r="CA711"/>
      <c r="CB711"/>
      <c r="CC711"/>
      <c r="CD711"/>
      <c r="CE711"/>
      <c r="CF711"/>
      <c r="CG711"/>
      <c r="CH711"/>
      <c r="CI711"/>
      <c r="CJ711"/>
      <c r="CK711"/>
      <c r="CL711"/>
      <c r="CM711"/>
      <c r="CN711"/>
      <c r="CO711"/>
      <c r="CP711"/>
      <c r="CQ711"/>
      <c r="CR711"/>
      <c r="CS711"/>
      <c r="CT711"/>
      <c r="CU711"/>
      <c r="CV711"/>
      <c r="CW711"/>
      <c r="CX711"/>
      <c r="CY711"/>
      <c r="CZ711"/>
      <c r="DA711"/>
      <c r="DB711"/>
      <c r="DC711"/>
      <c r="DD711"/>
      <c r="DE711"/>
      <c r="DF711"/>
      <c r="DG711"/>
      <c r="DH711"/>
      <c r="DI711"/>
      <c r="DJ711"/>
      <c r="DK711"/>
      <c r="DL711"/>
      <c r="DM711"/>
      <c r="DN711"/>
      <c r="DO711"/>
      <c r="DP711"/>
      <c r="DQ711"/>
      <c r="DR711"/>
      <c r="DS711"/>
      <c r="DT711"/>
      <c r="DU711"/>
      <c r="DV711"/>
      <c r="DW711"/>
      <c r="DX711"/>
      <c r="DY711"/>
      <c r="DZ711"/>
      <c r="EA711"/>
      <c r="EB711"/>
      <c r="EC711"/>
      <c r="ED711"/>
      <c r="EE711"/>
      <c r="EF711"/>
      <c r="EG711"/>
      <c r="EH711"/>
      <c r="EI711"/>
      <c r="EJ711"/>
      <c r="EK711"/>
      <c r="EL711"/>
      <c r="EM711"/>
      <c r="EN711"/>
      <c r="EO711"/>
      <c r="EP711"/>
      <c r="EQ711"/>
      <c r="ER711"/>
      <c r="ES711"/>
      <c r="ET711"/>
      <c r="EU711"/>
      <c r="EV711"/>
      <c r="EW711"/>
      <c r="EX711"/>
      <c r="EY711"/>
      <c r="EZ711"/>
      <c r="FA711"/>
      <c r="FB711"/>
      <c r="FC711"/>
      <c r="FD711"/>
      <c r="FE711"/>
      <c r="FF711"/>
      <c r="FG711"/>
      <c r="FH711"/>
      <c r="FI711"/>
      <c r="FJ711"/>
      <c r="FK711"/>
      <c r="FL711"/>
      <c r="FM711"/>
      <c r="FN711"/>
      <c r="FO711"/>
      <c r="FP711"/>
      <c r="FQ711"/>
      <c r="FR711"/>
      <c r="FS711"/>
      <c r="FT711"/>
      <c r="FU711"/>
      <c r="FV711"/>
      <c r="FW711"/>
      <c r="FX711"/>
      <c r="FY711"/>
      <c r="FZ711"/>
      <c r="GA711"/>
      <c r="GB711"/>
      <c r="GC711"/>
      <c r="GD711"/>
      <c r="GE711"/>
      <c r="GF711"/>
      <c r="GG711"/>
      <c r="GH711"/>
      <c r="GI711"/>
      <c r="GJ711"/>
      <c r="GK711"/>
      <c r="GL711"/>
      <c r="GM711"/>
      <c r="GN711"/>
      <c r="GO711"/>
      <c r="GP711"/>
      <c r="GQ711"/>
      <c r="GR711"/>
      <c r="GS711"/>
      <c r="GT711"/>
      <c r="GU711"/>
      <c r="GV711"/>
      <c r="GW711"/>
      <c r="GX711"/>
      <c r="GY711"/>
      <c r="GZ711"/>
      <c r="HA711"/>
      <c r="HB711"/>
      <c r="HC711"/>
      <c r="HD711"/>
      <c r="HE711"/>
      <c r="HF711"/>
      <c r="HG711"/>
      <c r="HH711"/>
      <c r="HI711"/>
      <c r="HJ711"/>
      <c r="HK711"/>
      <c r="HL711"/>
      <c r="HM711"/>
      <c r="HN711"/>
      <c r="HO711"/>
      <c r="HP711"/>
      <c r="HQ711"/>
      <c r="HR711"/>
      <c r="HS711"/>
      <c r="HT711"/>
      <c r="HU711"/>
      <c r="HV711"/>
      <c r="HW711"/>
      <c r="HX711"/>
      <c r="HY711"/>
      <c r="HZ711"/>
      <c r="IA711"/>
      <c r="IB711"/>
      <c r="IC711"/>
      <c r="ID711"/>
      <c r="IE711"/>
      <c r="IF711"/>
      <c r="IG711"/>
      <c r="IH711"/>
      <c r="II711"/>
      <c r="IJ711"/>
      <c r="IK711"/>
      <c r="IL711"/>
      <c r="IM711"/>
      <c r="IN711"/>
      <c r="IO711"/>
      <c r="IP711"/>
      <c r="IQ711"/>
      <c r="IR711"/>
      <c r="IS711"/>
      <c r="IT711"/>
      <c r="IU711"/>
      <c r="IV711"/>
    </row>
    <row r="712" spans="1:256" ht="12.75" hidden="1" customHeight="1" x14ac:dyDescent="0.2">
      <c r="A712" s="551"/>
      <c r="B712" s="561" t="s">
        <v>813</v>
      </c>
      <c r="C712" s="560">
        <v>250000</v>
      </c>
      <c r="D712" s="562">
        <f>250000-250000</f>
        <v>0</v>
      </c>
      <c r="E712" s="575">
        <v>0</v>
      </c>
      <c r="F712" s="576">
        <v>0</v>
      </c>
      <c r="G712" s="164">
        <v>0</v>
      </c>
      <c r="H712"/>
      <c r="I712"/>
      <c r="J712"/>
      <c r="K712"/>
      <c r="L712"/>
      <c r="M712"/>
      <c r="N712"/>
      <c r="O712"/>
      <c r="P712"/>
      <c r="Q712"/>
      <c r="R712"/>
      <c r="S712"/>
      <c r="T712"/>
      <c r="U712"/>
      <c r="V712"/>
      <c r="W712"/>
      <c r="X712"/>
      <c r="Y712"/>
      <c r="Z712"/>
      <c r="AA712"/>
      <c r="AB712"/>
      <c r="AC712"/>
      <c r="AD712"/>
      <c r="AE712"/>
      <c r="AF712"/>
      <c r="AG712"/>
      <c r="AH712"/>
      <c r="AI712"/>
      <c r="AJ712"/>
      <c r="AK712"/>
      <c r="AL712"/>
      <c r="AM712"/>
      <c r="AN712"/>
      <c r="AO712"/>
      <c r="AP712"/>
      <c r="AQ712"/>
      <c r="AR712"/>
      <c r="AS712"/>
      <c r="AT712"/>
      <c r="AU712"/>
      <c r="AV712"/>
      <c r="AW712"/>
      <c r="AX712"/>
      <c r="AY712"/>
      <c r="AZ712"/>
      <c r="BA712"/>
      <c r="BB712"/>
      <c r="BC712"/>
      <c r="BD712"/>
      <c r="BE712"/>
      <c r="BF712"/>
      <c r="BG712"/>
      <c r="BH712"/>
      <c r="BI712"/>
      <c r="BJ712"/>
      <c r="BK712"/>
      <c r="BL712"/>
      <c r="BM712"/>
      <c r="BN712"/>
      <c r="BO712"/>
      <c r="BP712"/>
      <c r="BQ712"/>
      <c r="BR712"/>
      <c r="BS712"/>
      <c r="BT712"/>
      <c r="BU712"/>
      <c r="BV712"/>
      <c r="BW712"/>
      <c r="BX712"/>
      <c r="BY712"/>
      <c r="BZ712"/>
      <c r="CA712"/>
      <c r="CB712"/>
      <c r="CC712"/>
      <c r="CD712"/>
      <c r="CE712"/>
      <c r="CF712"/>
      <c r="CG712"/>
      <c r="CH712"/>
      <c r="CI712"/>
      <c r="CJ712"/>
      <c r="CK712"/>
      <c r="CL712"/>
      <c r="CM712"/>
      <c r="CN712"/>
      <c r="CO712"/>
      <c r="CP712"/>
      <c r="CQ712"/>
      <c r="CR712"/>
      <c r="CS712"/>
      <c r="CT712"/>
      <c r="CU712"/>
      <c r="CV712"/>
      <c r="CW712"/>
      <c r="CX712"/>
      <c r="CY712"/>
      <c r="CZ712"/>
      <c r="DA712"/>
      <c r="DB712"/>
      <c r="DC712"/>
      <c r="DD712"/>
      <c r="DE712"/>
      <c r="DF712"/>
      <c r="DG712"/>
      <c r="DH712"/>
      <c r="DI712"/>
      <c r="DJ712"/>
      <c r="DK712"/>
      <c r="DL712"/>
      <c r="DM712"/>
      <c r="DN712"/>
      <c r="DO712"/>
      <c r="DP712"/>
      <c r="DQ712"/>
      <c r="DR712"/>
      <c r="DS712"/>
      <c r="DT712"/>
      <c r="DU712"/>
      <c r="DV712"/>
      <c r="DW712"/>
      <c r="DX712"/>
      <c r="DY712"/>
      <c r="DZ712"/>
      <c r="EA712"/>
      <c r="EB712"/>
      <c r="EC712"/>
      <c r="ED712"/>
      <c r="EE712"/>
      <c r="EF712"/>
      <c r="EG712"/>
      <c r="EH712"/>
      <c r="EI712"/>
      <c r="EJ712"/>
      <c r="EK712"/>
      <c r="EL712"/>
      <c r="EM712"/>
      <c r="EN712"/>
      <c r="EO712"/>
      <c r="EP712"/>
      <c r="EQ712"/>
      <c r="ER712"/>
      <c r="ES712"/>
      <c r="ET712"/>
      <c r="EU712"/>
      <c r="EV712"/>
      <c r="EW712"/>
      <c r="EX712"/>
      <c r="EY712"/>
      <c r="EZ712"/>
      <c r="FA712"/>
      <c r="FB712"/>
      <c r="FC712"/>
      <c r="FD712"/>
      <c r="FE712"/>
      <c r="FF712"/>
      <c r="FG712"/>
      <c r="FH712"/>
      <c r="FI712"/>
      <c r="FJ712"/>
      <c r="FK712"/>
      <c r="FL712"/>
      <c r="FM712"/>
      <c r="FN712"/>
      <c r="FO712"/>
      <c r="FP712"/>
      <c r="FQ712"/>
      <c r="FR712"/>
      <c r="FS712"/>
      <c r="FT712"/>
      <c r="FU712"/>
      <c r="FV712"/>
      <c r="FW712"/>
      <c r="FX712"/>
      <c r="FY712"/>
      <c r="FZ712"/>
      <c r="GA712"/>
      <c r="GB712"/>
      <c r="GC712"/>
      <c r="GD712"/>
      <c r="GE712"/>
      <c r="GF712"/>
      <c r="GG712"/>
      <c r="GH712"/>
      <c r="GI712"/>
      <c r="GJ712"/>
      <c r="GK712"/>
      <c r="GL712"/>
      <c r="GM712"/>
      <c r="GN712"/>
      <c r="GO712"/>
      <c r="GP712"/>
      <c r="GQ712"/>
      <c r="GR712"/>
      <c r="GS712"/>
      <c r="GT712"/>
      <c r="GU712"/>
      <c r="GV712"/>
      <c r="GW712"/>
      <c r="GX712"/>
      <c r="GY712"/>
      <c r="GZ712"/>
      <c r="HA712"/>
      <c r="HB712"/>
      <c r="HC712"/>
      <c r="HD712"/>
      <c r="HE712"/>
      <c r="HF712"/>
      <c r="HG712"/>
      <c r="HH712"/>
      <c r="HI712"/>
      <c r="HJ712"/>
      <c r="HK712"/>
      <c r="HL712"/>
      <c r="HM712"/>
      <c r="HN712"/>
      <c r="HO712"/>
      <c r="HP712"/>
      <c r="HQ712"/>
      <c r="HR712"/>
      <c r="HS712"/>
      <c r="HT712"/>
      <c r="HU712"/>
      <c r="HV712"/>
      <c r="HW712"/>
      <c r="HX712"/>
      <c r="HY712"/>
      <c r="HZ712"/>
      <c r="IA712"/>
      <c r="IB712"/>
      <c r="IC712"/>
      <c r="ID712"/>
      <c r="IE712"/>
      <c r="IF712"/>
      <c r="IG712"/>
      <c r="IH712"/>
      <c r="II712"/>
      <c r="IJ712"/>
      <c r="IK712"/>
      <c r="IL712"/>
      <c r="IM712"/>
      <c r="IN712"/>
      <c r="IO712"/>
      <c r="IP712"/>
      <c r="IQ712"/>
      <c r="IR712"/>
      <c r="IS712"/>
      <c r="IT712"/>
      <c r="IU712"/>
      <c r="IV712"/>
    </row>
    <row r="713" spans="1:256" ht="12.75" hidden="1" customHeight="1" x14ac:dyDescent="0.2">
      <c r="A713" s="551"/>
      <c r="B713" s="561" t="s">
        <v>814</v>
      </c>
      <c r="C713" s="560">
        <v>200000</v>
      </c>
      <c r="D713" s="570">
        <v>200000</v>
      </c>
      <c r="E713" s="571">
        <v>200000</v>
      </c>
      <c r="F713" s="563">
        <v>0</v>
      </c>
      <c r="G713" s="127">
        <v>200000</v>
      </c>
      <c r="H713"/>
      <c r="I713"/>
      <c r="J713"/>
      <c r="K713"/>
      <c r="L713"/>
      <c r="M713"/>
      <c r="N713"/>
      <c r="O713"/>
      <c r="P713"/>
      <c r="Q713"/>
      <c r="R713"/>
      <c r="S713"/>
      <c r="T713"/>
      <c r="U713"/>
      <c r="V713"/>
      <c r="W713"/>
      <c r="X713"/>
      <c r="Y713"/>
      <c r="Z713"/>
      <c r="AA713"/>
      <c r="AB713"/>
      <c r="AC713"/>
      <c r="AD713"/>
      <c r="AE713"/>
      <c r="AF713"/>
      <c r="AG713"/>
      <c r="AH713"/>
      <c r="AI713"/>
      <c r="AJ713"/>
      <c r="AK713"/>
      <c r="AL713"/>
      <c r="AM713"/>
      <c r="AN713"/>
      <c r="AO713"/>
      <c r="AP713"/>
      <c r="AQ713"/>
      <c r="AR713"/>
      <c r="AS713"/>
      <c r="AT713"/>
      <c r="AU713"/>
      <c r="AV713"/>
      <c r="AW713"/>
      <c r="AX713"/>
      <c r="AY713"/>
      <c r="AZ713"/>
      <c r="BA713"/>
      <c r="BB713"/>
      <c r="BC713"/>
      <c r="BD713"/>
      <c r="BE713"/>
      <c r="BF713"/>
      <c r="BG713"/>
      <c r="BH713"/>
      <c r="BI713"/>
      <c r="BJ713"/>
      <c r="BK713"/>
      <c r="BL713"/>
      <c r="BM713"/>
      <c r="BN713"/>
      <c r="BO713"/>
      <c r="BP713"/>
      <c r="BQ713"/>
      <c r="BR713"/>
      <c r="BS713"/>
      <c r="BT713"/>
      <c r="BU713"/>
      <c r="BV713"/>
      <c r="BW713"/>
      <c r="BX713"/>
      <c r="BY713"/>
      <c r="BZ713"/>
      <c r="CA713"/>
      <c r="CB713"/>
      <c r="CC713"/>
      <c r="CD713"/>
      <c r="CE713"/>
      <c r="CF713"/>
      <c r="CG713"/>
      <c r="CH713"/>
      <c r="CI713"/>
      <c r="CJ713"/>
      <c r="CK713"/>
      <c r="CL713"/>
      <c r="CM713"/>
      <c r="CN713"/>
      <c r="CO713"/>
      <c r="CP713"/>
      <c r="CQ713"/>
      <c r="CR713"/>
      <c r="CS713"/>
      <c r="CT713"/>
      <c r="CU713"/>
      <c r="CV713"/>
      <c r="CW713"/>
      <c r="CX713"/>
      <c r="CY713"/>
      <c r="CZ713"/>
      <c r="DA713"/>
      <c r="DB713"/>
      <c r="DC713"/>
      <c r="DD713"/>
      <c r="DE713"/>
      <c r="DF713"/>
      <c r="DG713"/>
      <c r="DH713"/>
      <c r="DI713"/>
      <c r="DJ713"/>
      <c r="DK713"/>
      <c r="DL713"/>
      <c r="DM713"/>
      <c r="DN713"/>
      <c r="DO713"/>
      <c r="DP713"/>
      <c r="DQ713"/>
      <c r="DR713"/>
      <c r="DS713"/>
      <c r="DT713"/>
      <c r="DU713"/>
      <c r="DV713"/>
      <c r="DW713"/>
      <c r="DX713"/>
      <c r="DY713"/>
      <c r="DZ713"/>
      <c r="EA713"/>
      <c r="EB713"/>
      <c r="EC713"/>
      <c r="ED713"/>
      <c r="EE713"/>
      <c r="EF713"/>
      <c r="EG713"/>
      <c r="EH713"/>
      <c r="EI713"/>
      <c r="EJ713"/>
      <c r="EK713"/>
      <c r="EL713"/>
      <c r="EM713"/>
      <c r="EN713"/>
      <c r="EO713"/>
      <c r="EP713"/>
      <c r="EQ713"/>
      <c r="ER713"/>
      <c r="ES713"/>
      <c r="ET713"/>
      <c r="EU713"/>
      <c r="EV713"/>
      <c r="EW713"/>
      <c r="EX713"/>
      <c r="EY713"/>
      <c r="EZ713"/>
      <c r="FA713"/>
      <c r="FB713"/>
      <c r="FC713"/>
      <c r="FD713"/>
      <c r="FE713"/>
      <c r="FF713"/>
      <c r="FG713"/>
      <c r="FH713"/>
      <c r="FI713"/>
      <c r="FJ713"/>
      <c r="FK713"/>
      <c r="FL713"/>
      <c r="FM713"/>
      <c r="FN713"/>
      <c r="FO713"/>
      <c r="FP713"/>
      <c r="FQ713"/>
      <c r="FR713"/>
      <c r="FS713"/>
      <c r="FT713"/>
      <c r="FU713"/>
      <c r="FV713"/>
      <c r="FW713"/>
      <c r="FX713"/>
      <c r="FY713"/>
      <c r="FZ713"/>
      <c r="GA713"/>
      <c r="GB713"/>
      <c r="GC713"/>
      <c r="GD713"/>
      <c r="GE713"/>
      <c r="GF713"/>
      <c r="GG713"/>
      <c r="GH713"/>
      <c r="GI713"/>
      <c r="GJ713"/>
      <c r="GK713"/>
      <c r="GL713"/>
      <c r="GM713"/>
      <c r="GN713"/>
      <c r="GO713"/>
      <c r="GP713"/>
      <c r="GQ713"/>
      <c r="GR713"/>
      <c r="GS713"/>
      <c r="GT713"/>
      <c r="GU713"/>
      <c r="GV713"/>
      <c r="GW713"/>
      <c r="GX713"/>
      <c r="GY713"/>
      <c r="GZ713"/>
      <c r="HA713"/>
      <c r="HB713"/>
      <c r="HC713"/>
      <c r="HD713"/>
      <c r="HE713"/>
      <c r="HF713"/>
      <c r="HG713"/>
      <c r="HH713"/>
      <c r="HI713"/>
      <c r="HJ713"/>
      <c r="HK713"/>
      <c r="HL713"/>
      <c r="HM713"/>
      <c r="HN713"/>
      <c r="HO713"/>
      <c r="HP713"/>
      <c r="HQ713"/>
      <c r="HR713"/>
      <c r="HS713"/>
      <c r="HT713"/>
      <c r="HU713"/>
      <c r="HV713"/>
      <c r="HW713"/>
      <c r="HX713"/>
      <c r="HY713"/>
      <c r="HZ713"/>
      <c r="IA713"/>
      <c r="IB713"/>
      <c r="IC713"/>
      <c r="ID713"/>
      <c r="IE713"/>
      <c r="IF713"/>
      <c r="IG713"/>
      <c r="IH713"/>
      <c r="II713"/>
      <c r="IJ713"/>
      <c r="IK713"/>
      <c r="IL713"/>
      <c r="IM713"/>
      <c r="IN713"/>
      <c r="IO713"/>
      <c r="IP713"/>
      <c r="IQ713"/>
      <c r="IR713"/>
      <c r="IS713"/>
      <c r="IT713"/>
      <c r="IU713"/>
      <c r="IV713"/>
    </row>
    <row r="714" spans="1:256" ht="12.75" hidden="1" customHeight="1" x14ac:dyDescent="0.2">
      <c r="A714" s="551"/>
      <c r="B714" s="561" t="s">
        <v>815</v>
      </c>
      <c r="C714" s="560"/>
      <c r="D714" s="562"/>
      <c r="E714" s="564"/>
      <c r="F714" s="577"/>
      <c r="G714" s="127">
        <v>100000</v>
      </c>
      <c r="H714"/>
      <c r="I714"/>
      <c r="J714"/>
      <c r="K714"/>
      <c r="L714"/>
      <c r="M714"/>
      <c r="N714"/>
      <c r="O714"/>
      <c r="P714"/>
      <c r="Q714"/>
      <c r="R714"/>
      <c r="S714"/>
      <c r="T714"/>
      <c r="U714"/>
      <c r="V714"/>
      <c r="W714"/>
      <c r="X714"/>
      <c r="Y714"/>
      <c r="Z714"/>
      <c r="AA714"/>
      <c r="AB714"/>
      <c r="AC714"/>
      <c r="AD714"/>
      <c r="AE714"/>
      <c r="AF714"/>
      <c r="AG714"/>
      <c r="AH714"/>
      <c r="AI714"/>
      <c r="AJ714"/>
      <c r="AK714"/>
      <c r="AL714"/>
      <c r="AM714"/>
      <c r="AN714"/>
      <c r="AO714"/>
      <c r="AP714"/>
      <c r="AQ714"/>
      <c r="AR714"/>
      <c r="AS714"/>
      <c r="AT714"/>
      <c r="AU714"/>
      <c r="AV714"/>
      <c r="AW714"/>
      <c r="AX714"/>
      <c r="AY714"/>
      <c r="AZ714"/>
      <c r="BA714"/>
      <c r="BB714"/>
      <c r="BC714"/>
      <c r="BD714"/>
      <c r="BE714"/>
      <c r="BF714"/>
      <c r="BG714"/>
      <c r="BH714"/>
      <c r="BI714"/>
      <c r="BJ714"/>
      <c r="BK714"/>
      <c r="BL714"/>
      <c r="BM714"/>
      <c r="BN714"/>
      <c r="BO714"/>
      <c r="BP714"/>
      <c r="BQ714"/>
      <c r="BR714"/>
      <c r="BS714"/>
      <c r="BT714"/>
      <c r="BU714"/>
      <c r="BV714"/>
      <c r="BW714"/>
      <c r="BX714"/>
      <c r="BY714"/>
      <c r="BZ714"/>
      <c r="CA714"/>
      <c r="CB714"/>
      <c r="CC714"/>
      <c r="CD714"/>
      <c r="CE714"/>
      <c r="CF714"/>
      <c r="CG714"/>
      <c r="CH714"/>
      <c r="CI714"/>
      <c r="CJ714"/>
      <c r="CK714"/>
      <c r="CL714"/>
      <c r="CM714"/>
      <c r="CN714"/>
      <c r="CO714"/>
      <c r="CP714"/>
      <c r="CQ714"/>
      <c r="CR714"/>
      <c r="CS714"/>
      <c r="CT714"/>
      <c r="CU714"/>
      <c r="CV714"/>
      <c r="CW714"/>
      <c r="CX714"/>
      <c r="CY714"/>
      <c r="CZ714"/>
      <c r="DA714"/>
      <c r="DB714"/>
      <c r="DC714"/>
      <c r="DD714"/>
      <c r="DE714"/>
      <c r="DF714"/>
      <c r="DG714"/>
      <c r="DH714"/>
      <c r="DI714"/>
      <c r="DJ714"/>
      <c r="DK714"/>
      <c r="DL714"/>
      <c r="DM714"/>
      <c r="DN714"/>
      <c r="DO714"/>
      <c r="DP714"/>
      <c r="DQ714"/>
      <c r="DR714"/>
      <c r="DS714"/>
      <c r="DT714"/>
      <c r="DU714"/>
      <c r="DV714"/>
      <c r="DW714"/>
      <c r="DX714"/>
      <c r="DY714"/>
      <c r="DZ714"/>
      <c r="EA714"/>
      <c r="EB714"/>
      <c r="EC714"/>
      <c r="ED714"/>
      <c r="EE714"/>
      <c r="EF714"/>
      <c r="EG714"/>
      <c r="EH714"/>
      <c r="EI714"/>
      <c r="EJ714"/>
      <c r="EK714"/>
      <c r="EL714"/>
      <c r="EM714"/>
      <c r="EN714"/>
      <c r="EO714"/>
      <c r="EP714"/>
      <c r="EQ714"/>
      <c r="ER714"/>
      <c r="ES714"/>
      <c r="ET714"/>
      <c r="EU714"/>
      <c r="EV714"/>
      <c r="EW714"/>
      <c r="EX714"/>
      <c r="EY714"/>
      <c r="EZ714"/>
      <c r="FA714"/>
      <c r="FB714"/>
      <c r="FC714"/>
      <c r="FD714"/>
      <c r="FE714"/>
      <c r="FF714"/>
      <c r="FG714"/>
      <c r="FH714"/>
      <c r="FI714"/>
      <c r="FJ714"/>
      <c r="FK714"/>
      <c r="FL714"/>
      <c r="FM714"/>
      <c r="FN714"/>
      <c r="FO714"/>
      <c r="FP714"/>
      <c r="FQ714"/>
      <c r="FR714"/>
      <c r="FS714"/>
      <c r="FT714"/>
      <c r="FU714"/>
      <c r="FV714"/>
      <c r="FW714"/>
      <c r="FX714"/>
      <c r="FY714"/>
      <c r="FZ714"/>
      <c r="GA714"/>
      <c r="GB714"/>
      <c r="GC714"/>
      <c r="GD714"/>
      <c r="GE714"/>
      <c r="GF714"/>
      <c r="GG714"/>
      <c r="GH714"/>
      <c r="GI714"/>
      <c r="GJ714"/>
      <c r="GK714"/>
      <c r="GL714"/>
      <c r="GM714"/>
      <c r="GN714"/>
      <c r="GO714"/>
      <c r="GP714"/>
      <c r="GQ714"/>
      <c r="GR714"/>
      <c r="GS714"/>
      <c r="GT714"/>
      <c r="GU714"/>
      <c r="GV714"/>
      <c r="GW714"/>
      <c r="GX714"/>
      <c r="GY714"/>
      <c r="GZ714"/>
      <c r="HA714"/>
      <c r="HB714"/>
      <c r="HC714"/>
      <c r="HD714"/>
      <c r="HE714"/>
      <c r="HF714"/>
      <c r="HG714"/>
      <c r="HH714"/>
      <c r="HI714"/>
      <c r="HJ714"/>
      <c r="HK714"/>
      <c r="HL714"/>
      <c r="HM714"/>
      <c r="HN714"/>
      <c r="HO714"/>
      <c r="HP714"/>
      <c r="HQ714"/>
      <c r="HR714"/>
      <c r="HS714"/>
      <c r="HT714"/>
      <c r="HU714"/>
      <c r="HV714"/>
      <c r="HW714"/>
      <c r="HX714"/>
      <c r="HY714"/>
      <c r="HZ714"/>
      <c r="IA714"/>
      <c r="IB714"/>
      <c r="IC714"/>
      <c r="ID714"/>
      <c r="IE714"/>
      <c r="IF714"/>
      <c r="IG714"/>
      <c r="IH714"/>
      <c r="II714"/>
      <c r="IJ714"/>
      <c r="IK714"/>
      <c r="IL714"/>
      <c r="IM714"/>
      <c r="IN714"/>
      <c r="IO714"/>
      <c r="IP714"/>
      <c r="IQ714"/>
      <c r="IR714"/>
      <c r="IS714"/>
      <c r="IT714"/>
      <c r="IU714"/>
      <c r="IV714"/>
    </row>
    <row r="715" spans="1:256" ht="12.75" hidden="1" customHeight="1" x14ac:dyDescent="0.2">
      <c r="A715" s="551"/>
      <c r="B715" s="578" t="s">
        <v>816</v>
      </c>
      <c r="C715" s="560"/>
      <c r="D715" s="562"/>
      <c r="E715" s="579"/>
      <c r="F715" s="580"/>
      <c r="G715" s="127">
        <v>150000</v>
      </c>
      <c r="H715"/>
      <c r="I715"/>
      <c r="J715"/>
      <c r="K715"/>
      <c r="L715"/>
      <c r="M715"/>
      <c r="N715"/>
      <c r="O715"/>
      <c r="P715"/>
      <c r="Q715"/>
      <c r="R715"/>
      <c r="S715"/>
      <c r="T715"/>
      <c r="U715"/>
      <c r="V715"/>
      <c r="W715"/>
      <c r="X715"/>
      <c r="Y715"/>
      <c r="Z715"/>
      <c r="AA715"/>
      <c r="AB715"/>
      <c r="AC715"/>
      <c r="AD715"/>
      <c r="AE715"/>
      <c r="AF715"/>
      <c r="AG715"/>
      <c r="AH715"/>
      <c r="AI715"/>
      <c r="AJ715"/>
      <c r="AK715"/>
      <c r="AL715"/>
      <c r="AM715"/>
      <c r="AN715"/>
      <c r="AO715"/>
      <c r="AP715"/>
      <c r="AQ715"/>
      <c r="AR715"/>
      <c r="AS715"/>
      <c r="AT715"/>
      <c r="AU715"/>
      <c r="AV715"/>
      <c r="AW715"/>
      <c r="AX715"/>
      <c r="AY715"/>
      <c r="AZ715"/>
      <c r="BA715"/>
      <c r="BB715"/>
      <c r="BC715"/>
      <c r="BD715"/>
      <c r="BE715"/>
      <c r="BF715"/>
      <c r="BG715"/>
      <c r="BH715"/>
      <c r="BI715"/>
      <c r="BJ715"/>
      <c r="BK715"/>
      <c r="BL715"/>
      <c r="BM715"/>
      <c r="BN715"/>
      <c r="BO715"/>
      <c r="BP715"/>
      <c r="BQ715"/>
      <c r="BR715"/>
      <c r="BS715"/>
      <c r="BT715"/>
      <c r="BU715"/>
      <c r="BV715"/>
      <c r="BW715"/>
      <c r="BX715"/>
      <c r="BY715"/>
      <c r="BZ715"/>
      <c r="CA715"/>
      <c r="CB715"/>
      <c r="CC715"/>
      <c r="CD715"/>
      <c r="CE715"/>
      <c r="CF715"/>
      <c r="CG715"/>
      <c r="CH715"/>
      <c r="CI715"/>
      <c r="CJ715"/>
      <c r="CK715"/>
      <c r="CL715"/>
      <c r="CM715"/>
      <c r="CN715"/>
      <c r="CO715"/>
      <c r="CP715"/>
      <c r="CQ715"/>
      <c r="CR715"/>
      <c r="CS715"/>
      <c r="CT715"/>
      <c r="CU715"/>
      <c r="CV715"/>
      <c r="CW715"/>
      <c r="CX715"/>
      <c r="CY715"/>
      <c r="CZ715"/>
      <c r="DA715"/>
      <c r="DB715"/>
      <c r="DC715"/>
      <c r="DD715"/>
      <c r="DE715"/>
      <c r="DF715"/>
      <c r="DG715"/>
      <c r="DH715"/>
      <c r="DI715"/>
      <c r="DJ715"/>
      <c r="DK715"/>
      <c r="DL715"/>
      <c r="DM715"/>
      <c r="DN715"/>
      <c r="DO715"/>
      <c r="DP715"/>
      <c r="DQ715"/>
      <c r="DR715"/>
      <c r="DS715"/>
      <c r="DT715"/>
      <c r="DU715"/>
      <c r="DV715"/>
      <c r="DW715"/>
      <c r="DX715"/>
      <c r="DY715"/>
      <c r="DZ715"/>
      <c r="EA715"/>
      <c r="EB715"/>
      <c r="EC715"/>
      <c r="ED715"/>
      <c r="EE715"/>
      <c r="EF715"/>
      <c r="EG715"/>
      <c r="EH715"/>
      <c r="EI715"/>
      <c r="EJ715"/>
      <c r="EK715"/>
      <c r="EL715"/>
      <c r="EM715"/>
      <c r="EN715"/>
      <c r="EO715"/>
      <c r="EP715"/>
      <c r="EQ715"/>
      <c r="ER715"/>
      <c r="ES715"/>
      <c r="ET715"/>
      <c r="EU715"/>
      <c r="EV715"/>
      <c r="EW715"/>
      <c r="EX715"/>
      <c r="EY715"/>
      <c r="EZ715"/>
      <c r="FA715"/>
      <c r="FB715"/>
      <c r="FC715"/>
      <c r="FD715"/>
      <c r="FE715"/>
      <c r="FF715"/>
      <c r="FG715"/>
      <c r="FH715"/>
      <c r="FI715"/>
      <c r="FJ715"/>
      <c r="FK715"/>
      <c r="FL715"/>
      <c r="FM715"/>
      <c r="FN715"/>
      <c r="FO715"/>
      <c r="FP715"/>
      <c r="FQ715"/>
      <c r="FR715"/>
      <c r="FS715"/>
      <c r="FT715"/>
      <c r="FU715"/>
      <c r="FV715"/>
      <c r="FW715"/>
      <c r="FX715"/>
      <c r="FY715"/>
      <c r="FZ715"/>
      <c r="GA715"/>
      <c r="GB715"/>
      <c r="GC715"/>
      <c r="GD715"/>
      <c r="GE715"/>
      <c r="GF715"/>
      <c r="GG715"/>
      <c r="GH715"/>
      <c r="GI715"/>
      <c r="GJ715"/>
      <c r="GK715"/>
      <c r="GL715"/>
      <c r="GM715"/>
      <c r="GN715"/>
      <c r="GO715"/>
      <c r="GP715"/>
      <c r="GQ715"/>
      <c r="GR715"/>
      <c r="GS715"/>
      <c r="GT715"/>
      <c r="GU715"/>
      <c r="GV715"/>
      <c r="GW715"/>
      <c r="GX715"/>
      <c r="GY715"/>
      <c r="GZ715"/>
      <c r="HA715"/>
      <c r="HB715"/>
      <c r="HC715"/>
      <c r="HD715"/>
      <c r="HE715"/>
      <c r="HF715"/>
      <c r="HG715"/>
      <c r="HH715"/>
      <c r="HI715"/>
      <c r="HJ715"/>
      <c r="HK715"/>
      <c r="HL715"/>
      <c r="HM715"/>
      <c r="HN715"/>
      <c r="HO715"/>
      <c r="HP715"/>
      <c r="HQ715"/>
      <c r="HR715"/>
      <c r="HS715"/>
      <c r="HT715"/>
      <c r="HU715"/>
      <c r="HV715"/>
      <c r="HW715"/>
      <c r="HX715"/>
      <c r="HY715"/>
      <c r="HZ715"/>
      <c r="IA715"/>
      <c r="IB715"/>
      <c r="IC715"/>
      <c r="ID715"/>
      <c r="IE715"/>
      <c r="IF715"/>
      <c r="IG715"/>
      <c r="IH715"/>
      <c r="II715"/>
      <c r="IJ715"/>
      <c r="IK715"/>
      <c r="IL715"/>
      <c r="IM715"/>
      <c r="IN715"/>
      <c r="IO715"/>
      <c r="IP715"/>
      <c r="IQ715"/>
      <c r="IR715"/>
      <c r="IS715"/>
      <c r="IT715"/>
      <c r="IU715"/>
      <c r="IV715"/>
    </row>
    <row r="716" spans="1:256" ht="12.75" hidden="1" customHeight="1" x14ac:dyDescent="0.2">
      <c r="A716" s="551"/>
      <c r="B716" s="561" t="s">
        <v>817</v>
      </c>
      <c r="C716" s="560"/>
      <c r="D716" s="562"/>
      <c r="E716" s="579"/>
      <c r="F716" s="580"/>
      <c r="G716" s="127">
        <v>400000</v>
      </c>
      <c r="H716"/>
      <c r="I716"/>
      <c r="J716"/>
      <c r="K716"/>
      <c r="L716"/>
      <c r="M716"/>
      <c r="N716"/>
      <c r="O716"/>
      <c r="P716"/>
      <c r="Q716"/>
      <c r="R716"/>
      <c r="S716"/>
      <c r="T716"/>
      <c r="U716"/>
      <c r="V716"/>
      <c r="W716"/>
      <c r="X716"/>
      <c r="Y716"/>
      <c r="Z716"/>
      <c r="AA716"/>
      <c r="AB716"/>
      <c r="AC716"/>
      <c r="AD716"/>
      <c r="AE716"/>
      <c r="AF716"/>
      <c r="AG716"/>
      <c r="AH716"/>
      <c r="AI716"/>
      <c r="AJ716"/>
      <c r="AK716"/>
      <c r="AL716"/>
      <c r="AM716"/>
      <c r="AN716"/>
      <c r="AO716"/>
      <c r="AP716"/>
      <c r="AQ716"/>
      <c r="AR716"/>
      <c r="AS716"/>
      <c r="AT716"/>
      <c r="AU716"/>
      <c r="AV716"/>
      <c r="AW716"/>
      <c r="AX716"/>
      <c r="AY716"/>
      <c r="AZ716"/>
      <c r="BA716"/>
      <c r="BB716"/>
      <c r="BC716"/>
      <c r="BD716"/>
      <c r="BE716"/>
      <c r="BF716"/>
      <c r="BG716"/>
      <c r="BH716"/>
      <c r="BI716"/>
      <c r="BJ716"/>
      <c r="BK716"/>
      <c r="BL716"/>
      <c r="BM716"/>
      <c r="BN716"/>
      <c r="BO716"/>
      <c r="BP716"/>
      <c r="BQ716"/>
      <c r="BR716"/>
      <c r="BS716"/>
      <c r="BT716"/>
      <c r="BU716"/>
      <c r="BV716"/>
      <c r="BW716"/>
      <c r="BX716"/>
      <c r="BY716"/>
      <c r="BZ716"/>
      <c r="CA716"/>
      <c r="CB716"/>
      <c r="CC716"/>
      <c r="CD716"/>
      <c r="CE716"/>
      <c r="CF716"/>
      <c r="CG716"/>
      <c r="CH716"/>
      <c r="CI716"/>
      <c r="CJ716"/>
      <c r="CK716"/>
      <c r="CL716"/>
      <c r="CM716"/>
      <c r="CN716"/>
      <c r="CO716"/>
      <c r="CP716"/>
      <c r="CQ716"/>
      <c r="CR716"/>
      <c r="CS716"/>
      <c r="CT716"/>
      <c r="CU716"/>
      <c r="CV716"/>
      <c r="CW716"/>
      <c r="CX716"/>
      <c r="CY716"/>
      <c r="CZ716"/>
      <c r="DA716"/>
      <c r="DB716"/>
      <c r="DC716"/>
      <c r="DD716"/>
      <c r="DE716"/>
      <c r="DF716"/>
      <c r="DG716"/>
      <c r="DH716"/>
      <c r="DI716"/>
      <c r="DJ716"/>
      <c r="DK716"/>
      <c r="DL716"/>
      <c r="DM716"/>
      <c r="DN716"/>
      <c r="DO716"/>
      <c r="DP716"/>
      <c r="DQ716"/>
      <c r="DR716"/>
      <c r="DS716"/>
      <c r="DT716"/>
      <c r="DU716"/>
      <c r="DV716"/>
      <c r="DW716"/>
      <c r="DX716"/>
      <c r="DY716"/>
      <c r="DZ716"/>
      <c r="EA716"/>
      <c r="EB716"/>
      <c r="EC716"/>
      <c r="ED716"/>
      <c r="EE716"/>
      <c r="EF716"/>
      <c r="EG716"/>
      <c r="EH716"/>
      <c r="EI716"/>
      <c r="EJ716"/>
      <c r="EK716"/>
      <c r="EL716"/>
      <c r="EM716"/>
      <c r="EN716"/>
      <c r="EO716"/>
      <c r="EP716"/>
      <c r="EQ716"/>
      <c r="ER716"/>
      <c r="ES716"/>
      <c r="ET716"/>
      <c r="EU716"/>
      <c r="EV716"/>
      <c r="EW716"/>
      <c r="EX716"/>
      <c r="EY716"/>
      <c r="EZ716"/>
      <c r="FA716"/>
      <c r="FB716"/>
      <c r="FC716"/>
      <c r="FD716"/>
      <c r="FE716"/>
      <c r="FF716"/>
      <c r="FG716"/>
      <c r="FH716"/>
      <c r="FI716"/>
      <c r="FJ716"/>
      <c r="FK716"/>
      <c r="FL716"/>
      <c r="FM716"/>
      <c r="FN716"/>
      <c r="FO716"/>
      <c r="FP716"/>
      <c r="FQ716"/>
      <c r="FR716"/>
      <c r="FS716"/>
      <c r="FT716"/>
      <c r="FU716"/>
      <c r="FV716"/>
      <c r="FW716"/>
      <c r="FX716"/>
      <c r="FY716"/>
      <c r="FZ716"/>
      <c r="GA716"/>
      <c r="GB716"/>
      <c r="GC716"/>
      <c r="GD716"/>
      <c r="GE716"/>
      <c r="GF716"/>
      <c r="GG716"/>
      <c r="GH716"/>
      <c r="GI716"/>
      <c r="GJ716"/>
      <c r="GK716"/>
      <c r="GL716"/>
      <c r="GM716"/>
      <c r="GN716"/>
      <c r="GO716"/>
      <c r="GP716"/>
      <c r="GQ716"/>
      <c r="GR716"/>
      <c r="GS716"/>
      <c r="GT716"/>
      <c r="GU716"/>
      <c r="GV716"/>
      <c r="GW716"/>
      <c r="GX716"/>
      <c r="GY716"/>
      <c r="GZ716"/>
      <c r="HA716"/>
      <c r="HB716"/>
      <c r="HC716"/>
      <c r="HD716"/>
      <c r="HE716"/>
      <c r="HF716"/>
      <c r="HG716"/>
      <c r="HH716"/>
      <c r="HI716"/>
      <c r="HJ716"/>
      <c r="HK716"/>
      <c r="HL716"/>
      <c r="HM716"/>
      <c r="HN716"/>
      <c r="HO716"/>
      <c r="HP716"/>
      <c r="HQ716"/>
      <c r="HR716"/>
      <c r="HS716"/>
      <c r="HT716"/>
      <c r="HU716"/>
      <c r="HV716"/>
      <c r="HW716"/>
      <c r="HX716"/>
      <c r="HY716"/>
      <c r="HZ716"/>
      <c r="IA716"/>
      <c r="IB716"/>
      <c r="IC716"/>
      <c r="ID716"/>
      <c r="IE716"/>
      <c r="IF716"/>
      <c r="IG716"/>
      <c r="IH716"/>
      <c r="II716"/>
      <c r="IJ716"/>
      <c r="IK716"/>
      <c r="IL716"/>
      <c r="IM716"/>
      <c r="IN716"/>
      <c r="IO716"/>
      <c r="IP716"/>
      <c r="IQ716"/>
      <c r="IR716"/>
      <c r="IS716"/>
      <c r="IT716"/>
      <c r="IU716"/>
      <c r="IV716"/>
    </row>
    <row r="717" spans="1:256" ht="12.75" hidden="1" customHeight="1" x14ac:dyDescent="0.2">
      <c r="A717" s="551"/>
      <c r="B717" s="561" t="s">
        <v>818</v>
      </c>
      <c r="C717" s="560">
        <v>0</v>
      </c>
      <c r="D717" s="562">
        <v>3006650.74</v>
      </c>
      <c r="E717" s="579">
        <v>3006650.74</v>
      </c>
      <c r="F717" s="580">
        <v>3006650.74</v>
      </c>
      <c r="G717" s="127">
        <v>0</v>
      </c>
      <c r="H717"/>
      <c r="I717"/>
      <c r="J717"/>
      <c r="K717"/>
      <c r="L717"/>
      <c r="M717"/>
      <c r="N717"/>
      <c r="O717"/>
      <c r="P717"/>
      <c r="Q717"/>
      <c r="R717"/>
      <c r="S717"/>
      <c r="T717"/>
      <c r="U717"/>
      <c r="V717"/>
      <c r="W717"/>
      <c r="X717"/>
      <c r="Y717"/>
      <c r="Z717"/>
      <c r="AA717"/>
      <c r="AB717"/>
      <c r="AC717"/>
      <c r="AD717"/>
      <c r="AE717"/>
      <c r="AF717"/>
      <c r="AG717"/>
      <c r="AH717"/>
      <c r="AI717"/>
      <c r="AJ717"/>
      <c r="AK717"/>
      <c r="AL717"/>
      <c r="AM717"/>
      <c r="AN717"/>
      <c r="AO717"/>
      <c r="AP717"/>
      <c r="AQ717"/>
      <c r="AR717"/>
      <c r="AS717"/>
      <c r="AT717"/>
      <c r="AU717"/>
      <c r="AV717"/>
      <c r="AW717"/>
      <c r="AX717"/>
      <c r="AY717"/>
      <c r="AZ717"/>
      <c r="BA717"/>
      <c r="BB717"/>
      <c r="BC717"/>
      <c r="BD717"/>
      <c r="BE717"/>
      <c r="BF717"/>
      <c r="BG717"/>
      <c r="BH717"/>
      <c r="BI717"/>
      <c r="BJ717"/>
      <c r="BK717"/>
      <c r="BL717"/>
      <c r="BM717"/>
      <c r="BN717"/>
      <c r="BO717"/>
      <c r="BP717"/>
      <c r="BQ717"/>
      <c r="BR717"/>
      <c r="BS717"/>
      <c r="BT717"/>
      <c r="BU717"/>
      <c r="BV717"/>
      <c r="BW717"/>
      <c r="BX717"/>
      <c r="BY717"/>
      <c r="BZ717"/>
      <c r="CA717"/>
      <c r="CB717"/>
      <c r="CC717"/>
      <c r="CD717"/>
      <c r="CE717"/>
      <c r="CF717"/>
      <c r="CG717"/>
      <c r="CH717"/>
      <c r="CI717"/>
      <c r="CJ717"/>
      <c r="CK717"/>
      <c r="CL717"/>
      <c r="CM717"/>
      <c r="CN717"/>
      <c r="CO717"/>
      <c r="CP717"/>
      <c r="CQ717"/>
      <c r="CR717"/>
      <c r="CS717"/>
      <c r="CT717"/>
      <c r="CU717"/>
      <c r="CV717"/>
      <c r="CW717"/>
      <c r="CX717"/>
      <c r="CY717"/>
      <c r="CZ717"/>
      <c r="DA717"/>
      <c r="DB717"/>
      <c r="DC717"/>
      <c r="DD717"/>
      <c r="DE717"/>
      <c r="DF717"/>
      <c r="DG717"/>
      <c r="DH717"/>
      <c r="DI717"/>
      <c r="DJ717"/>
      <c r="DK717"/>
      <c r="DL717"/>
      <c r="DM717"/>
      <c r="DN717"/>
      <c r="DO717"/>
      <c r="DP717"/>
      <c r="DQ717"/>
      <c r="DR717"/>
      <c r="DS717"/>
      <c r="DT717"/>
      <c r="DU717"/>
      <c r="DV717"/>
      <c r="DW717"/>
      <c r="DX717"/>
      <c r="DY717"/>
      <c r="DZ717"/>
      <c r="EA717"/>
      <c r="EB717"/>
      <c r="EC717"/>
      <c r="ED717"/>
      <c r="EE717"/>
      <c r="EF717"/>
      <c r="EG717"/>
      <c r="EH717"/>
      <c r="EI717"/>
      <c r="EJ717"/>
      <c r="EK717"/>
      <c r="EL717"/>
      <c r="EM717"/>
      <c r="EN717"/>
      <c r="EO717"/>
      <c r="EP717"/>
      <c r="EQ717"/>
      <c r="ER717"/>
      <c r="ES717"/>
      <c r="ET717"/>
      <c r="EU717"/>
      <c r="EV717"/>
      <c r="EW717"/>
      <c r="EX717"/>
      <c r="EY717"/>
      <c r="EZ717"/>
      <c r="FA717"/>
      <c r="FB717"/>
      <c r="FC717"/>
      <c r="FD717"/>
      <c r="FE717"/>
      <c r="FF717"/>
      <c r="FG717"/>
      <c r="FH717"/>
      <c r="FI717"/>
      <c r="FJ717"/>
      <c r="FK717"/>
      <c r="FL717"/>
      <c r="FM717"/>
      <c r="FN717"/>
      <c r="FO717"/>
      <c r="FP717"/>
      <c r="FQ717"/>
      <c r="FR717"/>
      <c r="FS717"/>
      <c r="FT717"/>
      <c r="FU717"/>
      <c r="FV717"/>
      <c r="FW717"/>
      <c r="FX717"/>
      <c r="FY717"/>
      <c r="FZ717"/>
      <c r="GA717"/>
      <c r="GB717"/>
      <c r="GC717"/>
      <c r="GD717"/>
      <c r="GE717"/>
      <c r="GF717"/>
      <c r="GG717"/>
      <c r="GH717"/>
      <c r="GI717"/>
      <c r="GJ717"/>
      <c r="GK717"/>
      <c r="GL717"/>
      <c r="GM717"/>
      <c r="GN717"/>
      <c r="GO717"/>
      <c r="GP717"/>
      <c r="GQ717"/>
      <c r="GR717"/>
      <c r="GS717"/>
      <c r="GT717"/>
      <c r="GU717"/>
      <c r="GV717"/>
      <c r="GW717"/>
      <c r="GX717"/>
      <c r="GY717"/>
      <c r="GZ717"/>
      <c r="HA717"/>
      <c r="HB717"/>
      <c r="HC717"/>
      <c r="HD717"/>
      <c r="HE717"/>
      <c r="HF717"/>
      <c r="HG717"/>
      <c r="HH717"/>
      <c r="HI717"/>
      <c r="HJ717"/>
      <c r="HK717"/>
      <c r="HL717"/>
      <c r="HM717"/>
      <c r="HN717"/>
      <c r="HO717"/>
      <c r="HP717"/>
      <c r="HQ717"/>
      <c r="HR717"/>
      <c r="HS717"/>
      <c r="HT717"/>
      <c r="HU717"/>
      <c r="HV717"/>
      <c r="HW717"/>
      <c r="HX717"/>
      <c r="HY717"/>
      <c r="HZ717"/>
      <c r="IA717"/>
      <c r="IB717"/>
      <c r="IC717"/>
      <c r="ID717"/>
      <c r="IE717"/>
      <c r="IF717"/>
      <c r="IG717"/>
      <c r="IH717"/>
      <c r="II717"/>
      <c r="IJ717"/>
      <c r="IK717"/>
      <c r="IL717"/>
      <c r="IM717"/>
      <c r="IN717"/>
      <c r="IO717"/>
      <c r="IP717"/>
      <c r="IQ717"/>
      <c r="IR717"/>
      <c r="IS717"/>
      <c r="IT717"/>
      <c r="IU717"/>
      <c r="IV717"/>
    </row>
    <row r="718" spans="1:256" ht="12.75" hidden="1" customHeight="1" x14ac:dyDescent="0.2">
      <c r="A718" s="551"/>
      <c r="B718" s="557" t="s">
        <v>819</v>
      </c>
      <c r="C718" s="553">
        <f>C719+C720</f>
        <v>20713000</v>
      </c>
      <c r="D718" s="581">
        <f>D719+D720</f>
        <v>21313000</v>
      </c>
      <c r="E718" s="581">
        <f>E719+E720</f>
        <v>19813000</v>
      </c>
      <c r="F718" s="582">
        <f>SUM(F719:F721)</f>
        <v>14585691</v>
      </c>
      <c r="G718" s="555">
        <f>SUM(G719:G721)</f>
        <v>23187000</v>
      </c>
      <c r="H718"/>
      <c r="I718"/>
      <c r="J718"/>
      <c r="K718"/>
      <c r="L718"/>
      <c r="M718"/>
      <c r="N718"/>
      <c r="O718"/>
      <c r="P718"/>
      <c r="Q718"/>
      <c r="R718"/>
      <c r="S718"/>
      <c r="T718"/>
      <c r="U718"/>
      <c r="V718"/>
      <c r="W718"/>
      <c r="X718"/>
      <c r="Y718"/>
      <c r="Z718"/>
      <c r="AA718"/>
      <c r="AB718"/>
      <c r="AC718"/>
      <c r="AD718"/>
      <c r="AE718"/>
      <c r="AF718"/>
      <c r="AG718"/>
      <c r="AH718"/>
      <c r="AI718"/>
      <c r="AJ718"/>
      <c r="AK718"/>
      <c r="AL718"/>
      <c r="AM718"/>
      <c r="AN718"/>
      <c r="AO718"/>
      <c r="AP718"/>
      <c r="AQ718"/>
      <c r="AR718"/>
      <c r="AS718"/>
      <c r="AT718"/>
      <c r="AU718"/>
      <c r="AV718"/>
      <c r="AW718"/>
      <c r="AX718"/>
      <c r="AY718"/>
      <c r="AZ718"/>
      <c r="BA718"/>
      <c r="BB718"/>
      <c r="BC718"/>
      <c r="BD718"/>
      <c r="BE718"/>
      <c r="BF718"/>
      <c r="BG718"/>
      <c r="BH718"/>
      <c r="BI718"/>
      <c r="BJ718"/>
      <c r="BK718"/>
      <c r="BL718"/>
      <c r="BM718"/>
      <c r="BN718"/>
      <c r="BO718"/>
      <c r="BP718"/>
      <c r="BQ718"/>
      <c r="BR718"/>
      <c r="BS718"/>
      <c r="BT718"/>
      <c r="BU718"/>
      <c r="BV718"/>
      <c r="BW718"/>
      <c r="BX718"/>
      <c r="BY718"/>
      <c r="BZ718"/>
      <c r="CA718"/>
      <c r="CB718"/>
      <c r="CC718"/>
      <c r="CD718"/>
      <c r="CE718"/>
      <c r="CF718"/>
      <c r="CG718"/>
      <c r="CH718"/>
      <c r="CI718"/>
      <c r="CJ718"/>
      <c r="CK718"/>
      <c r="CL718"/>
      <c r="CM718"/>
      <c r="CN718"/>
      <c r="CO718"/>
      <c r="CP718"/>
      <c r="CQ718"/>
      <c r="CR718"/>
      <c r="CS718"/>
      <c r="CT718"/>
      <c r="CU718"/>
      <c r="CV718"/>
      <c r="CW718"/>
      <c r="CX718"/>
      <c r="CY718"/>
      <c r="CZ718"/>
      <c r="DA718"/>
      <c r="DB718"/>
      <c r="DC718"/>
      <c r="DD718"/>
      <c r="DE718"/>
      <c r="DF718"/>
      <c r="DG718"/>
      <c r="DH718"/>
      <c r="DI718"/>
      <c r="DJ718"/>
      <c r="DK718"/>
      <c r="DL718"/>
      <c r="DM718"/>
      <c r="DN718"/>
      <c r="DO718"/>
      <c r="DP718"/>
      <c r="DQ718"/>
      <c r="DR718"/>
      <c r="DS718"/>
      <c r="DT718"/>
      <c r="DU718"/>
      <c r="DV718"/>
      <c r="DW718"/>
      <c r="DX718"/>
      <c r="DY718"/>
      <c r="DZ718"/>
      <c r="EA718"/>
      <c r="EB718"/>
      <c r="EC718"/>
      <c r="ED718"/>
      <c r="EE718"/>
      <c r="EF718"/>
      <c r="EG718"/>
      <c r="EH718"/>
      <c r="EI718"/>
      <c r="EJ718"/>
      <c r="EK718"/>
      <c r="EL718"/>
      <c r="EM718"/>
      <c r="EN718"/>
      <c r="EO718"/>
      <c r="EP718"/>
      <c r="EQ718"/>
      <c r="ER718"/>
      <c r="ES718"/>
      <c r="ET718"/>
      <c r="EU718"/>
      <c r="EV718"/>
      <c r="EW718"/>
      <c r="EX718"/>
      <c r="EY718"/>
      <c r="EZ718"/>
      <c r="FA718"/>
      <c r="FB718"/>
      <c r="FC718"/>
      <c r="FD718"/>
      <c r="FE718"/>
      <c r="FF718"/>
      <c r="FG718"/>
      <c r="FH718"/>
      <c r="FI718"/>
      <c r="FJ718"/>
      <c r="FK718"/>
      <c r="FL718"/>
      <c r="FM718"/>
      <c r="FN718"/>
      <c r="FO718"/>
      <c r="FP718"/>
      <c r="FQ718"/>
      <c r="FR718"/>
      <c r="FS718"/>
      <c r="FT718"/>
      <c r="FU718"/>
      <c r="FV718"/>
      <c r="FW718"/>
      <c r="FX718"/>
      <c r="FY718"/>
      <c r="FZ718"/>
      <c r="GA718"/>
      <c r="GB718"/>
      <c r="GC718"/>
      <c r="GD718"/>
      <c r="GE718"/>
      <c r="GF718"/>
      <c r="GG718"/>
      <c r="GH718"/>
      <c r="GI718"/>
      <c r="GJ718"/>
      <c r="GK718"/>
      <c r="GL718"/>
      <c r="GM718"/>
      <c r="GN718"/>
      <c r="GO718"/>
      <c r="GP718"/>
      <c r="GQ718"/>
      <c r="GR718"/>
      <c r="GS718"/>
      <c r="GT718"/>
      <c r="GU718"/>
      <c r="GV718"/>
      <c r="GW718"/>
      <c r="GX718"/>
      <c r="GY718"/>
      <c r="GZ718"/>
      <c r="HA718"/>
      <c r="HB718"/>
      <c r="HC718"/>
      <c r="HD718"/>
      <c r="HE718"/>
      <c r="HF718"/>
      <c r="HG718"/>
      <c r="HH718"/>
      <c r="HI718"/>
      <c r="HJ718"/>
      <c r="HK718"/>
      <c r="HL718"/>
      <c r="HM718"/>
      <c r="HN718"/>
      <c r="HO718"/>
      <c r="HP718"/>
      <c r="HQ718"/>
      <c r="HR718"/>
      <c r="HS718"/>
      <c r="HT718"/>
      <c r="HU718"/>
      <c r="HV718"/>
      <c r="HW718"/>
      <c r="HX718"/>
      <c r="HY718"/>
      <c r="HZ718"/>
      <c r="IA718"/>
      <c r="IB718"/>
      <c r="IC718"/>
      <c r="ID718"/>
      <c r="IE718"/>
      <c r="IF718"/>
      <c r="IG718"/>
      <c r="IH718"/>
      <c r="II718"/>
      <c r="IJ718"/>
      <c r="IK718"/>
      <c r="IL718"/>
      <c r="IM718"/>
      <c r="IN718"/>
      <c r="IO718"/>
      <c r="IP718"/>
      <c r="IQ718"/>
      <c r="IR718"/>
      <c r="IS718"/>
      <c r="IT718"/>
      <c r="IU718"/>
      <c r="IV718"/>
    </row>
    <row r="719" spans="1:256" ht="12.75" hidden="1" customHeight="1" x14ac:dyDescent="0.2">
      <c r="A719" s="583"/>
      <c r="B719" s="584" t="s">
        <v>820</v>
      </c>
      <c r="C719" s="560">
        <f>21000000-300000</f>
        <v>20700000</v>
      </c>
      <c r="D719" s="562">
        <f>(21000000-300000)+600000</f>
        <v>21300000</v>
      </c>
      <c r="E719" s="579">
        <v>19800000</v>
      </c>
      <c r="F719" s="580">
        <v>14585691</v>
      </c>
      <c r="G719" s="127">
        <v>23142000</v>
      </c>
      <c r="H719"/>
      <c r="I719"/>
      <c r="J719"/>
      <c r="K719"/>
      <c r="L719"/>
      <c r="M719"/>
      <c r="N719"/>
      <c r="O719"/>
      <c r="P719"/>
      <c r="Q719"/>
      <c r="R719"/>
      <c r="S719"/>
      <c r="T719"/>
      <c r="U719"/>
      <c r="V719"/>
      <c r="W719"/>
      <c r="X719"/>
      <c r="Y719"/>
      <c r="Z719"/>
      <c r="AA719"/>
      <c r="AB719"/>
      <c r="AC719"/>
      <c r="AD719"/>
      <c r="AE719"/>
      <c r="AF719"/>
      <c r="AG719"/>
      <c r="AH719"/>
      <c r="AI719"/>
      <c r="AJ719"/>
      <c r="AK719"/>
      <c r="AL719"/>
      <c r="AM719"/>
      <c r="AN719"/>
      <c r="AO719"/>
      <c r="AP719"/>
      <c r="AQ719"/>
      <c r="AR719"/>
      <c r="AS719"/>
      <c r="AT719"/>
      <c r="AU719"/>
      <c r="AV719"/>
      <c r="AW719"/>
      <c r="AX719"/>
      <c r="AY719"/>
      <c r="AZ719"/>
      <c r="BA719"/>
      <c r="BB719"/>
      <c r="BC719"/>
      <c r="BD719"/>
      <c r="BE719"/>
      <c r="BF719"/>
      <c r="BG719"/>
      <c r="BH719"/>
      <c r="BI719"/>
      <c r="BJ719"/>
      <c r="BK719"/>
      <c r="BL719"/>
      <c r="BM719"/>
      <c r="BN719"/>
      <c r="BO719"/>
      <c r="BP719"/>
      <c r="BQ719"/>
      <c r="BR719"/>
      <c r="BS719"/>
      <c r="BT719"/>
      <c r="BU719"/>
      <c r="BV719"/>
      <c r="BW719"/>
      <c r="BX719"/>
      <c r="BY719"/>
      <c r="BZ719"/>
      <c r="CA719"/>
      <c r="CB719"/>
      <c r="CC719"/>
      <c r="CD719"/>
      <c r="CE719"/>
      <c r="CF719"/>
      <c r="CG719"/>
      <c r="CH719"/>
      <c r="CI719"/>
      <c r="CJ719"/>
      <c r="CK719"/>
      <c r="CL719"/>
      <c r="CM719"/>
      <c r="CN719"/>
      <c r="CO719"/>
      <c r="CP719"/>
      <c r="CQ719"/>
      <c r="CR719"/>
      <c r="CS719"/>
      <c r="CT719"/>
      <c r="CU719"/>
      <c r="CV719"/>
      <c r="CW719"/>
      <c r="CX719"/>
      <c r="CY719"/>
      <c r="CZ719"/>
      <c r="DA719"/>
      <c r="DB719"/>
      <c r="DC719"/>
      <c r="DD719"/>
      <c r="DE719"/>
      <c r="DF719"/>
      <c r="DG719"/>
      <c r="DH719"/>
      <c r="DI719"/>
      <c r="DJ719"/>
      <c r="DK719"/>
      <c r="DL719"/>
      <c r="DM719"/>
      <c r="DN719"/>
      <c r="DO719"/>
      <c r="DP719"/>
      <c r="DQ719"/>
      <c r="DR719"/>
      <c r="DS719"/>
      <c r="DT719"/>
      <c r="DU719"/>
      <c r="DV719"/>
      <c r="DW719"/>
      <c r="DX719"/>
      <c r="DY719"/>
      <c r="DZ719"/>
      <c r="EA719"/>
      <c r="EB719"/>
      <c r="EC719"/>
      <c r="ED719"/>
      <c r="EE719"/>
      <c r="EF719"/>
      <c r="EG719"/>
      <c r="EH719"/>
      <c r="EI719"/>
      <c r="EJ719"/>
      <c r="EK719"/>
      <c r="EL719"/>
      <c r="EM719"/>
      <c r="EN719"/>
      <c r="EO719"/>
      <c r="EP719"/>
      <c r="EQ719"/>
      <c r="ER719"/>
      <c r="ES719"/>
      <c r="ET719"/>
      <c r="EU719"/>
      <c r="EV719"/>
      <c r="EW719"/>
      <c r="EX719"/>
      <c r="EY719"/>
      <c r="EZ719"/>
      <c r="FA719"/>
      <c r="FB719"/>
      <c r="FC719"/>
      <c r="FD719"/>
      <c r="FE719"/>
      <c r="FF719"/>
      <c r="FG719"/>
      <c r="FH719"/>
      <c r="FI719"/>
      <c r="FJ719"/>
      <c r="FK719"/>
      <c r="FL719"/>
      <c r="FM719"/>
      <c r="FN719"/>
      <c r="FO719"/>
      <c r="FP719"/>
      <c r="FQ719"/>
      <c r="FR719"/>
      <c r="FS719"/>
      <c r="FT719"/>
      <c r="FU719"/>
      <c r="FV719"/>
      <c r="FW719"/>
      <c r="FX719"/>
      <c r="FY719"/>
      <c r="FZ719"/>
      <c r="GA719"/>
      <c r="GB719"/>
      <c r="GC719"/>
      <c r="GD719"/>
      <c r="GE719"/>
      <c r="GF719"/>
      <c r="GG719"/>
      <c r="GH719"/>
      <c r="GI719"/>
      <c r="GJ719"/>
      <c r="GK719"/>
      <c r="GL719"/>
      <c r="GM719"/>
      <c r="GN719"/>
      <c r="GO719"/>
      <c r="GP719"/>
      <c r="GQ719"/>
      <c r="GR719"/>
      <c r="GS719"/>
      <c r="GT719"/>
      <c r="GU719"/>
      <c r="GV719"/>
      <c r="GW719"/>
      <c r="GX719"/>
      <c r="GY719"/>
      <c r="GZ719"/>
      <c r="HA719"/>
      <c r="HB719"/>
      <c r="HC719"/>
      <c r="HD719"/>
      <c r="HE719"/>
      <c r="HF719"/>
      <c r="HG719"/>
      <c r="HH719"/>
      <c r="HI719"/>
      <c r="HJ719"/>
      <c r="HK719"/>
      <c r="HL719"/>
      <c r="HM719"/>
      <c r="HN719"/>
      <c r="HO719"/>
      <c r="HP719"/>
      <c r="HQ719"/>
      <c r="HR719"/>
      <c r="HS719"/>
      <c r="HT719"/>
      <c r="HU719"/>
      <c r="HV719"/>
      <c r="HW719"/>
      <c r="HX719"/>
      <c r="HY719"/>
      <c r="HZ719"/>
      <c r="IA719"/>
      <c r="IB719"/>
      <c r="IC719"/>
      <c r="ID719"/>
      <c r="IE719"/>
      <c r="IF719"/>
      <c r="IG719"/>
      <c r="IH719"/>
      <c r="II719"/>
      <c r="IJ719"/>
      <c r="IK719"/>
      <c r="IL719"/>
      <c r="IM719"/>
      <c r="IN719"/>
      <c r="IO719"/>
      <c r="IP719"/>
      <c r="IQ719"/>
      <c r="IR719"/>
      <c r="IS719"/>
      <c r="IT719"/>
      <c r="IU719"/>
      <c r="IV719"/>
    </row>
    <row r="720" spans="1:256" ht="12.75" hidden="1" customHeight="1" x14ac:dyDescent="0.2">
      <c r="A720" s="583"/>
      <c r="B720" s="557" t="s">
        <v>821</v>
      </c>
      <c r="C720" s="560">
        <v>13000</v>
      </c>
      <c r="D720" s="562">
        <v>13000</v>
      </c>
      <c r="E720" s="579">
        <v>13000</v>
      </c>
      <c r="F720" s="580">
        <v>0</v>
      </c>
      <c r="G720" s="127">
        <v>13000</v>
      </c>
      <c r="H720"/>
      <c r="I720"/>
      <c r="J720"/>
      <c r="K720"/>
      <c r="L720"/>
      <c r="M720"/>
      <c r="N720"/>
      <c r="O720"/>
      <c r="P720"/>
      <c r="Q720"/>
      <c r="R720"/>
      <c r="S720"/>
      <c r="T720"/>
      <c r="U720"/>
      <c r="V720"/>
      <c r="W720"/>
      <c r="X720"/>
      <c r="Y720"/>
      <c r="Z720"/>
      <c r="AA720"/>
      <c r="AB720"/>
      <c r="AC720"/>
      <c r="AD720"/>
      <c r="AE720"/>
      <c r="AF720"/>
      <c r="AG720"/>
      <c r="AH720"/>
      <c r="AI720"/>
      <c r="AJ720"/>
      <c r="AK720"/>
      <c r="AL720"/>
      <c r="AM720"/>
      <c r="AN720"/>
      <c r="AO720"/>
      <c r="AP720"/>
      <c r="AQ720"/>
      <c r="AR720"/>
      <c r="AS720"/>
      <c r="AT720"/>
      <c r="AU720"/>
      <c r="AV720"/>
      <c r="AW720"/>
      <c r="AX720"/>
      <c r="AY720"/>
      <c r="AZ720"/>
      <c r="BA720"/>
      <c r="BB720"/>
      <c r="BC720"/>
      <c r="BD720"/>
      <c r="BE720"/>
      <c r="BF720"/>
      <c r="BG720"/>
      <c r="BH720"/>
      <c r="BI720"/>
      <c r="BJ720"/>
      <c r="BK720"/>
      <c r="BL720"/>
      <c r="BM720"/>
      <c r="BN720"/>
      <c r="BO720"/>
      <c r="BP720"/>
      <c r="BQ720"/>
      <c r="BR720"/>
      <c r="BS720"/>
      <c r="BT720"/>
      <c r="BU720"/>
      <c r="BV720"/>
      <c r="BW720"/>
      <c r="BX720"/>
      <c r="BY720"/>
      <c r="BZ720"/>
      <c r="CA720"/>
      <c r="CB720"/>
      <c r="CC720"/>
      <c r="CD720"/>
      <c r="CE720"/>
      <c r="CF720"/>
      <c r="CG720"/>
      <c r="CH720"/>
      <c r="CI720"/>
      <c r="CJ720"/>
      <c r="CK720"/>
      <c r="CL720"/>
      <c r="CM720"/>
      <c r="CN720"/>
      <c r="CO720"/>
      <c r="CP720"/>
      <c r="CQ720"/>
      <c r="CR720"/>
      <c r="CS720"/>
      <c r="CT720"/>
      <c r="CU720"/>
      <c r="CV720"/>
      <c r="CW720"/>
      <c r="CX720"/>
      <c r="CY720"/>
      <c r="CZ720"/>
      <c r="DA720"/>
      <c r="DB720"/>
      <c r="DC720"/>
      <c r="DD720"/>
      <c r="DE720"/>
      <c r="DF720"/>
      <c r="DG720"/>
      <c r="DH720"/>
      <c r="DI720"/>
      <c r="DJ720"/>
      <c r="DK720"/>
      <c r="DL720"/>
      <c r="DM720"/>
      <c r="DN720"/>
      <c r="DO720"/>
      <c r="DP720"/>
      <c r="DQ720"/>
      <c r="DR720"/>
      <c r="DS720"/>
      <c r="DT720"/>
      <c r="DU720"/>
      <c r="DV720"/>
      <c r="DW720"/>
      <c r="DX720"/>
      <c r="DY720"/>
      <c r="DZ720"/>
      <c r="EA720"/>
      <c r="EB720"/>
      <c r="EC720"/>
      <c r="ED720"/>
      <c r="EE720"/>
      <c r="EF720"/>
      <c r="EG720"/>
      <c r="EH720"/>
      <c r="EI720"/>
      <c r="EJ720"/>
      <c r="EK720"/>
      <c r="EL720"/>
      <c r="EM720"/>
      <c r="EN720"/>
      <c r="EO720"/>
      <c r="EP720"/>
      <c r="EQ720"/>
      <c r="ER720"/>
      <c r="ES720"/>
      <c r="ET720"/>
      <c r="EU720"/>
      <c r="EV720"/>
      <c r="EW720"/>
      <c r="EX720"/>
      <c r="EY720"/>
      <c r="EZ720"/>
      <c r="FA720"/>
      <c r="FB720"/>
      <c r="FC720"/>
      <c r="FD720"/>
      <c r="FE720"/>
      <c r="FF720"/>
      <c r="FG720"/>
      <c r="FH720"/>
      <c r="FI720"/>
      <c r="FJ720"/>
      <c r="FK720"/>
      <c r="FL720"/>
      <c r="FM720"/>
      <c r="FN720"/>
      <c r="FO720"/>
      <c r="FP720"/>
      <c r="FQ720"/>
      <c r="FR720"/>
      <c r="FS720"/>
      <c r="FT720"/>
      <c r="FU720"/>
      <c r="FV720"/>
      <c r="FW720"/>
      <c r="FX720"/>
      <c r="FY720"/>
      <c r="FZ720"/>
      <c r="GA720"/>
      <c r="GB720"/>
      <c r="GC720"/>
      <c r="GD720"/>
      <c r="GE720"/>
      <c r="GF720"/>
      <c r="GG720"/>
      <c r="GH720"/>
      <c r="GI720"/>
      <c r="GJ720"/>
      <c r="GK720"/>
      <c r="GL720"/>
      <c r="GM720"/>
      <c r="GN720"/>
      <c r="GO720"/>
      <c r="GP720"/>
      <c r="GQ720"/>
      <c r="GR720"/>
      <c r="GS720"/>
      <c r="GT720"/>
      <c r="GU720"/>
      <c r="GV720"/>
      <c r="GW720"/>
      <c r="GX720"/>
      <c r="GY720"/>
      <c r="GZ720"/>
      <c r="HA720"/>
      <c r="HB720"/>
      <c r="HC720"/>
      <c r="HD720"/>
      <c r="HE720"/>
      <c r="HF720"/>
      <c r="HG720"/>
      <c r="HH720"/>
      <c r="HI720"/>
      <c r="HJ720"/>
      <c r="HK720"/>
      <c r="HL720"/>
      <c r="HM720"/>
      <c r="HN720"/>
      <c r="HO720"/>
      <c r="HP720"/>
      <c r="HQ720"/>
      <c r="HR720"/>
      <c r="HS720"/>
      <c r="HT720"/>
      <c r="HU720"/>
      <c r="HV720"/>
      <c r="HW720"/>
      <c r="HX720"/>
      <c r="HY720"/>
      <c r="HZ720"/>
      <c r="IA720"/>
      <c r="IB720"/>
      <c r="IC720"/>
      <c r="ID720"/>
      <c r="IE720"/>
      <c r="IF720"/>
      <c r="IG720"/>
      <c r="IH720"/>
      <c r="II720"/>
      <c r="IJ720"/>
      <c r="IK720"/>
      <c r="IL720"/>
      <c r="IM720"/>
      <c r="IN720"/>
      <c r="IO720"/>
      <c r="IP720"/>
      <c r="IQ720"/>
      <c r="IR720"/>
      <c r="IS720"/>
      <c r="IT720"/>
      <c r="IU720"/>
      <c r="IV720"/>
    </row>
    <row r="721" spans="1:256" ht="12.75" hidden="1" customHeight="1" x14ac:dyDescent="0.2">
      <c r="A721" s="583"/>
      <c r="B721" s="557" t="s">
        <v>822</v>
      </c>
      <c r="C721" s="560"/>
      <c r="D721" s="562"/>
      <c r="E721" s="579"/>
      <c r="F721" s="580"/>
      <c r="G721" s="127">
        <v>32000</v>
      </c>
      <c r="H721"/>
      <c r="I721"/>
      <c r="J721"/>
      <c r="K721"/>
      <c r="L721"/>
      <c r="M721"/>
      <c r="N721"/>
      <c r="O721"/>
      <c r="P721"/>
      <c r="Q721"/>
      <c r="R721"/>
      <c r="S721"/>
      <c r="T721"/>
      <c r="U721"/>
      <c r="V721"/>
      <c r="W721"/>
      <c r="X721"/>
      <c r="Y721"/>
      <c r="Z721"/>
      <c r="AA721"/>
      <c r="AB721"/>
      <c r="AC721"/>
      <c r="AD721"/>
      <c r="AE721"/>
      <c r="AF721"/>
      <c r="AG721"/>
      <c r="AH721"/>
      <c r="AI721"/>
      <c r="AJ721"/>
      <c r="AK721"/>
      <c r="AL721"/>
      <c r="AM721"/>
      <c r="AN721"/>
      <c r="AO721"/>
      <c r="AP721"/>
      <c r="AQ721"/>
      <c r="AR721"/>
      <c r="AS721"/>
      <c r="AT721"/>
      <c r="AU721"/>
      <c r="AV721"/>
      <c r="AW721"/>
      <c r="AX721"/>
      <c r="AY721"/>
      <c r="AZ721"/>
      <c r="BA721"/>
      <c r="BB721"/>
      <c r="BC721"/>
      <c r="BD721"/>
      <c r="BE721"/>
      <c r="BF721"/>
      <c r="BG721"/>
      <c r="BH721"/>
      <c r="BI721"/>
      <c r="BJ721"/>
      <c r="BK721"/>
      <c r="BL721"/>
      <c r="BM721"/>
      <c r="BN721"/>
      <c r="BO721"/>
      <c r="BP721"/>
      <c r="BQ721"/>
      <c r="BR721"/>
      <c r="BS721"/>
      <c r="BT721"/>
      <c r="BU721"/>
      <c r="BV721"/>
      <c r="BW721"/>
      <c r="BX721"/>
      <c r="BY721"/>
      <c r="BZ721"/>
      <c r="CA721"/>
      <c r="CB721"/>
      <c r="CC721"/>
      <c r="CD721"/>
      <c r="CE721"/>
      <c r="CF721"/>
      <c r="CG721"/>
      <c r="CH721"/>
      <c r="CI721"/>
      <c r="CJ721"/>
      <c r="CK721"/>
      <c r="CL721"/>
      <c r="CM721"/>
      <c r="CN721"/>
      <c r="CO721"/>
      <c r="CP721"/>
      <c r="CQ721"/>
      <c r="CR721"/>
      <c r="CS721"/>
      <c r="CT721"/>
      <c r="CU721"/>
      <c r="CV721"/>
      <c r="CW721"/>
      <c r="CX721"/>
      <c r="CY721"/>
      <c r="CZ721"/>
      <c r="DA721"/>
      <c r="DB721"/>
      <c r="DC721"/>
      <c r="DD721"/>
      <c r="DE721"/>
      <c r="DF721"/>
      <c r="DG721"/>
      <c r="DH721"/>
      <c r="DI721"/>
      <c r="DJ721"/>
      <c r="DK721"/>
      <c r="DL721"/>
      <c r="DM721"/>
      <c r="DN721"/>
      <c r="DO721"/>
      <c r="DP721"/>
      <c r="DQ721"/>
      <c r="DR721"/>
      <c r="DS721"/>
      <c r="DT721"/>
      <c r="DU721"/>
      <c r="DV721"/>
      <c r="DW721"/>
      <c r="DX721"/>
      <c r="DY721"/>
      <c r="DZ721"/>
      <c r="EA721"/>
      <c r="EB721"/>
      <c r="EC721"/>
      <c r="ED721"/>
      <c r="EE721"/>
      <c r="EF721"/>
      <c r="EG721"/>
      <c r="EH721"/>
      <c r="EI721"/>
      <c r="EJ721"/>
      <c r="EK721"/>
      <c r="EL721"/>
      <c r="EM721"/>
      <c r="EN721"/>
      <c r="EO721"/>
      <c r="EP721"/>
      <c r="EQ721"/>
      <c r="ER721"/>
      <c r="ES721"/>
      <c r="ET721"/>
      <c r="EU721"/>
      <c r="EV721"/>
      <c r="EW721"/>
      <c r="EX721"/>
      <c r="EY721"/>
      <c r="EZ721"/>
      <c r="FA721"/>
      <c r="FB721"/>
      <c r="FC721"/>
      <c r="FD721"/>
      <c r="FE721"/>
      <c r="FF721"/>
      <c r="FG721"/>
      <c r="FH721"/>
      <c r="FI721"/>
      <c r="FJ721"/>
      <c r="FK721"/>
      <c r="FL721"/>
      <c r="FM721"/>
      <c r="FN721"/>
      <c r="FO721"/>
      <c r="FP721"/>
      <c r="FQ721"/>
      <c r="FR721"/>
      <c r="FS721"/>
      <c r="FT721"/>
      <c r="FU721"/>
      <c r="FV721"/>
      <c r="FW721"/>
      <c r="FX721"/>
      <c r="FY721"/>
      <c r="FZ721"/>
      <c r="GA721"/>
      <c r="GB721"/>
      <c r="GC721"/>
      <c r="GD721"/>
      <c r="GE721"/>
      <c r="GF721"/>
      <c r="GG721"/>
      <c r="GH721"/>
      <c r="GI721"/>
      <c r="GJ721"/>
      <c r="GK721"/>
      <c r="GL721"/>
      <c r="GM721"/>
      <c r="GN721"/>
      <c r="GO721"/>
      <c r="GP721"/>
      <c r="GQ721"/>
      <c r="GR721"/>
      <c r="GS721"/>
      <c r="GT721"/>
      <c r="GU721"/>
      <c r="GV721"/>
      <c r="GW721"/>
      <c r="GX721"/>
      <c r="GY721"/>
      <c r="GZ721"/>
      <c r="HA721"/>
      <c r="HB721"/>
      <c r="HC721"/>
      <c r="HD721"/>
      <c r="HE721"/>
      <c r="HF721"/>
      <c r="HG721"/>
      <c r="HH721"/>
      <c r="HI721"/>
      <c r="HJ721"/>
      <c r="HK721"/>
      <c r="HL721"/>
      <c r="HM721"/>
      <c r="HN721"/>
      <c r="HO721"/>
      <c r="HP721"/>
      <c r="HQ721"/>
      <c r="HR721"/>
      <c r="HS721"/>
      <c r="HT721"/>
      <c r="HU721"/>
      <c r="HV721"/>
      <c r="HW721"/>
      <c r="HX721"/>
      <c r="HY721"/>
      <c r="HZ721"/>
      <c r="IA721"/>
      <c r="IB721"/>
      <c r="IC721"/>
      <c r="ID721"/>
      <c r="IE721"/>
      <c r="IF721"/>
      <c r="IG721"/>
      <c r="IH721"/>
      <c r="II721"/>
      <c r="IJ721"/>
      <c r="IK721"/>
      <c r="IL721"/>
      <c r="IM721"/>
      <c r="IN721"/>
      <c r="IO721"/>
      <c r="IP721"/>
      <c r="IQ721"/>
      <c r="IR721"/>
      <c r="IS721"/>
      <c r="IT721"/>
      <c r="IU721"/>
      <c r="IV721"/>
    </row>
    <row r="722" spans="1:256" ht="12.75" hidden="1" customHeight="1" x14ac:dyDescent="0.2">
      <c r="A722" s="583"/>
      <c r="B722" s="585" t="s">
        <v>823</v>
      </c>
      <c r="C722" s="555">
        <f>C723+C726+C730</f>
        <v>61950000</v>
      </c>
      <c r="D722" s="581">
        <f>D723+D726+D730</f>
        <v>64950000</v>
      </c>
      <c r="E722" s="581">
        <f>E723+E726+E730</f>
        <v>65750000</v>
      </c>
      <c r="F722" s="582">
        <f>F723+F726+F730</f>
        <v>30990033.010000002</v>
      </c>
      <c r="G722" s="555">
        <f>G723+G726+G730</f>
        <v>12834000</v>
      </c>
      <c r="H722"/>
      <c r="I722"/>
      <c r="J722"/>
      <c r="K722"/>
      <c r="L722"/>
      <c r="M722"/>
      <c r="N722"/>
      <c r="O722"/>
      <c r="P722"/>
      <c r="Q722"/>
      <c r="R722"/>
      <c r="S722"/>
      <c r="T722"/>
      <c r="U722"/>
      <c r="V722"/>
      <c r="W722"/>
      <c r="X722"/>
      <c r="Y722"/>
      <c r="Z722"/>
      <c r="AA722"/>
      <c r="AB722"/>
      <c r="AC722"/>
      <c r="AD722"/>
      <c r="AE722"/>
      <c r="AF722"/>
      <c r="AG722"/>
      <c r="AH722"/>
      <c r="AI722"/>
      <c r="AJ722"/>
      <c r="AK722"/>
      <c r="AL722"/>
      <c r="AM722"/>
      <c r="AN722"/>
      <c r="AO722"/>
      <c r="AP722"/>
      <c r="AQ722"/>
      <c r="AR722"/>
      <c r="AS722"/>
      <c r="AT722"/>
      <c r="AU722"/>
      <c r="AV722"/>
      <c r="AW722"/>
      <c r="AX722"/>
      <c r="AY722"/>
      <c r="AZ722"/>
      <c r="BA722"/>
      <c r="BB722"/>
      <c r="BC722"/>
      <c r="BD722"/>
      <c r="BE722"/>
      <c r="BF722"/>
      <c r="BG722"/>
      <c r="BH722"/>
      <c r="BI722"/>
      <c r="BJ722"/>
      <c r="BK722"/>
      <c r="BL722"/>
      <c r="BM722"/>
      <c r="BN722"/>
      <c r="BO722"/>
      <c r="BP722"/>
      <c r="BQ722"/>
      <c r="BR722"/>
      <c r="BS722"/>
      <c r="BT722"/>
      <c r="BU722"/>
      <c r="BV722"/>
      <c r="BW722"/>
      <c r="BX722"/>
      <c r="BY722"/>
      <c r="BZ722"/>
      <c r="CA722"/>
      <c r="CB722"/>
      <c r="CC722"/>
      <c r="CD722"/>
      <c r="CE722"/>
      <c r="CF722"/>
      <c r="CG722"/>
      <c r="CH722"/>
      <c r="CI722"/>
      <c r="CJ722"/>
      <c r="CK722"/>
      <c r="CL722"/>
      <c r="CM722"/>
      <c r="CN722"/>
      <c r="CO722"/>
      <c r="CP722"/>
      <c r="CQ722"/>
      <c r="CR722"/>
      <c r="CS722"/>
      <c r="CT722"/>
      <c r="CU722"/>
      <c r="CV722"/>
      <c r="CW722"/>
      <c r="CX722"/>
      <c r="CY722"/>
      <c r="CZ722"/>
      <c r="DA722"/>
      <c r="DB722"/>
      <c r="DC722"/>
      <c r="DD722"/>
      <c r="DE722"/>
      <c r="DF722"/>
      <c r="DG722"/>
      <c r="DH722"/>
      <c r="DI722"/>
      <c r="DJ722"/>
      <c r="DK722"/>
      <c r="DL722"/>
      <c r="DM722"/>
      <c r="DN722"/>
      <c r="DO722"/>
      <c r="DP722"/>
      <c r="DQ722"/>
      <c r="DR722"/>
      <c r="DS722"/>
      <c r="DT722"/>
      <c r="DU722"/>
      <c r="DV722"/>
      <c r="DW722"/>
      <c r="DX722"/>
      <c r="DY722"/>
      <c r="DZ722"/>
      <c r="EA722"/>
      <c r="EB722"/>
      <c r="EC722"/>
      <c r="ED722"/>
      <c r="EE722"/>
      <c r="EF722"/>
      <c r="EG722"/>
      <c r="EH722"/>
      <c r="EI722"/>
      <c r="EJ722"/>
      <c r="EK722"/>
      <c r="EL722"/>
      <c r="EM722"/>
      <c r="EN722"/>
      <c r="EO722"/>
      <c r="EP722"/>
      <c r="EQ722"/>
      <c r="ER722"/>
      <c r="ES722"/>
      <c r="ET722"/>
      <c r="EU722"/>
      <c r="EV722"/>
      <c r="EW722"/>
      <c r="EX722"/>
      <c r="EY722"/>
      <c r="EZ722"/>
      <c r="FA722"/>
      <c r="FB722"/>
      <c r="FC722"/>
      <c r="FD722"/>
      <c r="FE722"/>
      <c r="FF722"/>
      <c r="FG722"/>
      <c r="FH722"/>
      <c r="FI722"/>
      <c r="FJ722"/>
      <c r="FK722"/>
      <c r="FL722"/>
      <c r="FM722"/>
      <c r="FN722"/>
      <c r="FO722"/>
      <c r="FP722"/>
      <c r="FQ722"/>
      <c r="FR722"/>
      <c r="FS722"/>
      <c r="FT722"/>
      <c r="FU722"/>
      <c r="FV722"/>
      <c r="FW722"/>
      <c r="FX722"/>
      <c r="FY722"/>
      <c r="FZ722"/>
      <c r="GA722"/>
      <c r="GB722"/>
      <c r="GC722"/>
      <c r="GD722"/>
      <c r="GE722"/>
      <c r="GF722"/>
      <c r="GG722"/>
      <c r="GH722"/>
      <c r="GI722"/>
      <c r="GJ722"/>
      <c r="GK722"/>
      <c r="GL722"/>
      <c r="GM722"/>
      <c r="GN722"/>
      <c r="GO722"/>
      <c r="GP722"/>
      <c r="GQ722"/>
      <c r="GR722"/>
      <c r="GS722"/>
      <c r="GT722"/>
      <c r="GU722"/>
      <c r="GV722"/>
      <c r="GW722"/>
      <c r="GX722"/>
      <c r="GY722"/>
      <c r="GZ722"/>
      <c r="HA722"/>
      <c r="HB722"/>
      <c r="HC722"/>
      <c r="HD722"/>
      <c r="HE722"/>
      <c r="HF722"/>
      <c r="HG722"/>
      <c r="HH722"/>
      <c r="HI722"/>
      <c r="HJ722"/>
      <c r="HK722"/>
      <c r="HL722"/>
      <c r="HM722"/>
      <c r="HN722"/>
      <c r="HO722"/>
      <c r="HP722"/>
      <c r="HQ722"/>
      <c r="HR722"/>
      <c r="HS722"/>
      <c r="HT722"/>
      <c r="HU722"/>
      <c r="HV722"/>
      <c r="HW722"/>
      <c r="HX722"/>
      <c r="HY722"/>
      <c r="HZ722"/>
      <c r="IA722"/>
      <c r="IB722"/>
      <c r="IC722"/>
      <c r="ID722"/>
      <c r="IE722"/>
      <c r="IF722"/>
      <c r="IG722"/>
      <c r="IH722"/>
      <c r="II722"/>
      <c r="IJ722"/>
      <c r="IK722"/>
      <c r="IL722"/>
      <c r="IM722"/>
      <c r="IN722"/>
      <c r="IO722"/>
      <c r="IP722"/>
      <c r="IQ722"/>
      <c r="IR722"/>
      <c r="IS722"/>
      <c r="IT722"/>
      <c r="IU722"/>
      <c r="IV722"/>
    </row>
    <row r="723" spans="1:256" ht="12.75" hidden="1" customHeight="1" x14ac:dyDescent="0.2">
      <c r="A723" s="583"/>
      <c r="B723" s="557" t="s">
        <v>807</v>
      </c>
      <c r="C723" s="558">
        <f>C724</f>
        <v>52000000</v>
      </c>
      <c r="D723" s="562">
        <f>D724</f>
        <v>55000000</v>
      </c>
      <c r="E723" s="579">
        <v>56800000</v>
      </c>
      <c r="F723" s="582">
        <f>SUM(F724:F725)</f>
        <v>25198915.960000001</v>
      </c>
      <c r="G723" s="558">
        <f>SUM(G724:G725)</f>
        <v>800000</v>
      </c>
      <c r="H723"/>
      <c r="I723"/>
      <c r="J723"/>
      <c r="K723"/>
      <c r="L723"/>
      <c r="M723"/>
      <c r="N723"/>
      <c r="O723"/>
      <c r="P723"/>
      <c r="Q723"/>
      <c r="R723"/>
      <c r="S723"/>
      <c r="T723"/>
      <c r="U723"/>
      <c r="V723"/>
      <c r="W723"/>
      <c r="X723"/>
      <c r="Y723"/>
      <c r="Z723"/>
      <c r="AA723"/>
      <c r="AB723"/>
      <c r="AC723"/>
      <c r="AD723"/>
      <c r="AE723"/>
      <c r="AF723"/>
      <c r="AG723"/>
      <c r="AH723"/>
      <c r="AI723"/>
      <c r="AJ723"/>
      <c r="AK723"/>
      <c r="AL723"/>
      <c r="AM723"/>
      <c r="AN723"/>
      <c r="AO723"/>
      <c r="AP723"/>
      <c r="AQ723"/>
      <c r="AR723"/>
      <c r="AS723"/>
      <c r="AT723"/>
      <c r="AU723"/>
      <c r="AV723"/>
      <c r="AW723"/>
      <c r="AX723"/>
      <c r="AY723"/>
      <c r="AZ723"/>
      <c r="BA723"/>
      <c r="BB723"/>
      <c r="BC723"/>
      <c r="BD723"/>
      <c r="BE723"/>
      <c r="BF723"/>
      <c r="BG723"/>
      <c r="BH723"/>
      <c r="BI723"/>
      <c r="BJ723"/>
      <c r="BK723"/>
      <c r="BL723"/>
      <c r="BM723"/>
      <c r="BN723"/>
      <c r="BO723"/>
      <c r="BP723"/>
      <c r="BQ723"/>
      <c r="BR723"/>
      <c r="BS723"/>
      <c r="BT723"/>
      <c r="BU723"/>
      <c r="BV723"/>
      <c r="BW723"/>
      <c r="BX723"/>
      <c r="BY723"/>
      <c r="BZ723"/>
      <c r="CA723"/>
      <c r="CB723"/>
      <c r="CC723"/>
      <c r="CD723"/>
      <c r="CE723"/>
      <c r="CF723"/>
      <c r="CG723"/>
      <c r="CH723"/>
      <c r="CI723"/>
      <c r="CJ723"/>
      <c r="CK723"/>
      <c r="CL723"/>
      <c r="CM723"/>
      <c r="CN723"/>
      <c r="CO723"/>
      <c r="CP723"/>
      <c r="CQ723"/>
      <c r="CR723"/>
      <c r="CS723"/>
      <c r="CT723"/>
      <c r="CU723"/>
      <c r="CV723"/>
      <c r="CW723"/>
      <c r="CX723"/>
      <c r="CY723"/>
      <c r="CZ723"/>
      <c r="DA723"/>
      <c r="DB723"/>
      <c r="DC723"/>
      <c r="DD723"/>
      <c r="DE723"/>
      <c r="DF723"/>
      <c r="DG723"/>
      <c r="DH723"/>
      <c r="DI723"/>
      <c r="DJ723"/>
      <c r="DK723"/>
      <c r="DL723"/>
      <c r="DM723"/>
      <c r="DN723"/>
      <c r="DO723"/>
      <c r="DP723"/>
      <c r="DQ723"/>
      <c r="DR723"/>
      <c r="DS723"/>
      <c r="DT723"/>
      <c r="DU723"/>
      <c r="DV723"/>
      <c r="DW723"/>
      <c r="DX723"/>
      <c r="DY723"/>
      <c r="DZ723"/>
      <c r="EA723"/>
      <c r="EB723"/>
      <c r="EC723"/>
      <c r="ED723"/>
      <c r="EE723"/>
      <c r="EF723"/>
      <c r="EG723"/>
      <c r="EH723"/>
      <c r="EI723"/>
      <c r="EJ723"/>
      <c r="EK723"/>
      <c r="EL723"/>
      <c r="EM723"/>
      <c r="EN723"/>
      <c r="EO723"/>
      <c r="EP723"/>
      <c r="EQ723"/>
      <c r="ER723"/>
      <c r="ES723"/>
      <c r="ET723"/>
      <c r="EU723"/>
      <c r="EV723"/>
      <c r="EW723"/>
      <c r="EX723"/>
      <c r="EY723"/>
      <c r="EZ723"/>
      <c r="FA723"/>
      <c r="FB723"/>
      <c r="FC723"/>
      <c r="FD723"/>
      <c r="FE723"/>
      <c r="FF723"/>
      <c r="FG723"/>
      <c r="FH723"/>
      <c r="FI723"/>
      <c r="FJ723"/>
      <c r="FK723"/>
      <c r="FL723"/>
      <c r="FM723"/>
      <c r="FN723"/>
      <c r="FO723"/>
      <c r="FP723"/>
      <c r="FQ723"/>
      <c r="FR723"/>
      <c r="FS723"/>
      <c r="FT723"/>
      <c r="FU723"/>
      <c r="FV723"/>
      <c r="FW723"/>
      <c r="FX723"/>
      <c r="FY723"/>
      <c r="FZ723"/>
      <c r="GA723"/>
      <c r="GB723"/>
      <c r="GC723"/>
      <c r="GD723"/>
      <c r="GE723"/>
      <c r="GF723"/>
      <c r="GG723"/>
      <c r="GH723"/>
      <c r="GI723"/>
      <c r="GJ723"/>
      <c r="GK723"/>
      <c r="GL723"/>
      <c r="GM723"/>
      <c r="GN723"/>
      <c r="GO723"/>
      <c r="GP723"/>
      <c r="GQ723"/>
      <c r="GR723"/>
      <c r="GS723"/>
      <c r="GT723"/>
      <c r="GU723"/>
      <c r="GV723"/>
      <c r="GW723"/>
      <c r="GX723"/>
      <c r="GY723"/>
      <c r="GZ723"/>
      <c r="HA723"/>
      <c r="HB723"/>
      <c r="HC723"/>
      <c r="HD723"/>
      <c r="HE723"/>
      <c r="HF723"/>
      <c r="HG723"/>
      <c r="HH723"/>
      <c r="HI723"/>
      <c r="HJ723"/>
      <c r="HK723"/>
      <c r="HL723"/>
      <c r="HM723"/>
      <c r="HN723"/>
      <c r="HO723"/>
      <c r="HP723"/>
      <c r="HQ723"/>
      <c r="HR723"/>
      <c r="HS723"/>
      <c r="HT723"/>
      <c r="HU723"/>
      <c r="HV723"/>
      <c r="HW723"/>
      <c r="HX723"/>
      <c r="HY723"/>
      <c r="HZ723"/>
      <c r="IA723"/>
      <c r="IB723"/>
      <c r="IC723"/>
      <c r="ID723"/>
      <c r="IE723"/>
      <c r="IF723"/>
      <c r="IG723"/>
      <c r="IH723"/>
      <c r="II723"/>
      <c r="IJ723"/>
      <c r="IK723"/>
      <c r="IL723"/>
      <c r="IM723"/>
      <c r="IN723"/>
      <c r="IO723"/>
      <c r="IP723"/>
      <c r="IQ723"/>
      <c r="IR723"/>
      <c r="IS723"/>
      <c r="IT723"/>
      <c r="IU723"/>
      <c r="IV723"/>
    </row>
    <row r="724" spans="1:256" ht="12.75" hidden="1" customHeight="1" x14ac:dyDescent="0.2">
      <c r="A724" s="583"/>
      <c r="B724" s="561" t="s">
        <v>824</v>
      </c>
      <c r="C724" s="560">
        <v>52000000</v>
      </c>
      <c r="D724" s="562">
        <f>52000000+3000000</f>
        <v>55000000</v>
      </c>
      <c r="E724" s="579">
        <v>56800000</v>
      </c>
      <c r="F724" s="580">
        <v>25198915.960000001</v>
      </c>
      <c r="G724" s="127">
        <v>0</v>
      </c>
      <c r="H724"/>
      <c r="I724"/>
      <c r="J724"/>
      <c r="K724"/>
      <c r="L724"/>
      <c r="M724"/>
      <c r="N724"/>
      <c r="O724"/>
      <c r="P724"/>
      <c r="Q724"/>
      <c r="R724"/>
      <c r="S724"/>
      <c r="T724"/>
      <c r="U724"/>
      <c r="V724"/>
      <c r="W724"/>
      <c r="X724"/>
      <c r="Y724"/>
      <c r="Z724"/>
      <c r="AA724"/>
      <c r="AB724"/>
      <c r="AC724"/>
      <c r="AD724"/>
      <c r="AE724"/>
      <c r="AF724"/>
      <c r="AG724"/>
      <c r="AH724"/>
      <c r="AI724"/>
      <c r="AJ724"/>
      <c r="AK724"/>
      <c r="AL724"/>
      <c r="AM724"/>
      <c r="AN724"/>
      <c r="AO724"/>
      <c r="AP724"/>
      <c r="AQ724"/>
      <c r="AR724"/>
      <c r="AS724"/>
      <c r="AT724"/>
      <c r="AU724"/>
      <c r="AV724"/>
      <c r="AW724"/>
      <c r="AX724"/>
      <c r="AY724"/>
      <c r="AZ724"/>
      <c r="BA724"/>
      <c r="BB724"/>
      <c r="BC724"/>
      <c r="BD724"/>
      <c r="BE724"/>
      <c r="BF724"/>
      <c r="BG724"/>
      <c r="BH724"/>
      <c r="BI724"/>
      <c r="BJ724"/>
      <c r="BK724"/>
      <c r="BL724"/>
      <c r="BM724"/>
      <c r="BN724"/>
      <c r="BO724"/>
      <c r="BP724"/>
      <c r="BQ724"/>
      <c r="BR724"/>
      <c r="BS724"/>
      <c r="BT724"/>
      <c r="BU724"/>
      <c r="BV724"/>
      <c r="BW724"/>
      <c r="BX724"/>
      <c r="BY724"/>
      <c r="BZ724"/>
      <c r="CA724"/>
      <c r="CB724"/>
      <c r="CC724"/>
      <c r="CD724"/>
      <c r="CE724"/>
      <c r="CF724"/>
      <c r="CG724"/>
      <c r="CH724"/>
      <c r="CI724"/>
      <c r="CJ724"/>
      <c r="CK724"/>
      <c r="CL724"/>
      <c r="CM724"/>
      <c r="CN724"/>
      <c r="CO724"/>
      <c r="CP724"/>
      <c r="CQ724"/>
      <c r="CR724"/>
      <c r="CS724"/>
      <c r="CT724"/>
      <c r="CU724"/>
      <c r="CV724"/>
      <c r="CW724"/>
      <c r="CX724"/>
      <c r="CY724"/>
      <c r="CZ724"/>
      <c r="DA724"/>
      <c r="DB724"/>
      <c r="DC724"/>
      <c r="DD724"/>
      <c r="DE724"/>
      <c r="DF724"/>
      <c r="DG724"/>
      <c r="DH724"/>
      <c r="DI724"/>
      <c r="DJ724"/>
      <c r="DK724"/>
      <c r="DL724"/>
      <c r="DM724"/>
      <c r="DN724"/>
      <c r="DO724"/>
      <c r="DP724"/>
      <c r="DQ724"/>
      <c r="DR724"/>
      <c r="DS724"/>
      <c r="DT724"/>
      <c r="DU724"/>
      <c r="DV724"/>
      <c r="DW724"/>
      <c r="DX724"/>
      <c r="DY724"/>
      <c r="DZ724"/>
      <c r="EA724"/>
      <c r="EB724"/>
      <c r="EC724"/>
      <c r="ED724"/>
      <c r="EE724"/>
      <c r="EF724"/>
      <c r="EG724"/>
      <c r="EH724"/>
      <c r="EI724"/>
      <c r="EJ724"/>
      <c r="EK724"/>
      <c r="EL724"/>
      <c r="EM724"/>
      <c r="EN724"/>
      <c r="EO724"/>
      <c r="EP724"/>
      <c r="EQ724"/>
      <c r="ER724"/>
      <c r="ES724"/>
      <c r="ET724"/>
      <c r="EU724"/>
      <c r="EV724"/>
      <c r="EW724"/>
      <c r="EX724"/>
      <c r="EY724"/>
      <c r="EZ724"/>
      <c r="FA724"/>
      <c r="FB724"/>
      <c r="FC724"/>
      <c r="FD724"/>
      <c r="FE724"/>
      <c r="FF724"/>
      <c r="FG724"/>
      <c r="FH724"/>
      <c r="FI724"/>
      <c r="FJ724"/>
      <c r="FK724"/>
      <c r="FL724"/>
      <c r="FM724"/>
      <c r="FN724"/>
      <c r="FO724"/>
      <c r="FP724"/>
      <c r="FQ724"/>
      <c r="FR724"/>
      <c r="FS724"/>
      <c r="FT724"/>
      <c r="FU724"/>
      <c r="FV724"/>
      <c r="FW724"/>
      <c r="FX724"/>
      <c r="FY724"/>
      <c r="FZ724"/>
      <c r="GA724"/>
      <c r="GB724"/>
      <c r="GC724"/>
      <c r="GD724"/>
      <c r="GE724"/>
      <c r="GF724"/>
      <c r="GG724"/>
      <c r="GH724"/>
      <c r="GI724"/>
      <c r="GJ724"/>
      <c r="GK724"/>
      <c r="GL724"/>
      <c r="GM724"/>
      <c r="GN724"/>
      <c r="GO724"/>
      <c r="GP724"/>
      <c r="GQ724"/>
      <c r="GR724"/>
      <c r="GS724"/>
      <c r="GT724"/>
      <c r="GU724"/>
      <c r="GV724"/>
      <c r="GW724"/>
      <c r="GX724"/>
      <c r="GY724"/>
      <c r="GZ724"/>
      <c r="HA724"/>
      <c r="HB724"/>
      <c r="HC724"/>
      <c r="HD724"/>
      <c r="HE724"/>
      <c r="HF724"/>
      <c r="HG724"/>
      <c r="HH724"/>
      <c r="HI724"/>
      <c r="HJ724"/>
      <c r="HK724"/>
      <c r="HL724"/>
      <c r="HM724"/>
      <c r="HN724"/>
      <c r="HO724"/>
      <c r="HP724"/>
      <c r="HQ724"/>
      <c r="HR724"/>
      <c r="HS724"/>
      <c r="HT724"/>
      <c r="HU724"/>
      <c r="HV724"/>
      <c r="HW724"/>
      <c r="HX724"/>
      <c r="HY724"/>
      <c r="HZ724"/>
      <c r="IA724"/>
      <c r="IB724"/>
      <c r="IC724"/>
      <c r="ID724"/>
      <c r="IE724"/>
      <c r="IF724"/>
      <c r="IG724"/>
      <c r="IH724"/>
      <c r="II724"/>
      <c r="IJ724"/>
      <c r="IK724"/>
      <c r="IL724"/>
      <c r="IM724"/>
      <c r="IN724"/>
      <c r="IO724"/>
      <c r="IP724"/>
      <c r="IQ724"/>
      <c r="IR724"/>
      <c r="IS724"/>
      <c r="IT724"/>
      <c r="IU724"/>
      <c r="IV724"/>
    </row>
    <row r="725" spans="1:256" ht="12.75" hidden="1" customHeight="1" x14ac:dyDescent="0.2">
      <c r="A725" s="583"/>
      <c r="B725" s="586" t="s">
        <v>825</v>
      </c>
      <c r="C725" s="560"/>
      <c r="D725" s="562"/>
      <c r="E725" s="564"/>
      <c r="F725" s="580"/>
      <c r="G725" s="127">
        <v>800000</v>
      </c>
      <c r="H725"/>
      <c r="I725"/>
      <c r="J725"/>
      <c r="K725"/>
      <c r="L725"/>
      <c r="M725"/>
      <c r="N725"/>
      <c r="O725"/>
      <c r="P725"/>
      <c r="Q725"/>
      <c r="R725"/>
      <c r="S725"/>
      <c r="T725"/>
      <c r="U725"/>
      <c r="V725"/>
      <c r="W725"/>
      <c r="X725"/>
      <c r="Y725"/>
      <c r="Z725"/>
      <c r="AA725"/>
      <c r="AB725"/>
      <c r="AC725"/>
      <c r="AD725"/>
      <c r="AE725"/>
      <c r="AF725"/>
      <c r="AG725"/>
      <c r="AH725"/>
      <c r="AI725"/>
      <c r="AJ725"/>
      <c r="AK725"/>
      <c r="AL725"/>
      <c r="AM725"/>
      <c r="AN725"/>
      <c r="AO725"/>
      <c r="AP725"/>
      <c r="AQ725"/>
      <c r="AR725"/>
      <c r="AS725"/>
      <c r="AT725"/>
      <c r="AU725"/>
      <c r="AV725"/>
      <c r="AW725"/>
      <c r="AX725"/>
      <c r="AY725"/>
      <c r="AZ725"/>
      <c r="BA725"/>
      <c r="BB725"/>
      <c r="BC725"/>
      <c r="BD725"/>
      <c r="BE725"/>
      <c r="BF725"/>
      <c r="BG725"/>
      <c r="BH725"/>
      <c r="BI725"/>
      <c r="BJ725"/>
      <c r="BK725"/>
      <c r="BL725"/>
      <c r="BM725"/>
      <c r="BN725"/>
      <c r="BO725"/>
      <c r="BP725"/>
      <c r="BQ725"/>
      <c r="BR725"/>
      <c r="BS725"/>
      <c r="BT725"/>
      <c r="BU725"/>
      <c r="BV725"/>
      <c r="BW725"/>
      <c r="BX725"/>
      <c r="BY725"/>
      <c r="BZ725"/>
      <c r="CA725"/>
      <c r="CB725"/>
      <c r="CC725"/>
      <c r="CD725"/>
      <c r="CE725"/>
      <c r="CF725"/>
      <c r="CG725"/>
      <c r="CH725"/>
      <c r="CI725"/>
      <c r="CJ725"/>
      <c r="CK725"/>
      <c r="CL725"/>
      <c r="CM725"/>
      <c r="CN725"/>
      <c r="CO725"/>
      <c r="CP725"/>
      <c r="CQ725"/>
      <c r="CR725"/>
      <c r="CS725"/>
      <c r="CT725"/>
      <c r="CU725"/>
      <c r="CV725"/>
      <c r="CW725"/>
      <c r="CX725"/>
      <c r="CY725"/>
      <c r="CZ725"/>
      <c r="DA725"/>
      <c r="DB725"/>
      <c r="DC725"/>
      <c r="DD725"/>
      <c r="DE725"/>
      <c r="DF725"/>
      <c r="DG725"/>
      <c r="DH725"/>
      <c r="DI725"/>
      <c r="DJ725"/>
      <c r="DK725"/>
      <c r="DL725"/>
      <c r="DM725"/>
      <c r="DN725"/>
      <c r="DO725"/>
      <c r="DP725"/>
      <c r="DQ725"/>
      <c r="DR725"/>
      <c r="DS725"/>
      <c r="DT725"/>
      <c r="DU725"/>
      <c r="DV725"/>
      <c r="DW725"/>
      <c r="DX725"/>
      <c r="DY725"/>
      <c r="DZ725"/>
      <c r="EA725"/>
      <c r="EB725"/>
      <c r="EC725"/>
      <c r="ED725"/>
      <c r="EE725"/>
      <c r="EF725"/>
      <c r="EG725"/>
      <c r="EH725"/>
      <c r="EI725"/>
      <c r="EJ725"/>
      <c r="EK725"/>
      <c r="EL725"/>
      <c r="EM725"/>
      <c r="EN725"/>
      <c r="EO725"/>
      <c r="EP725"/>
      <c r="EQ725"/>
      <c r="ER725"/>
      <c r="ES725"/>
      <c r="ET725"/>
      <c r="EU725"/>
      <c r="EV725"/>
      <c r="EW725"/>
      <c r="EX725"/>
      <c r="EY725"/>
      <c r="EZ725"/>
      <c r="FA725"/>
      <c r="FB725"/>
      <c r="FC725"/>
      <c r="FD725"/>
      <c r="FE725"/>
      <c r="FF725"/>
      <c r="FG725"/>
      <c r="FH725"/>
      <c r="FI725"/>
      <c r="FJ725"/>
      <c r="FK725"/>
      <c r="FL725"/>
      <c r="FM725"/>
      <c r="FN725"/>
      <c r="FO725"/>
      <c r="FP725"/>
      <c r="FQ725"/>
      <c r="FR725"/>
      <c r="FS725"/>
      <c r="FT725"/>
      <c r="FU725"/>
      <c r="FV725"/>
      <c r="FW725"/>
      <c r="FX725"/>
      <c r="FY725"/>
      <c r="FZ725"/>
      <c r="GA725"/>
      <c r="GB725"/>
      <c r="GC725"/>
      <c r="GD725"/>
      <c r="GE725"/>
      <c r="GF725"/>
      <c r="GG725"/>
      <c r="GH725"/>
      <c r="GI725"/>
      <c r="GJ725"/>
      <c r="GK725"/>
      <c r="GL725"/>
      <c r="GM725"/>
      <c r="GN725"/>
      <c r="GO725"/>
      <c r="GP725"/>
      <c r="GQ725"/>
      <c r="GR725"/>
      <c r="GS725"/>
      <c r="GT725"/>
      <c r="GU725"/>
      <c r="GV725"/>
      <c r="GW725"/>
      <c r="GX725"/>
      <c r="GY725"/>
      <c r="GZ725"/>
      <c r="HA725"/>
      <c r="HB725"/>
      <c r="HC725"/>
      <c r="HD725"/>
      <c r="HE725"/>
      <c r="HF725"/>
      <c r="HG725"/>
      <c r="HH725"/>
      <c r="HI725"/>
      <c r="HJ725"/>
      <c r="HK725"/>
      <c r="HL725"/>
      <c r="HM725"/>
      <c r="HN725"/>
      <c r="HO725"/>
      <c r="HP725"/>
      <c r="HQ725"/>
      <c r="HR725"/>
      <c r="HS725"/>
      <c r="HT725"/>
      <c r="HU725"/>
      <c r="HV725"/>
      <c r="HW725"/>
      <c r="HX725"/>
      <c r="HY725"/>
      <c r="HZ725"/>
      <c r="IA725"/>
      <c r="IB725"/>
      <c r="IC725"/>
      <c r="ID725"/>
      <c r="IE725"/>
      <c r="IF725"/>
      <c r="IG725"/>
      <c r="IH725"/>
      <c r="II725"/>
      <c r="IJ725"/>
      <c r="IK725"/>
      <c r="IL725"/>
      <c r="IM725"/>
      <c r="IN725"/>
      <c r="IO725"/>
      <c r="IP725"/>
      <c r="IQ725"/>
      <c r="IR725"/>
      <c r="IS725"/>
      <c r="IT725"/>
      <c r="IU725"/>
      <c r="IV725"/>
    </row>
    <row r="726" spans="1:256" ht="12.75" hidden="1" customHeight="1" x14ac:dyDescent="0.2">
      <c r="A726" s="583"/>
      <c r="B726" s="557" t="s">
        <v>819</v>
      </c>
      <c r="C726" s="560">
        <f>C727</f>
        <v>9450000</v>
      </c>
      <c r="D726" s="562">
        <f>D727</f>
        <v>9450000</v>
      </c>
      <c r="E726" s="564">
        <v>8450000</v>
      </c>
      <c r="F726" s="582">
        <f>F727</f>
        <v>5573946.25</v>
      </c>
      <c r="G726" s="560">
        <f>SUM(G727:G729)</f>
        <v>9884000</v>
      </c>
      <c r="H726"/>
      <c r="I726"/>
      <c r="J726"/>
      <c r="K726"/>
      <c r="L726"/>
      <c r="M726"/>
      <c r="N726"/>
      <c r="O726"/>
      <c r="P726"/>
      <c r="Q726"/>
      <c r="R726"/>
      <c r="S726"/>
      <c r="T726"/>
      <c r="U726"/>
      <c r="V726"/>
      <c r="W726"/>
      <c r="X726"/>
      <c r="Y726"/>
      <c r="Z726"/>
      <c r="AA726"/>
      <c r="AB726"/>
      <c r="AC726"/>
      <c r="AD726"/>
      <c r="AE726"/>
      <c r="AF726"/>
      <c r="AG726"/>
      <c r="AH726"/>
      <c r="AI726"/>
      <c r="AJ726"/>
      <c r="AK726"/>
      <c r="AL726"/>
      <c r="AM726"/>
      <c r="AN726"/>
      <c r="AO726"/>
      <c r="AP726"/>
      <c r="AQ726"/>
      <c r="AR726"/>
      <c r="AS726"/>
      <c r="AT726"/>
      <c r="AU726"/>
      <c r="AV726"/>
      <c r="AW726"/>
      <c r="AX726"/>
      <c r="AY726"/>
      <c r="AZ726"/>
      <c r="BA726"/>
      <c r="BB726"/>
      <c r="BC726"/>
      <c r="BD726"/>
      <c r="BE726"/>
      <c r="BF726"/>
      <c r="BG726"/>
      <c r="BH726"/>
      <c r="BI726"/>
      <c r="BJ726"/>
      <c r="BK726"/>
      <c r="BL726"/>
      <c r="BM726"/>
      <c r="BN726"/>
      <c r="BO726"/>
      <c r="BP726"/>
      <c r="BQ726"/>
      <c r="BR726"/>
      <c r="BS726"/>
      <c r="BT726"/>
      <c r="BU726"/>
      <c r="BV726"/>
      <c r="BW726"/>
      <c r="BX726"/>
      <c r="BY726"/>
      <c r="BZ726"/>
      <c r="CA726"/>
      <c r="CB726"/>
      <c r="CC726"/>
      <c r="CD726"/>
      <c r="CE726"/>
      <c r="CF726"/>
      <c r="CG726"/>
      <c r="CH726"/>
      <c r="CI726"/>
      <c r="CJ726"/>
      <c r="CK726"/>
      <c r="CL726"/>
      <c r="CM726"/>
      <c r="CN726"/>
      <c r="CO726"/>
      <c r="CP726"/>
      <c r="CQ726"/>
      <c r="CR726"/>
      <c r="CS726"/>
      <c r="CT726"/>
      <c r="CU726"/>
      <c r="CV726"/>
      <c r="CW726"/>
      <c r="CX726"/>
      <c r="CY726"/>
      <c r="CZ726"/>
      <c r="DA726"/>
      <c r="DB726"/>
      <c r="DC726"/>
      <c r="DD726"/>
      <c r="DE726"/>
      <c r="DF726"/>
      <c r="DG726"/>
      <c r="DH726"/>
      <c r="DI726"/>
      <c r="DJ726"/>
      <c r="DK726"/>
      <c r="DL726"/>
      <c r="DM726"/>
      <c r="DN726"/>
      <c r="DO726"/>
      <c r="DP726"/>
      <c r="DQ726"/>
      <c r="DR726"/>
      <c r="DS726"/>
      <c r="DT726"/>
      <c r="DU726"/>
      <c r="DV726"/>
      <c r="DW726"/>
      <c r="DX726"/>
      <c r="DY726"/>
      <c r="DZ726"/>
      <c r="EA726"/>
      <c r="EB726"/>
      <c r="EC726"/>
      <c r="ED726"/>
      <c r="EE726"/>
      <c r="EF726"/>
      <c r="EG726"/>
      <c r="EH726"/>
      <c r="EI726"/>
      <c r="EJ726"/>
      <c r="EK726"/>
      <c r="EL726"/>
      <c r="EM726"/>
      <c r="EN726"/>
      <c r="EO726"/>
      <c r="EP726"/>
      <c r="EQ726"/>
      <c r="ER726"/>
      <c r="ES726"/>
      <c r="ET726"/>
      <c r="EU726"/>
      <c r="EV726"/>
      <c r="EW726"/>
      <c r="EX726"/>
      <c r="EY726"/>
      <c r="EZ726"/>
      <c r="FA726"/>
      <c r="FB726"/>
      <c r="FC726"/>
      <c r="FD726"/>
      <c r="FE726"/>
      <c r="FF726"/>
      <c r="FG726"/>
      <c r="FH726"/>
      <c r="FI726"/>
      <c r="FJ726"/>
      <c r="FK726"/>
      <c r="FL726"/>
      <c r="FM726"/>
      <c r="FN726"/>
      <c r="FO726"/>
      <c r="FP726"/>
      <c r="FQ726"/>
      <c r="FR726"/>
      <c r="FS726"/>
      <c r="FT726"/>
      <c r="FU726"/>
      <c r="FV726"/>
      <c r="FW726"/>
      <c r="FX726"/>
      <c r="FY726"/>
      <c r="FZ726"/>
      <c r="GA726"/>
      <c r="GB726"/>
      <c r="GC726"/>
      <c r="GD726"/>
      <c r="GE726"/>
      <c r="GF726"/>
      <c r="GG726"/>
      <c r="GH726"/>
      <c r="GI726"/>
      <c r="GJ726"/>
      <c r="GK726"/>
      <c r="GL726"/>
      <c r="GM726"/>
      <c r="GN726"/>
      <c r="GO726"/>
      <c r="GP726"/>
      <c r="GQ726"/>
      <c r="GR726"/>
      <c r="GS726"/>
      <c r="GT726"/>
      <c r="GU726"/>
      <c r="GV726"/>
      <c r="GW726"/>
      <c r="GX726"/>
      <c r="GY726"/>
      <c r="GZ726"/>
      <c r="HA726"/>
      <c r="HB726"/>
      <c r="HC726"/>
      <c r="HD726"/>
      <c r="HE726"/>
      <c r="HF726"/>
      <c r="HG726"/>
      <c r="HH726"/>
      <c r="HI726"/>
      <c r="HJ726"/>
      <c r="HK726"/>
      <c r="HL726"/>
      <c r="HM726"/>
      <c r="HN726"/>
      <c r="HO726"/>
      <c r="HP726"/>
      <c r="HQ726"/>
      <c r="HR726"/>
      <c r="HS726"/>
      <c r="HT726"/>
      <c r="HU726"/>
      <c r="HV726"/>
      <c r="HW726"/>
      <c r="HX726"/>
      <c r="HY726"/>
      <c r="HZ726"/>
      <c r="IA726"/>
      <c r="IB726"/>
      <c r="IC726"/>
      <c r="ID726"/>
      <c r="IE726"/>
      <c r="IF726"/>
      <c r="IG726"/>
      <c r="IH726"/>
      <c r="II726"/>
      <c r="IJ726"/>
      <c r="IK726"/>
      <c r="IL726"/>
      <c r="IM726"/>
      <c r="IN726"/>
      <c r="IO726"/>
      <c r="IP726"/>
      <c r="IQ726"/>
      <c r="IR726"/>
      <c r="IS726"/>
      <c r="IT726"/>
      <c r="IU726"/>
      <c r="IV726"/>
    </row>
    <row r="727" spans="1:256" ht="12.75" hidden="1" customHeight="1" x14ac:dyDescent="0.2">
      <c r="A727" s="583"/>
      <c r="B727" s="557" t="s">
        <v>826</v>
      </c>
      <c r="C727" s="560">
        <f>9750000-300000</f>
        <v>9450000</v>
      </c>
      <c r="D727" s="562">
        <f>9750000-300000</f>
        <v>9450000</v>
      </c>
      <c r="E727" s="564">
        <v>8450000</v>
      </c>
      <c r="F727" s="580">
        <v>5573946.25</v>
      </c>
      <c r="G727" s="127">
        <v>9850000</v>
      </c>
      <c r="H727"/>
      <c r="I727"/>
      <c r="J727"/>
      <c r="K727"/>
      <c r="L727"/>
      <c r="M727"/>
      <c r="N727"/>
      <c r="O727"/>
      <c r="P727"/>
      <c r="Q727"/>
      <c r="R727"/>
      <c r="S727"/>
      <c r="T727"/>
      <c r="U727"/>
      <c r="V727"/>
      <c r="W727"/>
      <c r="X727"/>
      <c r="Y727"/>
      <c r="Z727"/>
      <c r="AA727"/>
      <c r="AB727"/>
      <c r="AC727"/>
      <c r="AD727"/>
      <c r="AE727"/>
      <c r="AF727"/>
      <c r="AG727"/>
      <c r="AH727"/>
      <c r="AI727"/>
      <c r="AJ727"/>
      <c r="AK727"/>
      <c r="AL727"/>
      <c r="AM727"/>
      <c r="AN727"/>
      <c r="AO727"/>
      <c r="AP727"/>
      <c r="AQ727"/>
      <c r="AR727"/>
      <c r="AS727"/>
      <c r="AT727"/>
      <c r="AU727"/>
      <c r="AV727"/>
      <c r="AW727"/>
      <c r="AX727"/>
      <c r="AY727"/>
      <c r="AZ727"/>
      <c r="BA727"/>
      <c r="BB727"/>
      <c r="BC727"/>
      <c r="BD727"/>
      <c r="BE727"/>
      <c r="BF727"/>
      <c r="BG727"/>
      <c r="BH727"/>
      <c r="BI727"/>
      <c r="BJ727"/>
      <c r="BK727"/>
      <c r="BL727"/>
      <c r="BM727"/>
      <c r="BN727"/>
      <c r="BO727"/>
      <c r="BP727"/>
      <c r="BQ727"/>
      <c r="BR727"/>
      <c r="BS727"/>
      <c r="BT727"/>
      <c r="BU727"/>
      <c r="BV727"/>
      <c r="BW727"/>
      <c r="BX727"/>
      <c r="BY727"/>
      <c r="BZ727"/>
      <c r="CA727"/>
      <c r="CB727"/>
      <c r="CC727"/>
      <c r="CD727"/>
      <c r="CE727"/>
      <c r="CF727"/>
      <c r="CG727"/>
      <c r="CH727"/>
      <c r="CI727"/>
      <c r="CJ727"/>
      <c r="CK727"/>
      <c r="CL727"/>
      <c r="CM727"/>
      <c r="CN727"/>
      <c r="CO727"/>
      <c r="CP727"/>
      <c r="CQ727"/>
      <c r="CR727"/>
      <c r="CS727"/>
      <c r="CT727"/>
      <c r="CU727"/>
      <c r="CV727"/>
      <c r="CW727"/>
      <c r="CX727"/>
      <c r="CY727"/>
      <c r="CZ727"/>
      <c r="DA727"/>
      <c r="DB727"/>
      <c r="DC727"/>
      <c r="DD727"/>
      <c r="DE727"/>
      <c r="DF727"/>
      <c r="DG727"/>
      <c r="DH727"/>
      <c r="DI727"/>
      <c r="DJ727"/>
      <c r="DK727"/>
      <c r="DL727"/>
      <c r="DM727"/>
      <c r="DN727"/>
      <c r="DO727"/>
      <c r="DP727"/>
      <c r="DQ727"/>
      <c r="DR727"/>
      <c r="DS727"/>
      <c r="DT727"/>
      <c r="DU727"/>
      <c r="DV727"/>
      <c r="DW727"/>
      <c r="DX727"/>
      <c r="DY727"/>
      <c r="DZ727"/>
      <c r="EA727"/>
      <c r="EB727"/>
      <c r="EC727"/>
      <c r="ED727"/>
      <c r="EE727"/>
      <c r="EF727"/>
      <c r="EG727"/>
      <c r="EH727"/>
      <c r="EI727"/>
      <c r="EJ727"/>
      <c r="EK727"/>
      <c r="EL727"/>
      <c r="EM727"/>
      <c r="EN727"/>
      <c r="EO727"/>
      <c r="EP727"/>
      <c r="EQ727"/>
      <c r="ER727"/>
      <c r="ES727"/>
      <c r="ET727"/>
      <c r="EU727"/>
      <c r="EV727"/>
      <c r="EW727"/>
      <c r="EX727"/>
      <c r="EY727"/>
      <c r="EZ727"/>
      <c r="FA727"/>
      <c r="FB727"/>
      <c r="FC727"/>
      <c r="FD727"/>
      <c r="FE727"/>
      <c r="FF727"/>
      <c r="FG727"/>
      <c r="FH727"/>
      <c r="FI727"/>
      <c r="FJ727"/>
      <c r="FK727"/>
      <c r="FL727"/>
      <c r="FM727"/>
      <c r="FN727"/>
      <c r="FO727"/>
      <c r="FP727"/>
      <c r="FQ727"/>
      <c r="FR727"/>
      <c r="FS727"/>
      <c r="FT727"/>
      <c r="FU727"/>
      <c r="FV727"/>
      <c r="FW727"/>
      <c r="FX727"/>
      <c r="FY727"/>
      <c r="FZ727"/>
      <c r="GA727"/>
      <c r="GB727"/>
      <c r="GC727"/>
      <c r="GD727"/>
      <c r="GE727"/>
      <c r="GF727"/>
      <c r="GG727"/>
      <c r="GH727"/>
      <c r="GI727"/>
      <c r="GJ727"/>
      <c r="GK727"/>
      <c r="GL727"/>
      <c r="GM727"/>
      <c r="GN727"/>
      <c r="GO727"/>
      <c r="GP727"/>
      <c r="GQ727"/>
      <c r="GR727"/>
      <c r="GS727"/>
      <c r="GT727"/>
      <c r="GU727"/>
      <c r="GV727"/>
      <c r="GW727"/>
      <c r="GX727"/>
      <c r="GY727"/>
      <c r="GZ727"/>
      <c r="HA727"/>
      <c r="HB727"/>
      <c r="HC727"/>
      <c r="HD727"/>
      <c r="HE727"/>
      <c r="HF727"/>
      <c r="HG727"/>
      <c r="HH727"/>
      <c r="HI727"/>
      <c r="HJ727"/>
      <c r="HK727"/>
      <c r="HL727"/>
      <c r="HM727"/>
      <c r="HN727"/>
      <c r="HO727"/>
      <c r="HP727"/>
      <c r="HQ727"/>
      <c r="HR727"/>
      <c r="HS727"/>
      <c r="HT727"/>
      <c r="HU727"/>
      <c r="HV727"/>
      <c r="HW727"/>
      <c r="HX727"/>
      <c r="HY727"/>
      <c r="HZ727"/>
      <c r="IA727"/>
      <c r="IB727"/>
      <c r="IC727"/>
      <c r="ID727"/>
      <c r="IE727"/>
      <c r="IF727"/>
      <c r="IG727"/>
      <c r="IH727"/>
      <c r="II727"/>
      <c r="IJ727"/>
      <c r="IK727"/>
      <c r="IL727"/>
      <c r="IM727"/>
      <c r="IN727"/>
      <c r="IO727"/>
      <c r="IP727"/>
      <c r="IQ727"/>
      <c r="IR727"/>
      <c r="IS727"/>
      <c r="IT727"/>
      <c r="IU727"/>
      <c r="IV727"/>
    </row>
    <row r="728" spans="1:256" ht="12.75" hidden="1" customHeight="1" x14ac:dyDescent="0.2">
      <c r="A728" s="583"/>
      <c r="B728" s="557" t="s">
        <v>827</v>
      </c>
      <c r="C728" s="558"/>
      <c r="D728" s="562"/>
      <c r="E728" s="564"/>
      <c r="F728" s="580"/>
      <c r="G728" s="127">
        <v>34000</v>
      </c>
      <c r="H728"/>
      <c r="I728"/>
      <c r="J728"/>
      <c r="K728"/>
      <c r="L728"/>
      <c r="M728"/>
      <c r="N728"/>
      <c r="O728"/>
      <c r="P728"/>
      <c r="Q728"/>
      <c r="R728"/>
      <c r="S728"/>
      <c r="T728"/>
      <c r="U728"/>
      <c r="V728"/>
      <c r="W728"/>
      <c r="X728"/>
      <c r="Y728"/>
      <c r="Z728"/>
      <c r="AA728"/>
      <c r="AB728"/>
      <c r="AC728"/>
      <c r="AD728"/>
      <c r="AE728"/>
      <c r="AF728"/>
      <c r="AG728"/>
      <c r="AH728"/>
      <c r="AI728"/>
      <c r="AJ728"/>
      <c r="AK728"/>
      <c r="AL728"/>
      <c r="AM728"/>
      <c r="AN728"/>
      <c r="AO728"/>
      <c r="AP728"/>
      <c r="AQ728"/>
      <c r="AR728"/>
      <c r="AS728"/>
      <c r="AT728"/>
      <c r="AU728"/>
      <c r="AV728"/>
      <c r="AW728"/>
      <c r="AX728"/>
      <c r="AY728"/>
      <c r="AZ728"/>
      <c r="BA728"/>
      <c r="BB728"/>
      <c r="BC728"/>
      <c r="BD728"/>
      <c r="BE728"/>
      <c r="BF728"/>
      <c r="BG728"/>
      <c r="BH728"/>
      <c r="BI728"/>
      <c r="BJ728"/>
      <c r="BK728"/>
      <c r="BL728"/>
      <c r="BM728"/>
      <c r="BN728"/>
      <c r="BO728"/>
      <c r="BP728"/>
      <c r="BQ728"/>
      <c r="BR728"/>
      <c r="BS728"/>
      <c r="BT728"/>
      <c r="BU728"/>
      <c r="BV728"/>
      <c r="BW728"/>
      <c r="BX728"/>
      <c r="BY728"/>
      <c r="BZ728"/>
      <c r="CA728"/>
      <c r="CB728"/>
      <c r="CC728"/>
      <c r="CD728"/>
      <c r="CE728"/>
      <c r="CF728"/>
      <c r="CG728"/>
      <c r="CH728"/>
      <c r="CI728"/>
      <c r="CJ728"/>
      <c r="CK728"/>
      <c r="CL728"/>
      <c r="CM728"/>
      <c r="CN728"/>
      <c r="CO728"/>
      <c r="CP728"/>
      <c r="CQ728"/>
      <c r="CR728"/>
      <c r="CS728"/>
      <c r="CT728"/>
      <c r="CU728"/>
      <c r="CV728"/>
      <c r="CW728"/>
      <c r="CX728"/>
      <c r="CY728"/>
      <c r="CZ728"/>
      <c r="DA728"/>
      <c r="DB728"/>
      <c r="DC728"/>
      <c r="DD728"/>
      <c r="DE728"/>
      <c r="DF728"/>
      <c r="DG728"/>
      <c r="DH728"/>
      <c r="DI728"/>
      <c r="DJ728"/>
      <c r="DK728"/>
      <c r="DL728"/>
      <c r="DM728"/>
      <c r="DN728"/>
      <c r="DO728"/>
      <c r="DP728"/>
      <c r="DQ728"/>
      <c r="DR728"/>
      <c r="DS728"/>
      <c r="DT728"/>
      <c r="DU728"/>
      <c r="DV728"/>
      <c r="DW728"/>
      <c r="DX728"/>
      <c r="DY728"/>
      <c r="DZ728"/>
      <c r="EA728"/>
      <c r="EB728"/>
      <c r="EC728"/>
      <c r="ED728"/>
      <c r="EE728"/>
      <c r="EF728"/>
      <c r="EG728"/>
      <c r="EH728"/>
      <c r="EI728"/>
      <c r="EJ728"/>
      <c r="EK728"/>
      <c r="EL728"/>
      <c r="EM728"/>
      <c r="EN728"/>
      <c r="EO728"/>
      <c r="EP728"/>
      <c r="EQ728"/>
      <c r="ER728"/>
      <c r="ES728"/>
      <c r="ET728"/>
      <c r="EU728"/>
      <c r="EV728"/>
      <c r="EW728"/>
      <c r="EX728"/>
      <c r="EY728"/>
      <c r="EZ728"/>
      <c r="FA728"/>
      <c r="FB728"/>
      <c r="FC728"/>
      <c r="FD728"/>
      <c r="FE728"/>
      <c r="FF728"/>
      <c r="FG728"/>
      <c r="FH728"/>
      <c r="FI728"/>
      <c r="FJ728"/>
      <c r="FK728"/>
      <c r="FL728"/>
      <c r="FM728"/>
      <c r="FN728"/>
      <c r="FO728"/>
      <c r="FP728"/>
      <c r="FQ728"/>
      <c r="FR728"/>
      <c r="FS728"/>
      <c r="FT728"/>
      <c r="FU728"/>
      <c r="FV728"/>
      <c r="FW728"/>
      <c r="FX728"/>
      <c r="FY728"/>
      <c r="FZ728"/>
      <c r="GA728"/>
      <c r="GB728"/>
      <c r="GC728"/>
      <c r="GD728"/>
      <c r="GE728"/>
      <c r="GF728"/>
      <c r="GG728"/>
      <c r="GH728"/>
      <c r="GI728"/>
      <c r="GJ728"/>
      <c r="GK728"/>
      <c r="GL728"/>
      <c r="GM728"/>
      <c r="GN728"/>
      <c r="GO728"/>
      <c r="GP728"/>
      <c r="GQ728"/>
      <c r="GR728"/>
      <c r="GS728"/>
      <c r="GT728"/>
      <c r="GU728"/>
      <c r="GV728"/>
      <c r="GW728"/>
      <c r="GX728"/>
      <c r="GY728"/>
      <c r="GZ728"/>
      <c r="HA728"/>
      <c r="HB728"/>
      <c r="HC728"/>
      <c r="HD728"/>
      <c r="HE728"/>
      <c r="HF728"/>
      <c r="HG728"/>
      <c r="HH728"/>
      <c r="HI728"/>
      <c r="HJ728"/>
      <c r="HK728"/>
      <c r="HL728"/>
      <c r="HM728"/>
      <c r="HN728"/>
      <c r="HO728"/>
      <c r="HP728"/>
      <c r="HQ728"/>
      <c r="HR728"/>
      <c r="HS728"/>
      <c r="HT728"/>
      <c r="HU728"/>
      <c r="HV728"/>
      <c r="HW728"/>
      <c r="HX728"/>
      <c r="HY728"/>
      <c r="HZ728"/>
      <c r="IA728"/>
      <c r="IB728"/>
      <c r="IC728"/>
      <c r="ID728"/>
      <c r="IE728"/>
      <c r="IF728"/>
      <c r="IG728"/>
      <c r="IH728"/>
      <c r="II728"/>
      <c r="IJ728"/>
      <c r="IK728"/>
      <c r="IL728"/>
      <c r="IM728"/>
      <c r="IN728"/>
      <c r="IO728"/>
      <c r="IP728"/>
      <c r="IQ728"/>
      <c r="IR728"/>
      <c r="IS728"/>
      <c r="IT728"/>
      <c r="IU728"/>
      <c r="IV728"/>
    </row>
    <row r="729" spans="1:256" ht="12.75" hidden="1" customHeight="1" x14ac:dyDescent="0.2">
      <c r="A729" s="583"/>
      <c r="B729" s="561" t="s">
        <v>828</v>
      </c>
      <c r="C729" s="560"/>
      <c r="D729" s="562"/>
      <c r="E729" s="564"/>
      <c r="F729" s="580"/>
      <c r="G729" s="127">
        <v>0</v>
      </c>
      <c r="H729"/>
      <c r="I729"/>
      <c r="J729"/>
      <c r="K729"/>
      <c r="L729"/>
      <c r="M729"/>
      <c r="N729"/>
      <c r="O729"/>
      <c r="P729"/>
      <c r="Q729"/>
      <c r="R729"/>
      <c r="S729"/>
      <c r="T729"/>
      <c r="U729"/>
      <c r="V729"/>
      <c r="W729"/>
      <c r="X729"/>
      <c r="Y729"/>
      <c r="Z729"/>
      <c r="AA729"/>
      <c r="AB729"/>
      <c r="AC729"/>
      <c r="AD729"/>
      <c r="AE729"/>
      <c r="AF729"/>
      <c r="AG729"/>
      <c r="AH729"/>
      <c r="AI729"/>
      <c r="AJ729"/>
      <c r="AK729"/>
      <c r="AL729"/>
      <c r="AM729"/>
      <c r="AN729"/>
      <c r="AO729"/>
      <c r="AP729"/>
      <c r="AQ729"/>
      <c r="AR729"/>
      <c r="AS729"/>
      <c r="AT729"/>
      <c r="AU729"/>
      <c r="AV729"/>
      <c r="AW729"/>
      <c r="AX729"/>
      <c r="AY729"/>
      <c r="AZ729"/>
      <c r="BA729"/>
      <c r="BB729"/>
      <c r="BC729"/>
      <c r="BD729"/>
      <c r="BE729"/>
      <c r="BF729"/>
      <c r="BG729"/>
      <c r="BH729"/>
      <c r="BI729"/>
      <c r="BJ729"/>
      <c r="BK729"/>
      <c r="BL729"/>
      <c r="BM729"/>
      <c r="BN729"/>
      <c r="BO729"/>
      <c r="BP729"/>
      <c r="BQ729"/>
      <c r="BR729"/>
      <c r="BS729"/>
      <c r="BT729"/>
      <c r="BU729"/>
      <c r="BV729"/>
      <c r="BW729"/>
      <c r="BX729"/>
      <c r="BY729"/>
      <c r="BZ729"/>
      <c r="CA729"/>
      <c r="CB729"/>
      <c r="CC729"/>
      <c r="CD729"/>
      <c r="CE729"/>
      <c r="CF729"/>
      <c r="CG729"/>
      <c r="CH729"/>
      <c r="CI729"/>
      <c r="CJ729"/>
      <c r="CK729"/>
      <c r="CL729"/>
      <c r="CM729"/>
      <c r="CN729"/>
      <c r="CO729"/>
      <c r="CP729"/>
      <c r="CQ729"/>
      <c r="CR729"/>
      <c r="CS729"/>
      <c r="CT729"/>
      <c r="CU729"/>
      <c r="CV729"/>
      <c r="CW729"/>
      <c r="CX729"/>
      <c r="CY729"/>
      <c r="CZ729"/>
      <c r="DA729"/>
      <c r="DB729"/>
      <c r="DC729"/>
      <c r="DD729"/>
      <c r="DE729"/>
      <c r="DF729"/>
      <c r="DG729"/>
      <c r="DH729"/>
      <c r="DI729"/>
      <c r="DJ729"/>
      <c r="DK729"/>
      <c r="DL729"/>
      <c r="DM729"/>
      <c r="DN729"/>
      <c r="DO729"/>
      <c r="DP729"/>
      <c r="DQ729"/>
      <c r="DR729"/>
      <c r="DS729"/>
      <c r="DT729"/>
      <c r="DU729"/>
      <c r="DV729"/>
      <c r="DW729"/>
      <c r="DX729"/>
      <c r="DY729"/>
      <c r="DZ729"/>
      <c r="EA729"/>
      <c r="EB729"/>
      <c r="EC729"/>
      <c r="ED729"/>
      <c r="EE729"/>
      <c r="EF729"/>
      <c r="EG729"/>
      <c r="EH729"/>
      <c r="EI729"/>
      <c r="EJ729"/>
      <c r="EK729"/>
      <c r="EL729"/>
      <c r="EM729"/>
      <c r="EN729"/>
      <c r="EO729"/>
      <c r="EP729"/>
      <c r="EQ729"/>
      <c r="ER729"/>
      <c r="ES729"/>
      <c r="ET729"/>
      <c r="EU729"/>
      <c r="EV729"/>
      <c r="EW729"/>
      <c r="EX729"/>
      <c r="EY729"/>
      <c r="EZ729"/>
      <c r="FA729"/>
      <c r="FB729"/>
      <c r="FC729"/>
      <c r="FD729"/>
      <c r="FE729"/>
      <c r="FF729"/>
      <c r="FG729"/>
      <c r="FH729"/>
      <c r="FI729"/>
      <c r="FJ729"/>
      <c r="FK729"/>
      <c r="FL729"/>
      <c r="FM729"/>
      <c r="FN729"/>
      <c r="FO729"/>
      <c r="FP729"/>
      <c r="FQ729"/>
      <c r="FR729"/>
      <c r="FS729"/>
      <c r="FT729"/>
      <c r="FU729"/>
      <c r="FV729"/>
      <c r="FW729"/>
      <c r="FX729"/>
      <c r="FY729"/>
      <c r="FZ729"/>
      <c r="GA729"/>
      <c r="GB729"/>
      <c r="GC729"/>
      <c r="GD729"/>
      <c r="GE729"/>
      <c r="GF729"/>
      <c r="GG729"/>
      <c r="GH729"/>
      <c r="GI729"/>
      <c r="GJ729"/>
      <c r="GK729"/>
      <c r="GL729"/>
      <c r="GM729"/>
      <c r="GN729"/>
      <c r="GO729"/>
      <c r="GP729"/>
      <c r="GQ729"/>
      <c r="GR729"/>
      <c r="GS729"/>
      <c r="GT729"/>
      <c r="GU729"/>
      <c r="GV729"/>
      <c r="GW729"/>
      <c r="GX729"/>
      <c r="GY729"/>
      <c r="GZ729"/>
      <c r="HA729"/>
      <c r="HB729"/>
      <c r="HC729"/>
      <c r="HD729"/>
      <c r="HE729"/>
      <c r="HF729"/>
      <c r="HG729"/>
      <c r="HH729"/>
      <c r="HI729"/>
      <c r="HJ729"/>
      <c r="HK729"/>
      <c r="HL729"/>
      <c r="HM729"/>
      <c r="HN729"/>
      <c r="HO729"/>
      <c r="HP729"/>
      <c r="HQ729"/>
      <c r="HR729"/>
      <c r="HS729"/>
      <c r="HT729"/>
      <c r="HU729"/>
      <c r="HV729"/>
      <c r="HW729"/>
      <c r="HX729"/>
      <c r="HY729"/>
      <c r="HZ729"/>
      <c r="IA729"/>
      <c r="IB729"/>
      <c r="IC729"/>
      <c r="ID729"/>
      <c r="IE729"/>
      <c r="IF729"/>
      <c r="IG729"/>
      <c r="IH729"/>
      <c r="II729"/>
      <c r="IJ729"/>
      <c r="IK729"/>
      <c r="IL729"/>
      <c r="IM729"/>
      <c r="IN729"/>
      <c r="IO729"/>
      <c r="IP729"/>
      <c r="IQ729"/>
      <c r="IR729"/>
      <c r="IS729"/>
      <c r="IT729"/>
      <c r="IU729"/>
      <c r="IV729"/>
    </row>
    <row r="730" spans="1:256" ht="12.75" hidden="1" customHeight="1" x14ac:dyDescent="0.2">
      <c r="A730" s="583"/>
      <c r="B730" s="557" t="s">
        <v>829</v>
      </c>
      <c r="C730" s="558">
        <f>C731</f>
        <v>500000</v>
      </c>
      <c r="D730" s="562">
        <f>D731</f>
        <v>500000</v>
      </c>
      <c r="E730" s="564">
        <v>500000</v>
      </c>
      <c r="F730" s="582">
        <f>F731</f>
        <v>217170.8</v>
      </c>
      <c r="G730" s="560">
        <f>SUM(G731:G733)</f>
        <v>2150000</v>
      </c>
      <c r="H730"/>
      <c r="I730"/>
      <c r="J730"/>
      <c r="K730"/>
      <c r="L730"/>
      <c r="M730"/>
      <c r="N730"/>
      <c r="O730"/>
      <c r="P730"/>
      <c r="Q730"/>
      <c r="R730"/>
      <c r="S730"/>
      <c r="T730"/>
      <c r="U730"/>
      <c r="V730"/>
      <c r="W730"/>
      <c r="X730"/>
      <c r="Y730"/>
      <c r="Z730"/>
      <c r="AA730"/>
      <c r="AB730"/>
      <c r="AC730"/>
      <c r="AD730"/>
      <c r="AE730"/>
      <c r="AF730"/>
      <c r="AG730"/>
      <c r="AH730"/>
      <c r="AI730"/>
      <c r="AJ730"/>
      <c r="AK730"/>
      <c r="AL730"/>
      <c r="AM730"/>
      <c r="AN730"/>
      <c r="AO730"/>
      <c r="AP730"/>
      <c r="AQ730"/>
      <c r="AR730"/>
      <c r="AS730"/>
      <c r="AT730"/>
      <c r="AU730"/>
      <c r="AV730"/>
      <c r="AW730"/>
      <c r="AX730"/>
      <c r="AY730"/>
      <c r="AZ730"/>
      <c r="BA730"/>
      <c r="BB730"/>
      <c r="BC730"/>
      <c r="BD730"/>
      <c r="BE730"/>
      <c r="BF730"/>
      <c r="BG730"/>
      <c r="BH730"/>
      <c r="BI730"/>
      <c r="BJ730"/>
      <c r="BK730"/>
      <c r="BL730"/>
      <c r="BM730"/>
      <c r="BN730"/>
      <c r="BO730"/>
      <c r="BP730"/>
      <c r="BQ730"/>
      <c r="BR730"/>
      <c r="BS730"/>
      <c r="BT730"/>
      <c r="BU730"/>
      <c r="BV730"/>
      <c r="BW730"/>
      <c r="BX730"/>
      <c r="BY730"/>
      <c r="BZ730"/>
      <c r="CA730"/>
      <c r="CB730"/>
      <c r="CC730"/>
      <c r="CD730"/>
      <c r="CE730"/>
      <c r="CF730"/>
      <c r="CG730"/>
      <c r="CH730"/>
      <c r="CI730"/>
      <c r="CJ730"/>
      <c r="CK730"/>
      <c r="CL730"/>
      <c r="CM730"/>
      <c r="CN730"/>
      <c r="CO730"/>
      <c r="CP730"/>
      <c r="CQ730"/>
      <c r="CR730"/>
      <c r="CS730"/>
      <c r="CT730"/>
      <c r="CU730"/>
      <c r="CV730"/>
      <c r="CW730"/>
      <c r="CX730"/>
      <c r="CY730"/>
      <c r="CZ730"/>
      <c r="DA730"/>
      <c r="DB730"/>
      <c r="DC730"/>
      <c r="DD730"/>
      <c r="DE730"/>
      <c r="DF730"/>
      <c r="DG730"/>
      <c r="DH730"/>
      <c r="DI730"/>
      <c r="DJ730"/>
      <c r="DK730"/>
      <c r="DL730"/>
      <c r="DM730"/>
      <c r="DN730"/>
      <c r="DO730"/>
      <c r="DP730"/>
      <c r="DQ730"/>
      <c r="DR730"/>
      <c r="DS730"/>
      <c r="DT730"/>
      <c r="DU730"/>
      <c r="DV730"/>
      <c r="DW730"/>
      <c r="DX730"/>
      <c r="DY730"/>
      <c r="DZ730"/>
      <c r="EA730"/>
      <c r="EB730"/>
      <c r="EC730"/>
      <c r="ED730"/>
      <c r="EE730"/>
      <c r="EF730"/>
      <c r="EG730"/>
      <c r="EH730"/>
      <c r="EI730"/>
      <c r="EJ730"/>
      <c r="EK730"/>
      <c r="EL730"/>
      <c r="EM730"/>
      <c r="EN730"/>
      <c r="EO730"/>
      <c r="EP730"/>
      <c r="EQ730"/>
      <c r="ER730"/>
      <c r="ES730"/>
      <c r="ET730"/>
      <c r="EU730"/>
      <c r="EV730"/>
      <c r="EW730"/>
      <c r="EX730"/>
      <c r="EY730"/>
      <c r="EZ730"/>
      <c r="FA730"/>
      <c r="FB730"/>
      <c r="FC730"/>
      <c r="FD730"/>
      <c r="FE730"/>
      <c r="FF730"/>
      <c r="FG730"/>
      <c r="FH730"/>
      <c r="FI730"/>
      <c r="FJ730"/>
      <c r="FK730"/>
      <c r="FL730"/>
      <c r="FM730"/>
      <c r="FN730"/>
      <c r="FO730"/>
      <c r="FP730"/>
      <c r="FQ730"/>
      <c r="FR730"/>
      <c r="FS730"/>
      <c r="FT730"/>
      <c r="FU730"/>
      <c r="FV730"/>
      <c r="FW730"/>
      <c r="FX730"/>
      <c r="FY730"/>
      <c r="FZ730"/>
      <c r="GA730"/>
      <c r="GB730"/>
      <c r="GC730"/>
      <c r="GD730"/>
      <c r="GE730"/>
      <c r="GF730"/>
      <c r="GG730"/>
      <c r="GH730"/>
      <c r="GI730"/>
      <c r="GJ730"/>
      <c r="GK730"/>
      <c r="GL730"/>
      <c r="GM730"/>
      <c r="GN730"/>
      <c r="GO730"/>
      <c r="GP730"/>
      <c r="GQ730"/>
      <c r="GR730"/>
      <c r="GS730"/>
      <c r="GT730"/>
      <c r="GU730"/>
      <c r="GV730"/>
      <c r="GW730"/>
      <c r="GX730"/>
      <c r="GY730"/>
      <c r="GZ730"/>
      <c r="HA730"/>
      <c r="HB730"/>
      <c r="HC730"/>
      <c r="HD730"/>
      <c r="HE730"/>
      <c r="HF730"/>
      <c r="HG730"/>
      <c r="HH730"/>
      <c r="HI730"/>
      <c r="HJ730"/>
      <c r="HK730"/>
      <c r="HL730"/>
      <c r="HM730"/>
      <c r="HN730"/>
      <c r="HO730"/>
      <c r="HP730"/>
      <c r="HQ730"/>
      <c r="HR730"/>
      <c r="HS730"/>
      <c r="HT730"/>
      <c r="HU730"/>
      <c r="HV730"/>
      <c r="HW730"/>
      <c r="HX730"/>
      <c r="HY730"/>
      <c r="HZ730"/>
      <c r="IA730"/>
      <c r="IB730"/>
      <c r="IC730"/>
      <c r="ID730"/>
      <c r="IE730"/>
      <c r="IF730"/>
      <c r="IG730"/>
      <c r="IH730"/>
      <c r="II730"/>
      <c r="IJ730"/>
      <c r="IK730"/>
      <c r="IL730"/>
      <c r="IM730"/>
      <c r="IN730"/>
      <c r="IO730"/>
      <c r="IP730"/>
      <c r="IQ730"/>
      <c r="IR730"/>
      <c r="IS730"/>
      <c r="IT730"/>
      <c r="IU730"/>
      <c r="IV730"/>
    </row>
    <row r="731" spans="1:256" ht="12.75" hidden="1" customHeight="1" x14ac:dyDescent="0.2">
      <c r="A731" s="583"/>
      <c r="B731" s="557" t="s">
        <v>830</v>
      </c>
      <c r="C731" s="558">
        <v>500000</v>
      </c>
      <c r="D731" s="562">
        <v>500000</v>
      </c>
      <c r="E731" s="564">
        <v>500000</v>
      </c>
      <c r="F731" s="580">
        <v>217170.8</v>
      </c>
      <c r="G731" s="127">
        <v>500000</v>
      </c>
      <c r="H731"/>
      <c r="I731"/>
      <c r="J731"/>
      <c r="K731"/>
      <c r="L731"/>
      <c r="M731"/>
      <c r="N731"/>
      <c r="O731"/>
      <c r="P731"/>
      <c r="Q731"/>
      <c r="R731"/>
      <c r="S731"/>
      <c r="T731"/>
      <c r="U731"/>
      <c r="V731"/>
      <c r="W731"/>
      <c r="X731"/>
      <c r="Y731"/>
      <c r="Z731"/>
      <c r="AA731"/>
      <c r="AB731"/>
      <c r="AC731"/>
      <c r="AD731"/>
      <c r="AE731"/>
      <c r="AF731"/>
      <c r="AG731"/>
      <c r="AH731"/>
      <c r="AI731"/>
      <c r="AJ731"/>
      <c r="AK731"/>
      <c r="AL731"/>
      <c r="AM731"/>
      <c r="AN731"/>
      <c r="AO731"/>
      <c r="AP731"/>
      <c r="AQ731"/>
      <c r="AR731"/>
      <c r="AS731"/>
      <c r="AT731"/>
      <c r="AU731"/>
      <c r="AV731"/>
      <c r="AW731"/>
      <c r="AX731"/>
      <c r="AY731"/>
      <c r="AZ731"/>
      <c r="BA731"/>
      <c r="BB731"/>
      <c r="BC731"/>
      <c r="BD731"/>
      <c r="BE731"/>
      <c r="BF731"/>
      <c r="BG731"/>
      <c r="BH731"/>
      <c r="BI731"/>
      <c r="BJ731"/>
      <c r="BK731"/>
      <c r="BL731"/>
      <c r="BM731"/>
      <c r="BN731"/>
      <c r="BO731"/>
      <c r="BP731"/>
      <c r="BQ731"/>
      <c r="BR731"/>
      <c r="BS731"/>
      <c r="BT731"/>
      <c r="BU731"/>
      <c r="BV731"/>
      <c r="BW731"/>
      <c r="BX731"/>
      <c r="BY731"/>
      <c r="BZ731"/>
      <c r="CA731"/>
      <c r="CB731"/>
      <c r="CC731"/>
      <c r="CD731"/>
      <c r="CE731"/>
      <c r="CF731"/>
      <c r="CG731"/>
      <c r="CH731"/>
      <c r="CI731"/>
      <c r="CJ731"/>
      <c r="CK731"/>
      <c r="CL731"/>
      <c r="CM731"/>
      <c r="CN731"/>
      <c r="CO731"/>
      <c r="CP731"/>
      <c r="CQ731"/>
      <c r="CR731"/>
      <c r="CS731"/>
      <c r="CT731"/>
      <c r="CU731"/>
      <c r="CV731"/>
      <c r="CW731"/>
      <c r="CX731"/>
      <c r="CY731"/>
      <c r="CZ731"/>
      <c r="DA731"/>
      <c r="DB731"/>
      <c r="DC731"/>
      <c r="DD731"/>
      <c r="DE731"/>
      <c r="DF731"/>
      <c r="DG731"/>
      <c r="DH731"/>
      <c r="DI731"/>
      <c r="DJ731"/>
      <c r="DK731"/>
      <c r="DL731"/>
      <c r="DM731"/>
      <c r="DN731"/>
      <c r="DO731"/>
      <c r="DP731"/>
      <c r="DQ731"/>
      <c r="DR731"/>
      <c r="DS731"/>
      <c r="DT731"/>
      <c r="DU731"/>
      <c r="DV731"/>
      <c r="DW731"/>
      <c r="DX731"/>
      <c r="DY731"/>
      <c r="DZ731"/>
      <c r="EA731"/>
      <c r="EB731"/>
      <c r="EC731"/>
      <c r="ED731"/>
      <c r="EE731"/>
      <c r="EF731"/>
      <c r="EG731"/>
      <c r="EH731"/>
      <c r="EI731"/>
      <c r="EJ731"/>
      <c r="EK731"/>
      <c r="EL731"/>
      <c r="EM731"/>
      <c r="EN731"/>
      <c r="EO731"/>
      <c r="EP731"/>
      <c r="EQ731"/>
      <c r="ER731"/>
      <c r="ES731"/>
      <c r="ET731"/>
      <c r="EU731"/>
      <c r="EV731"/>
      <c r="EW731"/>
      <c r="EX731"/>
      <c r="EY731"/>
      <c r="EZ731"/>
      <c r="FA731"/>
      <c r="FB731"/>
      <c r="FC731"/>
      <c r="FD731"/>
      <c r="FE731"/>
      <c r="FF731"/>
      <c r="FG731"/>
      <c r="FH731"/>
      <c r="FI731"/>
      <c r="FJ731"/>
      <c r="FK731"/>
      <c r="FL731"/>
      <c r="FM731"/>
      <c r="FN731"/>
      <c r="FO731"/>
      <c r="FP731"/>
      <c r="FQ731"/>
      <c r="FR731"/>
      <c r="FS731"/>
      <c r="FT731"/>
      <c r="FU731"/>
      <c r="FV731"/>
      <c r="FW731"/>
      <c r="FX731"/>
      <c r="FY731"/>
      <c r="FZ731"/>
      <c r="GA731"/>
      <c r="GB731"/>
      <c r="GC731"/>
      <c r="GD731"/>
      <c r="GE731"/>
      <c r="GF731"/>
      <c r="GG731"/>
      <c r="GH731"/>
      <c r="GI731"/>
      <c r="GJ731"/>
      <c r="GK731"/>
      <c r="GL731"/>
      <c r="GM731"/>
      <c r="GN731"/>
      <c r="GO731"/>
      <c r="GP731"/>
      <c r="GQ731"/>
      <c r="GR731"/>
      <c r="GS731"/>
      <c r="GT731"/>
      <c r="GU731"/>
      <c r="GV731"/>
      <c r="GW731"/>
      <c r="GX731"/>
      <c r="GY731"/>
      <c r="GZ731"/>
      <c r="HA731"/>
      <c r="HB731"/>
      <c r="HC731"/>
      <c r="HD731"/>
      <c r="HE731"/>
      <c r="HF731"/>
      <c r="HG731"/>
      <c r="HH731"/>
      <c r="HI731"/>
      <c r="HJ731"/>
      <c r="HK731"/>
      <c r="HL731"/>
      <c r="HM731"/>
      <c r="HN731"/>
      <c r="HO731"/>
      <c r="HP731"/>
      <c r="HQ731"/>
      <c r="HR731"/>
      <c r="HS731"/>
      <c r="HT731"/>
      <c r="HU731"/>
      <c r="HV731"/>
      <c r="HW731"/>
      <c r="HX731"/>
      <c r="HY731"/>
      <c r="HZ731"/>
      <c r="IA731"/>
      <c r="IB731"/>
      <c r="IC731"/>
      <c r="ID731"/>
      <c r="IE731"/>
      <c r="IF731"/>
      <c r="IG731"/>
      <c r="IH731"/>
      <c r="II731"/>
      <c r="IJ731"/>
      <c r="IK731"/>
      <c r="IL731"/>
      <c r="IM731"/>
      <c r="IN731"/>
      <c r="IO731"/>
      <c r="IP731"/>
      <c r="IQ731"/>
      <c r="IR731"/>
      <c r="IS731"/>
      <c r="IT731"/>
      <c r="IU731"/>
      <c r="IV731"/>
    </row>
    <row r="732" spans="1:256" ht="12.75" hidden="1" customHeight="1" x14ac:dyDescent="0.2">
      <c r="A732" s="587"/>
      <c r="B732" s="557" t="s">
        <v>831</v>
      </c>
      <c r="C732" s="558"/>
      <c r="D732" s="562"/>
      <c r="E732" s="564"/>
      <c r="F732" s="580"/>
      <c r="G732" s="127">
        <v>900000</v>
      </c>
      <c r="H732"/>
      <c r="I732"/>
      <c r="J732"/>
      <c r="K732"/>
      <c r="L732"/>
      <c r="M732"/>
      <c r="N732"/>
      <c r="O732"/>
      <c r="P732"/>
      <c r="Q732"/>
      <c r="R732"/>
      <c r="S732"/>
      <c r="T732"/>
      <c r="U732"/>
      <c r="V732"/>
      <c r="W732"/>
      <c r="X732"/>
      <c r="Y732"/>
      <c r="Z732"/>
      <c r="AA732"/>
      <c r="AB732"/>
      <c r="AC732"/>
      <c r="AD732"/>
      <c r="AE732"/>
      <c r="AF732"/>
      <c r="AG732"/>
      <c r="AH732"/>
      <c r="AI732"/>
      <c r="AJ732"/>
      <c r="AK732"/>
      <c r="AL732"/>
      <c r="AM732"/>
      <c r="AN732"/>
      <c r="AO732"/>
      <c r="AP732"/>
      <c r="AQ732"/>
      <c r="AR732"/>
      <c r="AS732"/>
      <c r="AT732"/>
      <c r="AU732"/>
      <c r="AV732"/>
      <c r="AW732"/>
      <c r="AX732"/>
      <c r="AY732"/>
      <c r="AZ732"/>
      <c r="BA732"/>
      <c r="BB732"/>
      <c r="BC732"/>
      <c r="BD732"/>
      <c r="BE732"/>
      <c r="BF732"/>
      <c r="BG732"/>
      <c r="BH732"/>
      <c r="BI732"/>
      <c r="BJ732"/>
      <c r="BK732"/>
      <c r="BL732"/>
      <c r="BM732"/>
      <c r="BN732"/>
      <c r="BO732"/>
      <c r="BP732"/>
      <c r="BQ732"/>
      <c r="BR732"/>
      <c r="BS732"/>
      <c r="BT732"/>
      <c r="BU732"/>
      <c r="BV732"/>
      <c r="BW732"/>
      <c r="BX732"/>
      <c r="BY732"/>
      <c r="BZ732"/>
      <c r="CA732"/>
      <c r="CB732"/>
      <c r="CC732"/>
      <c r="CD732"/>
      <c r="CE732"/>
      <c r="CF732"/>
      <c r="CG732"/>
      <c r="CH732"/>
      <c r="CI732"/>
      <c r="CJ732"/>
      <c r="CK732"/>
      <c r="CL732"/>
      <c r="CM732"/>
      <c r="CN732"/>
      <c r="CO732"/>
      <c r="CP732"/>
      <c r="CQ732"/>
      <c r="CR732"/>
      <c r="CS732"/>
      <c r="CT732"/>
      <c r="CU732"/>
      <c r="CV732"/>
      <c r="CW732"/>
      <c r="CX732"/>
      <c r="CY732"/>
      <c r="CZ732"/>
      <c r="DA732"/>
      <c r="DB732"/>
      <c r="DC732"/>
      <c r="DD732"/>
      <c r="DE732"/>
      <c r="DF732"/>
      <c r="DG732"/>
      <c r="DH732"/>
      <c r="DI732"/>
      <c r="DJ732"/>
      <c r="DK732"/>
      <c r="DL732"/>
      <c r="DM732"/>
      <c r="DN732"/>
      <c r="DO732"/>
      <c r="DP732"/>
      <c r="DQ732"/>
      <c r="DR732"/>
      <c r="DS732"/>
      <c r="DT732"/>
      <c r="DU732"/>
      <c r="DV732"/>
      <c r="DW732"/>
      <c r="DX732"/>
      <c r="DY732"/>
      <c r="DZ732"/>
      <c r="EA732"/>
      <c r="EB732"/>
      <c r="EC732"/>
      <c r="ED732"/>
      <c r="EE732"/>
      <c r="EF732"/>
      <c r="EG732"/>
      <c r="EH732"/>
      <c r="EI732"/>
      <c r="EJ732"/>
      <c r="EK732"/>
      <c r="EL732"/>
      <c r="EM732"/>
      <c r="EN732"/>
      <c r="EO732"/>
      <c r="EP732"/>
      <c r="EQ732"/>
      <c r="ER732"/>
      <c r="ES732"/>
      <c r="ET732"/>
      <c r="EU732"/>
      <c r="EV732"/>
      <c r="EW732"/>
      <c r="EX732"/>
      <c r="EY732"/>
      <c r="EZ732"/>
      <c r="FA732"/>
      <c r="FB732"/>
      <c r="FC732"/>
      <c r="FD732"/>
      <c r="FE732"/>
      <c r="FF732"/>
      <c r="FG732"/>
      <c r="FH732"/>
      <c r="FI732"/>
      <c r="FJ732"/>
      <c r="FK732"/>
      <c r="FL732"/>
      <c r="FM732"/>
      <c r="FN732"/>
      <c r="FO732"/>
      <c r="FP732"/>
      <c r="FQ732"/>
      <c r="FR732"/>
      <c r="FS732"/>
      <c r="FT732"/>
      <c r="FU732"/>
      <c r="FV732"/>
      <c r="FW732"/>
      <c r="FX732"/>
      <c r="FY732"/>
      <c r="FZ732"/>
      <c r="GA732"/>
      <c r="GB732"/>
      <c r="GC732"/>
      <c r="GD732"/>
      <c r="GE732"/>
      <c r="GF732"/>
      <c r="GG732"/>
      <c r="GH732"/>
      <c r="GI732"/>
      <c r="GJ732"/>
      <c r="GK732"/>
      <c r="GL732"/>
      <c r="GM732"/>
      <c r="GN732"/>
      <c r="GO732"/>
      <c r="GP732"/>
      <c r="GQ732"/>
      <c r="GR732"/>
      <c r="GS732"/>
      <c r="GT732"/>
      <c r="GU732"/>
      <c r="GV732"/>
      <c r="GW732"/>
      <c r="GX732"/>
      <c r="GY732"/>
      <c r="GZ732"/>
      <c r="HA732"/>
      <c r="HB732"/>
      <c r="HC732"/>
      <c r="HD732"/>
      <c r="HE732"/>
      <c r="HF732"/>
      <c r="HG732"/>
      <c r="HH732"/>
      <c r="HI732"/>
      <c r="HJ732"/>
      <c r="HK732"/>
      <c r="HL732"/>
      <c r="HM732"/>
      <c r="HN732"/>
      <c r="HO732"/>
      <c r="HP732"/>
      <c r="HQ732"/>
      <c r="HR732"/>
      <c r="HS732"/>
      <c r="HT732"/>
      <c r="HU732"/>
      <c r="HV732"/>
      <c r="HW732"/>
      <c r="HX732"/>
      <c r="HY732"/>
      <c r="HZ732"/>
      <c r="IA732"/>
      <c r="IB732"/>
      <c r="IC732"/>
      <c r="ID732"/>
      <c r="IE732"/>
      <c r="IF732"/>
      <c r="IG732"/>
      <c r="IH732"/>
      <c r="II732"/>
      <c r="IJ732"/>
      <c r="IK732"/>
      <c r="IL732"/>
      <c r="IM732"/>
      <c r="IN732"/>
      <c r="IO732"/>
      <c r="IP732"/>
      <c r="IQ732"/>
      <c r="IR732"/>
      <c r="IS732"/>
      <c r="IT732"/>
      <c r="IU732"/>
      <c r="IV732"/>
    </row>
    <row r="733" spans="1:256" ht="12.75" hidden="1" customHeight="1" x14ac:dyDescent="0.2">
      <c r="A733" s="583"/>
      <c r="B733" s="557" t="s">
        <v>832</v>
      </c>
      <c r="C733" s="560"/>
      <c r="D733" s="562"/>
      <c r="E733" s="564"/>
      <c r="F733" s="580"/>
      <c r="G733" s="127">
        <v>750000</v>
      </c>
      <c r="H733"/>
      <c r="I733"/>
      <c r="J733"/>
      <c r="K733"/>
      <c r="L733"/>
      <c r="M733"/>
      <c r="N733"/>
      <c r="O733"/>
      <c r="P733"/>
      <c r="Q733"/>
      <c r="R733"/>
      <c r="S733"/>
      <c r="T733"/>
      <c r="U733"/>
      <c r="V733"/>
      <c r="W733"/>
      <c r="X733"/>
      <c r="Y733"/>
      <c r="Z733"/>
      <c r="AA733"/>
      <c r="AB733"/>
      <c r="AC733"/>
      <c r="AD733"/>
      <c r="AE733"/>
      <c r="AF733"/>
      <c r="AG733"/>
      <c r="AH733"/>
      <c r="AI733"/>
      <c r="AJ733"/>
      <c r="AK733"/>
      <c r="AL733"/>
      <c r="AM733"/>
      <c r="AN733"/>
      <c r="AO733"/>
      <c r="AP733"/>
      <c r="AQ733"/>
      <c r="AR733"/>
      <c r="AS733"/>
      <c r="AT733"/>
      <c r="AU733"/>
      <c r="AV733"/>
      <c r="AW733"/>
      <c r="AX733"/>
      <c r="AY733"/>
      <c r="AZ733"/>
      <c r="BA733"/>
      <c r="BB733"/>
      <c r="BC733"/>
      <c r="BD733"/>
      <c r="BE733"/>
      <c r="BF733"/>
      <c r="BG733"/>
      <c r="BH733"/>
      <c r="BI733"/>
      <c r="BJ733"/>
      <c r="BK733"/>
      <c r="BL733"/>
      <c r="BM733"/>
      <c r="BN733"/>
      <c r="BO733"/>
      <c r="BP733"/>
      <c r="BQ733"/>
      <c r="BR733"/>
      <c r="BS733"/>
      <c r="BT733"/>
      <c r="BU733"/>
      <c r="BV733"/>
      <c r="BW733"/>
      <c r="BX733"/>
      <c r="BY733"/>
      <c r="BZ733"/>
      <c r="CA733"/>
      <c r="CB733"/>
      <c r="CC733"/>
      <c r="CD733"/>
      <c r="CE733"/>
      <c r="CF733"/>
      <c r="CG733"/>
      <c r="CH733"/>
      <c r="CI733"/>
      <c r="CJ733"/>
      <c r="CK733"/>
      <c r="CL733"/>
      <c r="CM733"/>
      <c r="CN733"/>
      <c r="CO733"/>
      <c r="CP733"/>
      <c r="CQ733"/>
      <c r="CR733"/>
      <c r="CS733"/>
      <c r="CT733"/>
      <c r="CU733"/>
      <c r="CV733"/>
      <c r="CW733"/>
      <c r="CX733"/>
      <c r="CY733"/>
      <c r="CZ733"/>
      <c r="DA733"/>
      <c r="DB733"/>
      <c r="DC733"/>
      <c r="DD733"/>
      <c r="DE733"/>
      <c r="DF733"/>
      <c r="DG733"/>
      <c r="DH733"/>
      <c r="DI733"/>
      <c r="DJ733"/>
      <c r="DK733"/>
      <c r="DL733"/>
      <c r="DM733"/>
      <c r="DN733"/>
      <c r="DO733"/>
      <c r="DP733"/>
      <c r="DQ733"/>
      <c r="DR733"/>
      <c r="DS733"/>
      <c r="DT733"/>
      <c r="DU733"/>
      <c r="DV733"/>
      <c r="DW733"/>
      <c r="DX733"/>
      <c r="DY733"/>
      <c r="DZ733"/>
      <c r="EA733"/>
      <c r="EB733"/>
      <c r="EC733"/>
      <c r="ED733"/>
      <c r="EE733"/>
      <c r="EF733"/>
      <c r="EG733"/>
      <c r="EH733"/>
      <c r="EI733"/>
      <c r="EJ733"/>
      <c r="EK733"/>
      <c r="EL733"/>
      <c r="EM733"/>
      <c r="EN733"/>
      <c r="EO733"/>
      <c r="EP733"/>
      <c r="EQ733"/>
      <c r="ER733"/>
      <c r="ES733"/>
      <c r="ET733"/>
      <c r="EU733"/>
      <c r="EV733"/>
      <c r="EW733"/>
      <c r="EX733"/>
      <c r="EY733"/>
      <c r="EZ733"/>
      <c r="FA733"/>
      <c r="FB733"/>
      <c r="FC733"/>
      <c r="FD733"/>
      <c r="FE733"/>
      <c r="FF733"/>
      <c r="FG733"/>
      <c r="FH733"/>
      <c r="FI733"/>
      <c r="FJ733"/>
      <c r="FK733"/>
      <c r="FL733"/>
      <c r="FM733"/>
      <c r="FN733"/>
      <c r="FO733"/>
      <c r="FP733"/>
      <c r="FQ733"/>
      <c r="FR733"/>
      <c r="FS733"/>
      <c r="FT733"/>
      <c r="FU733"/>
      <c r="FV733"/>
      <c r="FW733"/>
      <c r="FX733"/>
      <c r="FY733"/>
      <c r="FZ733"/>
      <c r="GA733"/>
      <c r="GB733"/>
      <c r="GC733"/>
      <c r="GD733"/>
      <c r="GE733"/>
      <c r="GF733"/>
      <c r="GG733"/>
      <c r="GH733"/>
      <c r="GI733"/>
      <c r="GJ733"/>
      <c r="GK733"/>
      <c r="GL733"/>
      <c r="GM733"/>
      <c r="GN733"/>
      <c r="GO733"/>
      <c r="GP733"/>
      <c r="GQ733"/>
      <c r="GR733"/>
      <c r="GS733"/>
      <c r="GT733"/>
      <c r="GU733"/>
      <c r="GV733"/>
      <c r="GW733"/>
      <c r="GX733"/>
      <c r="GY733"/>
      <c r="GZ733"/>
      <c r="HA733"/>
      <c r="HB733"/>
      <c r="HC733"/>
      <c r="HD733"/>
      <c r="HE733"/>
      <c r="HF733"/>
      <c r="HG733"/>
      <c r="HH733"/>
      <c r="HI733"/>
      <c r="HJ733"/>
      <c r="HK733"/>
      <c r="HL733"/>
      <c r="HM733"/>
      <c r="HN733"/>
      <c r="HO733"/>
      <c r="HP733"/>
      <c r="HQ733"/>
      <c r="HR733"/>
      <c r="HS733"/>
      <c r="HT733"/>
      <c r="HU733"/>
      <c r="HV733"/>
      <c r="HW733"/>
      <c r="HX733"/>
      <c r="HY733"/>
      <c r="HZ733"/>
      <c r="IA733"/>
      <c r="IB733"/>
      <c r="IC733"/>
      <c r="ID733"/>
      <c r="IE733"/>
      <c r="IF733"/>
      <c r="IG733"/>
      <c r="IH733"/>
      <c r="II733"/>
      <c r="IJ733"/>
      <c r="IK733"/>
      <c r="IL733"/>
      <c r="IM733"/>
      <c r="IN733"/>
      <c r="IO733"/>
      <c r="IP733"/>
      <c r="IQ733"/>
      <c r="IR733"/>
      <c r="IS733"/>
      <c r="IT733"/>
      <c r="IU733"/>
      <c r="IV733"/>
    </row>
    <row r="734" spans="1:256" s="588" customFormat="1" ht="12.75" hidden="1" customHeight="1" x14ac:dyDescent="0.2">
      <c r="A734" s="551">
        <v>3612</v>
      </c>
      <c r="B734" s="552" t="s">
        <v>833</v>
      </c>
      <c r="C734" s="553">
        <f>C735+C746</f>
        <v>49543000</v>
      </c>
      <c r="D734" s="581">
        <f>D735+D746</f>
        <v>45394000</v>
      </c>
      <c r="E734" s="581">
        <f>E735+E746</f>
        <v>41541631.149999999</v>
      </c>
      <c r="F734" s="582">
        <f>F735+F746</f>
        <v>22992944.09</v>
      </c>
      <c r="G734" s="553">
        <f>G735+G746</f>
        <v>129014000</v>
      </c>
    </row>
    <row r="735" spans="1:256" ht="12.75" hidden="1" customHeight="1" x14ac:dyDescent="0.2">
      <c r="A735" s="551"/>
      <c r="B735" s="557" t="s">
        <v>807</v>
      </c>
      <c r="C735" s="558">
        <f>SUM(C736:C740)</f>
        <v>4483000</v>
      </c>
      <c r="D735" s="562">
        <f>SUM(D736:D740)</f>
        <v>3333000</v>
      </c>
      <c r="E735" s="562">
        <f>SUM(E736:E740)</f>
        <v>2344298.37</v>
      </c>
      <c r="F735" s="582">
        <f>SUM(F736:F745)</f>
        <v>757778.37</v>
      </c>
      <c r="G735" s="558">
        <f>SUM(G736:G745)</f>
        <v>89954000</v>
      </c>
      <c r="H735"/>
      <c r="I735"/>
      <c r="J735"/>
      <c r="K735"/>
      <c r="L735"/>
      <c r="M735"/>
      <c r="N735"/>
      <c r="O735"/>
      <c r="P735"/>
      <c r="Q735"/>
      <c r="R735"/>
      <c r="S735"/>
      <c r="T735"/>
      <c r="U735"/>
      <c r="V735"/>
      <c r="W735"/>
      <c r="X735"/>
      <c r="Y735"/>
      <c r="Z735"/>
      <c r="AA735"/>
      <c r="AB735"/>
      <c r="AC735"/>
      <c r="AD735"/>
      <c r="AE735"/>
      <c r="AF735"/>
      <c r="AG735"/>
      <c r="AH735"/>
      <c r="AI735"/>
      <c r="AJ735"/>
      <c r="AK735"/>
      <c r="AL735"/>
      <c r="AM735"/>
      <c r="AN735"/>
      <c r="AO735"/>
      <c r="AP735"/>
      <c r="AQ735"/>
      <c r="AR735"/>
      <c r="AS735"/>
      <c r="AT735"/>
      <c r="AU735"/>
      <c r="AV735"/>
      <c r="AW735"/>
      <c r="AX735"/>
      <c r="AY735"/>
      <c r="AZ735"/>
      <c r="BA735"/>
      <c r="BB735"/>
      <c r="BC735"/>
      <c r="BD735"/>
      <c r="BE735"/>
      <c r="BF735"/>
      <c r="BG735"/>
      <c r="BH735"/>
      <c r="BI735"/>
      <c r="BJ735"/>
      <c r="BK735"/>
      <c r="BL735"/>
      <c r="BM735"/>
      <c r="BN735"/>
      <c r="BO735"/>
      <c r="BP735"/>
      <c r="BQ735"/>
      <c r="BR735"/>
      <c r="BS735"/>
      <c r="BT735"/>
      <c r="BU735"/>
      <c r="BV735"/>
      <c r="BW735"/>
      <c r="BX735"/>
      <c r="BY735"/>
      <c r="BZ735"/>
      <c r="CA735"/>
      <c r="CB735"/>
      <c r="CC735"/>
      <c r="CD735"/>
      <c r="CE735"/>
      <c r="CF735"/>
      <c r="CG735"/>
      <c r="CH735"/>
      <c r="CI735"/>
      <c r="CJ735"/>
      <c r="CK735"/>
      <c r="CL735"/>
      <c r="CM735"/>
      <c r="CN735"/>
      <c r="CO735"/>
      <c r="CP735"/>
      <c r="CQ735"/>
      <c r="CR735"/>
      <c r="CS735"/>
      <c r="CT735"/>
      <c r="CU735"/>
      <c r="CV735"/>
      <c r="CW735"/>
      <c r="CX735"/>
      <c r="CY735"/>
      <c r="CZ735"/>
      <c r="DA735"/>
      <c r="DB735"/>
      <c r="DC735"/>
      <c r="DD735"/>
      <c r="DE735"/>
      <c r="DF735"/>
      <c r="DG735"/>
      <c r="DH735"/>
      <c r="DI735"/>
      <c r="DJ735"/>
      <c r="DK735"/>
      <c r="DL735"/>
      <c r="DM735"/>
      <c r="DN735"/>
      <c r="DO735"/>
      <c r="DP735"/>
      <c r="DQ735"/>
      <c r="DR735"/>
      <c r="DS735"/>
      <c r="DT735"/>
      <c r="DU735"/>
      <c r="DV735"/>
      <c r="DW735"/>
      <c r="DX735"/>
      <c r="DY735"/>
      <c r="DZ735"/>
      <c r="EA735"/>
      <c r="EB735"/>
      <c r="EC735"/>
      <c r="ED735"/>
      <c r="EE735"/>
      <c r="EF735"/>
      <c r="EG735"/>
      <c r="EH735"/>
      <c r="EI735"/>
      <c r="EJ735"/>
      <c r="EK735"/>
      <c r="EL735"/>
      <c r="EM735"/>
      <c r="EN735"/>
      <c r="EO735"/>
      <c r="EP735"/>
      <c r="EQ735"/>
      <c r="ER735"/>
      <c r="ES735"/>
      <c r="ET735"/>
      <c r="EU735"/>
      <c r="EV735"/>
      <c r="EW735"/>
      <c r="EX735"/>
      <c r="EY735"/>
      <c r="EZ735"/>
      <c r="FA735"/>
      <c r="FB735"/>
      <c r="FC735"/>
      <c r="FD735"/>
      <c r="FE735"/>
      <c r="FF735"/>
      <c r="FG735"/>
      <c r="FH735"/>
      <c r="FI735"/>
      <c r="FJ735"/>
      <c r="FK735"/>
      <c r="FL735"/>
      <c r="FM735"/>
      <c r="FN735"/>
      <c r="FO735"/>
      <c r="FP735"/>
      <c r="FQ735"/>
      <c r="FR735"/>
      <c r="FS735"/>
      <c r="FT735"/>
      <c r="FU735"/>
      <c r="FV735"/>
      <c r="FW735"/>
      <c r="FX735"/>
      <c r="FY735"/>
      <c r="FZ735"/>
      <c r="GA735"/>
      <c r="GB735"/>
      <c r="GC735"/>
      <c r="GD735"/>
      <c r="GE735"/>
      <c r="GF735"/>
      <c r="GG735"/>
      <c r="GH735"/>
      <c r="GI735"/>
      <c r="GJ735"/>
      <c r="GK735"/>
      <c r="GL735"/>
      <c r="GM735"/>
      <c r="GN735"/>
      <c r="GO735"/>
      <c r="GP735"/>
      <c r="GQ735"/>
      <c r="GR735"/>
      <c r="GS735"/>
      <c r="GT735"/>
      <c r="GU735"/>
      <c r="GV735"/>
      <c r="GW735"/>
      <c r="GX735"/>
      <c r="GY735"/>
      <c r="GZ735"/>
      <c r="HA735"/>
      <c r="HB735"/>
      <c r="HC735"/>
      <c r="HD735"/>
      <c r="HE735"/>
      <c r="HF735"/>
      <c r="HG735"/>
      <c r="HH735"/>
      <c r="HI735"/>
      <c r="HJ735"/>
      <c r="HK735"/>
      <c r="HL735"/>
      <c r="HM735"/>
      <c r="HN735"/>
      <c r="HO735"/>
      <c r="HP735"/>
      <c r="HQ735"/>
      <c r="HR735"/>
      <c r="HS735"/>
      <c r="HT735"/>
      <c r="HU735"/>
      <c r="HV735"/>
      <c r="HW735"/>
      <c r="HX735"/>
      <c r="HY735"/>
      <c r="HZ735"/>
      <c r="IA735"/>
      <c r="IB735"/>
      <c r="IC735"/>
      <c r="ID735"/>
      <c r="IE735"/>
      <c r="IF735"/>
      <c r="IG735"/>
      <c r="IH735"/>
      <c r="II735"/>
      <c r="IJ735"/>
      <c r="IK735"/>
      <c r="IL735"/>
      <c r="IM735"/>
      <c r="IN735"/>
      <c r="IO735"/>
      <c r="IP735"/>
      <c r="IQ735"/>
      <c r="IR735"/>
      <c r="IS735"/>
      <c r="IT735"/>
      <c r="IU735"/>
      <c r="IV735"/>
    </row>
    <row r="736" spans="1:256" ht="12.75" hidden="1" customHeight="1" x14ac:dyDescent="0.2">
      <c r="A736" s="551"/>
      <c r="B736" s="557" t="s">
        <v>834</v>
      </c>
      <c r="C736" s="558">
        <f>3300000-517000</f>
        <v>2783000</v>
      </c>
      <c r="D736" s="562">
        <f>3300000-517000-900000</f>
        <v>1883000</v>
      </c>
      <c r="E736" s="564">
        <v>1050000</v>
      </c>
      <c r="F736" s="589">
        <v>0</v>
      </c>
      <c r="G736" s="590">
        <v>654000</v>
      </c>
      <c r="H736"/>
      <c r="I736"/>
      <c r="J736"/>
      <c r="K736"/>
      <c r="L736"/>
      <c r="M736"/>
      <c r="N736"/>
      <c r="O736"/>
      <c r="P736"/>
      <c r="Q736"/>
      <c r="R736"/>
      <c r="S736"/>
      <c r="T736"/>
      <c r="U736"/>
      <c r="V736"/>
      <c r="W736"/>
      <c r="X736"/>
      <c r="Y736"/>
      <c r="Z736"/>
      <c r="AA736"/>
      <c r="AB736"/>
      <c r="AC736"/>
      <c r="AD736"/>
      <c r="AE736"/>
      <c r="AF736"/>
      <c r="AG736"/>
      <c r="AH736"/>
      <c r="AI736"/>
      <c r="AJ736"/>
      <c r="AK736"/>
      <c r="AL736"/>
      <c r="AM736"/>
      <c r="AN736"/>
      <c r="AO736"/>
      <c r="AP736"/>
      <c r="AQ736"/>
      <c r="AR736"/>
      <c r="AS736"/>
      <c r="AT736"/>
      <c r="AU736"/>
      <c r="AV736"/>
      <c r="AW736"/>
      <c r="AX736"/>
      <c r="AY736"/>
      <c r="AZ736"/>
      <c r="BA736"/>
      <c r="BB736"/>
      <c r="BC736"/>
      <c r="BD736"/>
      <c r="BE736"/>
      <c r="BF736"/>
      <c r="BG736"/>
      <c r="BH736"/>
      <c r="BI736"/>
      <c r="BJ736"/>
      <c r="BK736"/>
      <c r="BL736"/>
      <c r="BM736"/>
      <c r="BN736"/>
      <c r="BO736"/>
      <c r="BP736"/>
      <c r="BQ736"/>
      <c r="BR736"/>
      <c r="BS736"/>
      <c r="BT736"/>
      <c r="BU736"/>
      <c r="BV736"/>
      <c r="BW736"/>
      <c r="BX736"/>
      <c r="BY736"/>
      <c r="BZ736"/>
      <c r="CA736"/>
      <c r="CB736"/>
      <c r="CC736"/>
      <c r="CD736"/>
      <c r="CE736"/>
      <c r="CF736"/>
      <c r="CG736"/>
      <c r="CH736"/>
      <c r="CI736"/>
      <c r="CJ736"/>
      <c r="CK736"/>
      <c r="CL736"/>
      <c r="CM736"/>
      <c r="CN736"/>
      <c r="CO736"/>
      <c r="CP736"/>
      <c r="CQ736"/>
      <c r="CR736"/>
      <c r="CS736"/>
      <c r="CT736"/>
      <c r="CU736"/>
      <c r="CV736"/>
      <c r="CW736"/>
      <c r="CX736"/>
      <c r="CY736"/>
      <c r="CZ736"/>
      <c r="DA736"/>
      <c r="DB736"/>
      <c r="DC736"/>
      <c r="DD736"/>
      <c r="DE736"/>
      <c r="DF736"/>
      <c r="DG736"/>
      <c r="DH736"/>
      <c r="DI736"/>
      <c r="DJ736"/>
      <c r="DK736"/>
      <c r="DL736"/>
      <c r="DM736"/>
      <c r="DN736"/>
      <c r="DO736"/>
      <c r="DP736"/>
      <c r="DQ736"/>
      <c r="DR736"/>
      <c r="DS736"/>
      <c r="DT736"/>
      <c r="DU736"/>
      <c r="DV736"/>
      <c r="DW736"/>
      <c r="DX736"/>
      <c r="DY736"/>
      <c r="DZ736"/>
      <c r="EA736"/>
      <c r="EB736"/>
      <c r="EC736"/>
      <c r="ED736"/>
      <c r="EE736"/>
      <c r="EF736"/>
      <c r="EG736"/>
      <c r="EH736"/>
      <c r="EI736"/>
      <c r="EJ736"/>
      <c r="EK736"/>
      <c r="EL736"/>
      <c r="EM736"/>
      <c r="EN736"/>
      <c r="EO736"/>
      <c r="EP736"/>
      <c r="EQ736"/>
      <c r="ER736"/>
      <c r="ES736"/>
      <c r="ET736"/>
      <c r="EU736"/>
      <c r="EV736"/>
      <c r="EW736"/>
      <c r="EX736"/>
      <c r="EY736"/>
      <c r="EZ736"/>
      <c r="FA736"/>
      <c r="FB736"/>
      <c r="FC736"/>
      <c r="FD736"/>
      <c r="FE736"/>
      <c r="FF736"/>
      <c r="FG736"/>
      <c r="FH736"/>
      <c r="FI736"/>
      <c r="FJ736"/>
      <c r="FK736"/>
      <c r="FL736"/>
      <c r="FM736"/>
      <c r="FN736"/>
      <c r="FO736"/>
      <c r="FP736"/>
      <c r="FQ736"/>
      <c r="FR736"/>
      <c r="FS736"/>
      <c r="FT736"/>
      <c r="FU736"/>
      <c r="FV736"/>
      <c r="FW736"/>
      <c r="FX736"/>
      <c r="FY736"/>
      <c r="FZ736"/>
      <c r="GA736"/>
      <c r="GB736"/>
      <c r="GC736"/>
      <c r="GD736"/>
      <c r="GE736"/>
      <c r="GF736"/>
      <c r="GG736"/>
      <c r="GH736"/>
      <c r="GI736"/>
      <c r="GJ736"/>
      <c r="GK736"/>
      <c r="GL736"/>
      <c r="GM736"/>
      <c r="GN736"/>
      <c r="GO736"/>
      <c r="GP736"/>
      <c r="GQ736"/>
      <c r="GR736"/>
      <c r="GS736"/>
      <c r="GT736"/>
      <c r="GU736"/>
      <c r="GV736"/>
      <c r="GW736"/>
      <c r="GX736"/>
      <c r="GY736"/>
      <c r="GZ736"/>
      <c r="HA736"/>
      <c r="HB736"/>
      <c r="HC736"/>
      <c r="HD736"/>
      <c r="HE736"/>
      <c r="HF736"/>
      <c r="HG736"/>
      <c r="HH736"/>
      <c r="HI736"/>
      <c r="HJ736"/>
      <c r="HK736"/>
      <c r="HL736"/>
      <c r="HM736"/>
      <c r="HN736"/>
      <c r="HO736"/>
      <c r="HP736"/>
      <c r="HQ736"/>
      <c r="HR736"/>
      <c r="HS736"/>
      <c r="HT736"/>
      <c r="HU736"/>
      <c r="HV736"/>
      <c r="HW736"/>
      <c r="HX736"/>
      <c r="HY736"/>
      <c r="HZ736"/>
      <c r="IA736"/>
      <c r="IB736"/>
      <c r="IC736"/>
      <c r="ID736"/>
      <c r="IE736"/>
      <c r="IF736"/>
      <c r="IG736"/>
      <c r="IH736"/>
      <c r="II736"/>
      <c r="IJ736"/>
      <c r="IK736"/>
      <c r="IL736"/>
      <c r="IM736"/>
      <c r="IN736"/>
      <c r="IO736"/>
      <c r="IP736"/>
      <c r="IQ736"/>
      <c r="IR736"/>
      <c r="IS736"/>
      <c r="IT736"/>
      <c r="IU736"/>
      <c r="IV736"/>
    </row>
    <row r="737" spans="1:256" ht="12.75" hidden="1" customHeight="1" x14ac:dyDescent="0.2">
      <c r="A737" s="551"/>
      <c r="B737" s="561" t="s">
        <v>835</v>
      </c>
      <c r="C737" s="560">
        <v>1000000</v>
      </c>
      <c r="D737" s="562">
        <f>1000000-250000</f>
        <v>750000</v>
      </c>
      <c r="E737" s="564">
        <v>651298.37</v>
      </c>
      <c r="F737" s="580">
        <v>651298.37</v>
      </c>
      <c r="G737" s="127">
        <v>0</v>
      </c>
      <c r="H737"/>
      <c r="I737"/>
      <c r="J737"/>
      <c r="K737"/>
      <c r="L737"/>
      <c r="M737"/>
      <c r="N737"/>
      <c r="O737"/>
      <c r="P737"/>
      <c r="Q737"/>
      <c r="R737"/>
      <c r="S737"/>
      <c r="T737"/>
      <c r="U737"/>
      <c r="V737"/>
      <c r="W737"/>
      <c r="X737"/>
      <c r="Y737"/>
      <c r="Z737"/>
      <c r="AA737"/>
      <c r="AB737"/>
      <c r="AC737"/>
      <c r="AD737"/>
      <c r="AE737"/>
      <c r="AF737"/>
      <c r="AG737"/>
      <c r="AH737"/>
      <c r="AI737"/>
      <c r="AJ737"/>
      <c r="AK737"/>
      <c r="AL737"/>
      <c r="AM737"/>
      <c r="AN737"/>
      <c r="AO737"/>
      <c r="AP737"/>
      <c r="AQ737"/>
      <c r="AR737"/>
      <c r="AS737"/>
      <c r="AT737"/>
      <c r="AU737"/>
      <c r="AV737"/>
      <c r="AW737"/>
      <c r="AX737"/>
      <c r="AY737"/>
      <c r="AZ737"/>
      <c r="BA737"/>
      <c r="BB737"/>
      <c r="BC737"/>
      <c r="BD737"/>
      <c r="BE737"/>
      <c r="BF737"/>
      <c r="BG737"/>
      <c r="BH737"/>
      <c r="BI737"/>
      <c r="BJ737"/>
      <c r="BK737"/>
      <c r="BL737"/>
      <c r="BM737"/>
      <c r="BN737"/>
      <c r="BO737"/>
      <c r="BP737"/>
      <c r="BQ737"/>
      <c r="BR737"/>
      <c r="BS737"/>
      <c r="BT737"/>
      <c r="BU737"/>
      <c r="BV737"/>
      <c r="BW737"/>
      <c r="BX737"/>
      <c r="BY737"/>
      <c r="BZ737"/>
      <c r="CA737"/>
      <c r="CB737"/>
      <c r="CC737"/>
      <c r="CD737"/>
      <c r="CE737"/>
      <c r="CF737"/>
      <c r="CG737"/>
      <c r="CH737"/>
      <c r="CI737"/>
      <c r="CJ737"/>
      <c r="CK737"/>
      <c r="CL737"/>
      <c r="CM737"/>
      <c r="CN737"/>
      <c r="CO737"/>
      <c r="CP737"/>
      <c r="CQ737"/>
      <c r="CR737"/>
      <c r="CS737"/>
      <c r="CT737"/>
      <c r="CU737"/>
      <c r="CV737"/>
      <c r="CW737"/>
      <c r="CX737"/>
      <c r="CY737"/>
      <c r="CZ737"/>
      <c r="DA737"/>
      <c r="DB737"/>
      <c r="DC737"/>
      <c r="DD737"/>
      <c r="DE737"/>
      <c r="DF737"/>
      <c r="DG737"/>
      <c r="DH737"/>
      <c r="DI737"/>
      <c r="DJ737"/>
      <c r="DK737"/>
      <c r="DL737"/>
      <c r="DM737"/>
      <c r="DN737"/>
      <c r="DO737"/>
      <c r="DP737"/>
      <c r="DQ737"/>
      <c r="DR737"/>
      <c r="DS737"/>
      <c r="DT737"/>
      <c r="DU737"/>
      <c r="DV737"/>
      <c r="DW737"/>
      <c r="DX737"/>
      <c r="DY737"/>
      <c r="DZ737"/>
      <c r="EA737"/>
      <c r="EB737"/>
      <c r="EC737"/>
      <c r="ED737"/>
      <c r="EE737"/>
      <c r="EF737"/>
      <c r="EG737"/>
      <c r="EH737"/>
      <c r="EI737"/>
      <c r="EJ737"/>
      <c r="EK737"/>
      <c r="EL737"/>
      <c r="EM737"/>
      <c r="EN737"/>
      <c r="EO737"/>
      <c r="EP737"/>
      <c r="EQ737"/>
      <c r="ER737"/>
      <c r="ES737"/>
      <c r="ET737"/>
      <c r="EU737"/>
      <c r="EV737"/>
      <c r="EW737"/>
      <c r="EX737"/>
      <c r="EY737"/>
      <c r="EZ737"/>
      <c r="FA737"/>
      <c r="FB737"/>
      <c r="FC737"/>
      <c r="FD737"/>
      <c r="FE737"/>
      <c r="FF737"/>
      <c r="FG737"/>
      <c r="FH737"/>
      <c r="FI737"/>
      <c r="FJ737"/>
      <c r="FK737"/>
      <c r="FL737"/>
      <c r="FM737"/>
      <c r="FN737"/>
      <c r="FO737"/>
      <c r="FP737"/>
      <c r="FQ737"/>
      <c r="FR737"/>
      <c r="FS737"/>
      <c r="FT737"/>
      <c r="FU737"/>
      <c r="FV737"/>
      <c r="FW737"/>
      <c r="FX737"/>
      <c r="FY737"/>
      <c r="FZ737"/>
      <c r="GA737"/>
      <c r="GB737"/>
      <c r="GC737"/>
      <c r="GD737"/>
      <c r="GE737"/>
      <c r="GF737"/>
      <c r="GG737"/>
      <c r="GH737"/>
      <c r="GI737"/>
      <c r="GJ737"/>
      <c r="GK737"/>
      <c r="GL737"/>
      <c r="GM737"/>
      <c r="GN737"/>
      <c r="GO737"/>
      <c r="GP737"/>
      <c r="GQ737"/>
      <c r="GR737"/>
      <c r="GS737"/>
      <c r="GT737"/>
      <c r="GU737"/>
      <c r="GV737"/>
      <c r="GW737"/>
      <c r="GX737"/>
      <c r="GY737"/>
      <c r="GZ737"/>
      <c r="HA737"/>
      <c r="HB737"/>
      <c r="HC737"/>
      <c r="HD737"/>
      <c r="HE737"/>
      <c r="HF737"/>
      <c r="HG737"/>
      <c r="HH737"/>
      <c r="HI737"/>
      <c r="HJ737"/>
      <c r="HK737"/>
      <c r="HL737"/>
      <c r="HM737"/>
      <c r="HN737"/>
      <c r="HO737"/>
      <c r="HP737"/>
      <c r="HQ737"/>
      <c r="HR737"/>
      <c r="HS737"/>
      <c r="HT737"/>
      <c r="HU737"/>
      <c r="HV737"/>
      <c r="HW737"/>
      <c r="HX737"/>
      <c r="HY737"/>
      <c r="HZ737"/>
      <c r="IA737"/>
      <c r="IB737"/>
      <c r="IC737"/>
      <c r="ID737"/>
      <c r="IE737"/>
      <c r="IF737"/>
      <c r="IG737"/>
      <c r="IH737"/>
      <c r="II737"/>
      <c r="IJ737"/>
      <c r="IK737"/>
      <c r="IL737"/>
      <c r="IM737"/>
      <c r="IN737"/>
      <c r="IO737"/>
      <c r="IP737"/>
      <c r="IQ737"/>
      <c r="IR737"/>
      <c r="IS737"/>
      <c r="IT737"/>
      <c r="IU737"/>
      <c r="IV737"/>
    </row>
    <row r="738" spans="1:256" ht="12.75" hidden="1" customHeight="1" x14ac:dyDescent="0.2">
      <c r="A738" s="551" t="s">
        <v>448</v>
      </c>
      <c r="B738" s="561" t="s">
        <v>836</v>
      </c>
      <c r="C738" s="558">
        <f>8000000-8000000</f>
        <v>0</v>
      </c>
      <c r="D738" s="591">
        <v>107000</v>
      </c>
      <c r="E738" s="592">
        <v>107000</v>
      </c>
      <c r="F738" s="580">
        <v>106480</v>
      </c>
      <c r="G738" s="127">
        <v>0</v>
      </c>
      <c r="H738"/>
      <c r="I738"/>
      <c r="J738"/>
      <c r="K738"/>
      <c r="L738"/>
      <c r="M738"/>
      <c r="N738"/>
      <c r="O738"/>
      <c r="P738"/>
      <c r="Q738"/>
      <c r="R738"/>
      <c r="S738"/>
      <c r="T738"/>
      <c r="U738"/>
      <c r="V738"/>
      <c r="W738"/>
      <c r="X738"/>
      <c r="Y738"/>
      <c r="Z738"/>
      <c r="AA738"/>
      <c r="AB738"/>
      <c r="AC738"/>
      <c r="AD738"/>
      <c r="AE738"/>
      <c r="AF738"/>
      <c r="AG738"/>
      <c r="AH738"/>
      <c r="AI738"/>
      <c r="AJ738"/>
      <c r="AK738"/>
      <c r="AL738"/>
      <c r="AM738"/>
      <c r="AN738"/>
      <c r="AO738"/>
      <c r="AP738"/>
      <c r="AQ738"/>
      <c r="AR738"/>
      <c r="AS738"/>
      <c r="AT738"/>
      <c r="AU738"/>
      <c r="AV738"/>
      <c r="AW738"/>
      <c r="AX738"/>
      <c r="AY738"/>
      <c r="AZ738"/>
      <c r="BA738"/>
      <c r="BB738"/>
      <c r="BC738"/>
      <c r="BD738"/>
      <c r="BE738"/>
      <c r="BF738"/>
      <c r="BG738"/>
      <c r="BH738"/>
      <c r="BI738"/>
      <c r="BJ738"/>
      <c r="BK738"/>
      <c r="BL738"/>
      <c r="BM738"/>
      <c r="BN738"/>
      <c r="BO738"/>
      <c r="BP738"/>
      <c r="BQ738"/>
      <c r="BR738"/>
      <c r="BS738"/>
      <c r="BT738"/>
      <c r="BU738"/>
      <c r="BV738"/>
      <c r="BW738"/>
      <c r="BX738"/>
      <c r="BY738"/>
      <c r="BZ738"/>
      <c r="CA738"/>
      <c r="CB738"/>
      <c r="CC738"/>
      <c r="CD738"/>
      <c r="CE738"/>
      <c r="CF738"/>
      <c r="CG738"/>
      <c r="CH738"/>
      <c r="CI738"/>
      <c r="CJ738"/>
      <c r="CK738"/>
      <c r="CL738"/>
      <c r="CM738"/>
      <c r="CN738"/>
      <c r="CO738"/>
      <c r="CP738"/>
      <c r="CQ738"/>
      <c r="CR738"/>
      <c r="CS738"/>
      <c r="CT738"/>
      <c r="CU738"/>
      <c r="CV738"/>
      <c r="CW738"/>
      <c r="CX738"/>
      <c r="CY738"/>
      <c r="CZ738"/>
      <c r="DA738"/>
      <c r="DB738"/>
      <c r="DC738"/>
      <c r="DD738"/>
      <c r="DE738"/>
      <c r="DF738"/>
      <c r="DG738"/>
      <c r="DH738"/>
      <c r="DI738"/>
      <c r="DJ738"/>
      <c r="DK738"/>
      <c r="DL738"/>
      <c r="DM738"/>
      <c r="DN738"/>
      <c r="DO738"/>
      <c r="DP738"/>
      <c r="DQ738"/>
      <c r="DR738"/>
      <c r="DS738"/>
      <c r="DT738"/>
      <c r="DU738"/>
      <c r="DV738"/>
      <c r="DW738"/>
      <c r="DX738"/>
      <c r="DY738"/>
      <c r="DZ738"/>
      <c r="EA738"/>
      <c r="EB738"/>
      <c r="EC738"/>
      <c r="ED738"/>
      <c r="EE738"/>
      <c r="EF738"/>
      <c r="EG738"/>
      <c r="EH738"/>
      <c r="EI738"/>
      <c r="EJ738"/>
      <c r="EK738"/>
      <c r="EL738"/>
      <c r="EM738"/>
      <c r="EN738"/>
      <c r="EO738"/>
      <c r="EP738"/>
      <c r="EQ738"/>
      <c r="ER738"/>
      <c r="ES738"/>
      <c r="ET738"/>
      <c r="EU738"/>
      <c r="EV738"/>
      <c r="EW738"/>
      <c r="EX738"/>
      <c r="EY738"/>
      <c r="EZ738"/>
      <c r="FA738"/>
      <c r="FB738"/>
      <c r="FC738"/>
      <c r="FD738"/>
      <c r="FE738"/>
      <c r="FF738"/>
      <c r="FG738"/>
      <c r="FH738"/>
      <c r="FI738"/>
      <c r="FJ738"/>
      <c r="FK738"/>
      <c r="FL738"/>
      <c r="FM738"/>
      <c r="FN738"/>
      <c r="FO738"/>
      <c r="FP738"/>
      <c r="FQ738"/>
      <c r="FR738"/>
      <c r="FS738"/>
      <c r="FT738"/>
      <c r="FU738"/>
      <c r="FV738"/>
      <c r="FW738"/>
      <c r="FX738"/>
      <c r="FY738"/>
      <c r="FZ738"/>
      <c r="GA738"/>
      <c r="GB738"/>
      <c r="GC738"/>
      <c r="GD738"/>
      <c r="GE738"/>
      <c r="GF738"/>
      <c r="GG738"/>
      <c r="GH738"/>
      <c r="GI738"/>
      <c r="GJ738"/>
      <c r="GK738"/>
      <c r="GL738"/>
      <c r="GM738"/>
      <c r="GN738"/>
      <c r="GO738"/>
      <c r="GP738"/>
      <c r="GQ738"/>
      <c r="GR738"/>
      <c r="GS738"/>
      <c r="GT738"/>
      <c r="GU738"/>
      <c r="GV738"/>
      <c r="GW738"/>
      <c r="GX738"/>
      <c r="GY738"/>
      <c r="GZ738"/>
      <c r="HA738"/>
      <c r="HB738"/>
      <c r="HC738"/>
      <c r="HD738"/>
      <c r="HE738"/>
      <c r="HF738"/>
      <c r="HG738"/>
      <c r="HH738"/>
      <c r="HI738"/>
      <c r="HJ738"/>
      <c r="HK738"/>
      <c r="HL738"/>
      <c r="HM738"/>
      <c r="HN738"/>
      <c r="HO738"/>
      <c r="HP738"/>
      <c r="HQ738"/>
      <c r="HR738"/>
      <c r="HS738"/>
      <c r="HT738"/>
      <c r="HU738"/>
      <c r="HV738"/>
      <c r="HW738"/>
      <c r="HX738"/>
      <c r="HY738"/>
      <c r="HZ738"/>
      <c r="IA738"/>
      <c r="IB738"/>
      <c r="IC738"/>
      <c r="ID738"/>
      <c r="IE738"/>
      <c r="IF738"/>
      <c r="IG738"/>
      <c r="IH738"/>
      <c r="II738"/>
      <c r="IJ738"/>
      <c r="IK738"/>
      <c r="IL738"/>
      <c r="IM738"/>
      <c r="IN738"/>
      <c r="IO738"/>
      <c r="IP738"/>
      <c r="IQ738"/>
      <c r="IR738"/>
      <c r="IS738"/>
      <c r="IT738"/>
      <c r="IU738"/>
      <c r="IV738"/>
    </row>
    <row r="739" spans="1:256" ht="12.75" hidden="1" customHeight="1" x14ac:dyDescent="0.2">
      <c r="A739" s="551"/>
      <c r="B739" s="557" t="s">
        <v>837</v>
      </c>
      <c r="C739" s="558">
        <v>350000</v>
      </c>
      <c r="D739" s="591">
        <v>293000</v>
      </c>
      <c r="E739" s="592">
        <v>240000</v>
      </c>
      <c r="F739" s="589">
        <v>0</v>
      </c>
      <c r="G739" s="476">
        <v>0</v>
      </c>
      <c r="H739"/>
      <c r="I739"/>
      <c r="J739"/>
      <c r="K739"/>
      <c r="L739"/>
      <c r="M739"/>
      <c r="N739"/>
      <c r="O739"/>
      <c r="P739"/>
      <c r="Q739"/>
      <c r="R739"/>
      <c r="S739"/>
      <c r="T739"/>
      <c r="U739"/>
      <c r="V739"/>
      <c r="W739"/>
      <c r="X739"/>
      <c r="Y739"/>
      <c r="Z739"/>
      <c r="AA739"/>
      <c r="AB739"/>
      <c r="AC739"/>
      <c r="AD739"/>
      <c r="AE739"/>
      <c r="AF739"/>
      <c r="AG739"/>
      <c r="AH739"/>
      <c r="AI739"/>
      <c r="AJ739"/>
      <c r="AK739"/>
      <c r="AL739"/>
      <c r="AM739"/>
      <c r="AN739"/>
      <c r="AO739"/>
      <c r="AP739"/>
      <c r="AQ739"/>
      <c r="AR739"/>
      <c r="AS739"/>
      <c r="AT739"/>
      <c r="AU739"/>
      <c r="AV739"/>
      <c r="AW739"/>
      <c r="AX739"/>
      <c r="AY739"/>
      <c r="AZ739"/>
      <c r="BA739"/>
      <c r="BB739"/>
      <c r="BC739"/>
      <c r="BD739"/>
      <c r="BE739"/>
      <c r="BF739"/>
      <c r="BG739"/>
      <c r="BH739"/>
      <c r="BI739"/>
      <c r="BJ739"/>
      <c r="BK739"/>
      <c r="BL739"/>
      <c r="BM739"/>
      <c r="BN739"/>
      <c r="BO739"/>
      <c r="BP739"/>
      <c r="BQ739"/>
      <c r="BR739"/>
      <c r="BS739"/>
      <c r="BT739"/>
      <c r="BU739"/>
      <c r="BV739"/>
      <c r="BW739"/>
      <c r="BX739"/>
      <c r="BY739"/>
      <c r="BZ739"/>
      <c r="CA739"/>
      <c r="CB739"/>
      <c r="CC739"/>
      <c r="CD739"/>
      <c r="CE739"/>
      <c r="CF739"/>
      <c r="CG739"/>
      <c r="CH739"/>
      <c r="CI739"/>
      <c r="CJ739"/>
      <c r="CK739"/>
      <c r="CL739"/>
      <c r="CM739"/>
      <c r="CN739"/>
      <c r="CO739"/>
      <c r="CP739"/>
      <c r="CQ739"/>
      <c r="CR739"/>
      <c r="CS739"/>
      <c r="CT739"/>
      <c r="CU739"/>
      <c r="CV739"/>
      <c r="CW739"/>
      <c r="CX739"/>
      <c r="CY739"/>
      <c r="CZ739"/>
      <c r="DA739"/>
      <c r="DB739"/>
      <c r="DC739"/>
      <c r="DD739"/>
      <c r="DE739"/>
      <c r="DF739"/>
      <c r="DG739"/>
      <c r="DH739"/>
      <c r="DI739"/>
      <c r="DJ739"/>
      <c r="DK739"/>
      <c r="DL739"/>
      <c r="DM739"/>
      <c r="DN739"/>
      <c r="DO739"/>
      <c r="DP739"/>
      <c r="DQ739"/>
      <c r="DR739"/>
      <c r="DS739"/>
      <c r="DT739"/>
      <c r="DU739"/>
      <c r="DV739"/>
      <c r="DW739"/>
      <c r="DX739"/>
      <c r="DY739"/>
      <c r="DZ739"/>
      <c r="EA739"/>
      <c r="EB739"/>
      <c r="EC739"/>
      <c r="ED739"/>
      <c r="EE739"/>
      <c r="EF739"/>
      <c r="EG739"/>
      <c r="EH739"/>
      <c r="EI739"/>
      <c r="EJ739"/>
      <c r="EK739"/>
      <c r="EL739"/>
      <c r="EM739"/>
      <c r="EN739"/>
      <c r="EO739"/>
      <c r="EP739"/>
      <c r="EQ739"/>
      <c r="ER739"/>
      <c r="ES739"/>
      <c r="ET739"/>
      <c r="EU739"/>
      <c r="EV739"/>
      <c r="EW739"/>
      <c r="EX739"/>
      <c r="EY739"/>
      <c r="EZ739"/>
      <c r="FA739"/>
      <c r="FB739"/>
      <c r="FC739"/>
      <c r="FD739"/>
      <c r="FE739"/>
      <c r="FF739"/>
      <c r="FG739"/>
      <c r="FH739"/>
      <c r="FI739"/>
      <c r="FJ739"/>
      <c r="FK739"/>
      <c r="FL739"/>
      <c r="FM739"/>
      <c r="FN739"/>
      <c r="FO739"/>
      <c r="FP739"/>
      <c r="FQ739"/>
      <c r="FR739"/>
      <c r="FS739"/>
      <c r="FT739"/>
      <c r="FU739"/>
      <c r="FV739"/>
      <c r="FW739"/>
      <c r="FX739"/>
      <c r="FY739"/>
      <c r="FZ739"/>
      <c r="GA739"/>
      <c r="GB739"/>
      <c r="GC739"/>
      <c r="GD739"/>
      <c r="GE739"/>
      <c r="GF739"/>
      <c r="GG739"/>
      <c r="GH739"/>
      <c r="GI739"/>
      <c r="GJ739"/>
      <c r="GK739"/>
      <c r="GL739"/>
      <c r="GM739"/>
      <c r="GN739"/>
      <c r="GO739"/>
      <c r="GP739"/>
      <c r="GQ739"/>
      <c r="GR739"/>
      <c r="GS739"/>
      <c r="GT739"/>
      <c r="GU739"/>
      <c r="GV739"/>
      <c r="GW739"/>
      <c r="GX739"/>
      <c r="GY739"/>
      <c r="GZ739"/>
      <c r="HA739"/>
      <c r="HB739"/>
      <c r="HC739"/>
      <c r="HD739"/>
      <c r="HE739"/>
      <c r="HF739"/>
      <c r="HG739"/>
      <c r="HH739"/>
      <c r="HI739"/>
      <c r="HJ739"/>
      <c r="HK739"/>
      <c r="HL739"/>
      <c r="HM739"/>
      <c r="HN739"/>
      <c r="HO739"/>
      <c r="HP739"/>
      <c r="HQ739"/>
      <c r="HR739"/>
      <c r="HS739"/>
      <c r="HT739"/>
      <c r="HU739"/>
      <c r="HV739"/>
      <c r="HW739"/>
      <c r="HX739"/>
      <c r="HY739"/>
      <c r="HZ739"/>
      <c r="IA739"/>
      <c r="IB739"/>
      <c r="IC739"/>
      <c r="ID739"/>
      <c r="IE739"/>
      <c r="IF739"/>
      <c r="IG739"/>
      <c r="IH739"/>
      <c r="II739"/>
      <c r="IJ739"/>
      <c r="IK739"/>
      <c r="IL739"/>
      <c r="IM739"/>
      <c r="IN739"/>
      <c r="IO739"/>
      <c r="IP739"/>
      <c r="IQ739"/>
      <c r="IR739"/>
      <c r="IS739"/>
      <c r="IT739"/>
      <c r="IU739"/>
      <c r="IV739"/>
    </row>
    <row r="740" spans="1:256" ht="12.75" hidden="1" customHeight="1" x14ac:dyDescent="0.2">
      <c r="A740" s="551"/>
      <c r="B740" s="557" t="s">
        <v>838</v>
      </c>
      <c r="C740" s="558">
        <v>350000</v>
      </c>
      <c r="D740" s="591">
        <v>300000</v>
      </c>
      <c r="E740" s="593">
        <v>296000</v>
      </c>
      <c r="F740" s="580">
        <v>0</v>
      </c>
      <c r="G740" s="127">
        <v>0</v>
      </c>
      <c r="H740"/>
      <c r="I740"/>
      <c r="J740"/>
      <c r="K740"/>
      <c r="L740"/>
      <c r="M740"/>
      <c r="N740"/>
      <c r="O740"/>
      <c r="P740"/>
      <c r="Q740"/>
      <c r="R740"/>
      <c r="S740"/>
      <c r="T740"/>
      <c r="U740"/>
      <c r="V740"/>
      <c r="W740"/>
      <c r="X740"/>
      <c r="Y740"/>
      <c r="Z740"/>
      <c r="AA740"/>
      <c r="AB740"/>
      <c r="AC740"/>
      <c r="AD740"/>
      <c r="AE740"/>
      <c r="AF740"/>
      <c r="AG740"/>
      <c r="AH740"/>
      <c r="AI740"/>
      <c r="AJ740"/>
      <c r="AK740"/>
      <c r="AL740"/>
      <c r="AM740"/>
      <c r="AN740"/>
      <c r="AO740"/>
      <c r="AP740"/>
      <c r="AQ740"/>
      <c r="AR740"/>
      <c r="AS740"/>
      <c r="AT740"/>
      <c r="AU740"/>
      <c r="AV740"/>
      <c r="AW740"/>
      <c r="AX740"/>
      <c r="AY740"/>
      <c r="AZ740"/>
      <c r="BA740"/>
      <c r="BB740"/>
      <c r="BC740"/>
      <c r="BD740"/>
      <c r="BE740"/>
      <c r="BF740"/>
      <c r="BG740"/>
      <c r="BH740"/>
      <c r="BI740"/>
      <c r="BJ740"/>
      <c r="BK740"/>
      <c r="BL740"/>
      <c r="BM740"/>
      <c r="BN740"/>
      <c r="BO740"/>
      <c r="BP740"/>
      <c r="BQ740"/>
      <c r="BR740"/>
      <c r="BS740"/>
      <c r="BT740"/>
      <c r="BU740"/>
      <c r="BV740"/>
      <c r="BW740"/>
      <c r="BX740"/>
      <c r="BY740"/>
      <c r="BZ740"/>
      <c r="CA740"/>
      <c r="CB740"/>
      <c r="CC740"/>
      <c r="CD740"/>
      <c r="CE740"/>
      <c r="CF740"/>
      <c r="CG740"/>
      <c r="CH740"/>
      <c r="CI740"/>
      <c r="CJ740"/>
      <c r="CK740"/>
      <c r="CL740"/>
      <c r="CM740"/>
      <c r="CN740"/>
      <c r="CO740"/>
      <c r="CP740"/>
      <c r="CQ740"/>
      <c r="CR740"/>
      <c r="CS740"/>
      <c r="CT740"/>
      <c r="CU740"/>
      <c r="CV740"/>
      <c r="CW740"/>
      <c r="CX740"/>
      <c r="CY740"/>
      <c r="CZ740"/>
      <c r="DA740"/>
      <c r="DB740"/>
      <c r="DC740"/>
      <c r="DD740"/>
      <c r="DE740"/>
      <c r="DF740"/>
      <c r="DG740"/>
      <c r="DH740"/>
      <c r="DI740"/>
      <c r="DJ740"/>
      <c r="DK740"/>
      <c r="DL740"/>
      <c r="DM740"/>
      <c r="DN740"/>
      <c r="DO740"/>
      <c r="DP740"/>
      <c r="DQ740"/>
      <c r="DR740"/>
      <c r="DS740"/>
      <c r="DT740"/>
      <c r="DU740"/>
      <c r="DV740"/>
      <c r="DW740"/>
      <c r="DX740"/>
      <c r="DY740"/>
      <c r="DZ740"/>
      <c r="EA740"/>
      <c r="EB740"/>
      <c r="EC740"/>
      <c r="ED740"/>
      <c r="EE740"/>
      <c r="EF740"/>
      <c r="EG740"/>
      <c r="EH740"/>
      <c r="EI740"/>
      <c r="EJ740"/>
      <c r="EK740"/>
      <c r="EL740"/>
      <c r="EM740"/>
      <c r="EN740"/>
      <c r="EO740"/>
      <c r="EP740"/>
      <c r="EQ740"/>
      <c r="ER740"/>
      <c r="ES740"/>
      <c r="ET740"/>
      <c r="EU740"/>
      <c r="EV740"/>
      <c r="EW740"/>
      <c r="EX740"/>
      <c r="EY740"/>
      <c r="EZ740"/>
      <c r="FA740"/>
      <c r="FB740"/>
      <c r="FC740"/>
      <c r="FD740"/>
      <c r="FE740"/>
      <c r="FF740"/>
      <c r="FG740"/>
      <c r="FH740"/>
      <c r="FI740"/>
      <c r="FJ740"/>
      <c r="FK740"/>
      <c r="FL740"/>
      <c r="FM740"/>
      <c r="FN740"/>
      <c r="FO740"/>
      <c r="FP740"/>
      <c r="FQ740"/>
      <c r="FR740"/>
      <c r="FS740"/>
      <c r="FT740"/>
      <c r="FU740"/>
      <c r="FV740"/>
      <c r="FW740"/>
      <c r="FX740"/>
      <c r="FY740"/>
      <c r="FZ740"/>
      <c r="GA740"/>
      <c r="GB740"/>
      <c r="GC740"/>
      <c r="GD740"/>
      <c r="GE740"/>
      <c r="GF740"/>
      <c r="GG740"/>
      <c r="GH740"/>
      <c r="GI740"/>
      <c r="GJ740"/>
      <c r="GK740"/>
      <c r="GL740"/>
      <c r="GM740"/>
      <c r="GN740"/>
      <c r="GO740"/>
      <c r="GP740"/>
      <c r="GQ740"/>
      <c r="GR740"/>
      <c r="GS740"/>
      <c r="GT740"/>
      <c r="GU740"/>
      <c r="GV740"/>
      <c r="GW740"/>
      <c r="GX740"/>
      <c r="GY740"/>
      <c r="GZ740"/>
      <c r="HA740"/>
      <c r="HB740"/>
      <c r="HC740"/>
      <c r="HD740"/>
      <c r="HE740"/>
      <c r="HF740"/>
      <c r="HG740"/>
      <c r="HH740"/>
      <c r="HI740"/>
      <c r="HJ740"/>
      <c r="HK740"/>
      <c r="HL740"/>
      <c r="HM740"/>
      <c r="HN740"/>
      <c r="HO740"/>
      <c r="HP740"/>
      <c r="HQ740"/>
      <c r="HR740"/>
      <c r="HS740"/>
      <c r="HT740"/>
      <c r="HU740"/>
      <c r="HV740"/>
      <c r="HW740"/>
      <c r="HX740"/>
      <c r="HY740"/>
      <c r="HZ740"/>
      <c r="IA740"/>
      <c r="IB740"/>
      <c r="IC740"/>
      <c r="ID740"/>
      <c r="IE740"/>
      <c r="IF740"/>
      <c r="IG740"/>
      <c r="IH740"/>
      <c r="II740"/>
      <c r="IJ740"/>
      <c r="IK740"/>
      <c r="IL740"/>
      <c r="IM740"/>
      <c r="IN740"/>
      <c r="IO740"/>
      <c r="IP740"/>
      <c r="IQ740"/>
      <c r="IR740"/>
      <c r="IS740"/>
      <c r="IT740"/>
      <c r="IU740"/>
      <c r="IV740"/>
    </row>
    <row r="741" spans="1:256" ht="12.75" hidden="1" customHeight="1" x14ac:dyDescent="0.2">
      <c r="A741" s="594"/>
      <c r="B741" s="561" t="s">
        <v>839</v>
      </c>
      <c r="C741" s="558"/>
      <c r="D741" s="595"/>
      <c r="E741" s="596"/>
      <c r="F741" s="597"/>
      <c r="G741" s="598">
        <v>14500000</v>
      </c>
      <c r="H741"/>
      <c r="I741"/>
      <c r="J741"/>
      <c r="K741"/>
      <c r="L741"/>
      <c r="M741"/>
      <c r="N741"/>
      <c r="O741"/>
      <c r="P741"/>
      <c r="Q741"/>
      <c r="R741"/>
      <c r="S741"/>
      <c r="T741"/>
      <c r="U741"/>
      <c r="V741"/>
      <c r="W741"/>
      <c r="X741"/>
      <c r="Y741"/>
      <c r="Z741"/>
      <c r="AA741"/>
      <c r="AB741"/>
      <c r="AC741"/>
      <c r="AD741"/>
      <c r="AE741"/>
      <c r="AF741"/>
      <c r="AG741"/>
      <c r="AH741"/>
      <c r="AI741"/>
      <c r="AJ741"/>
      <c r="AK741"/>
      <c r="AL741"/>
      <c r="AM741"/>
      <c r="AN741"/>
      <c r="AO741"/>
      <c r="AP741"/>
      <c r="AQ741"/>
      <c r="AR741"/>
      <c r="AS741"/>
      <c r="AT741"/>
      <c r="AU741"/>
      <c r="AV741"/>
      <c r="AW741"/>
      <c r="AX741"/>
      <c r="AY741"/>
      <c r="AZ741"/>
      <c r="BA741"/>
      <c r="BB741"/>
      <c r="BC741"/>
      <c r="BD741"/>
      <c r="BE741"/>
      <c r="BF741"/>
      <c r="BG741"/>
      <c r="BH741"/>
      <c r="BI741"/>
      <c r="BJ741"/>
      <c r="BK741"/>
      <c r="BL741"/>
      <c r="BM741"/>
      <c r="BN741"/>
      <c r="BO741"/>
      <c r="BP741"/>
      <c r="BQ741"/>
      <c r="BR741"/>
      <c r="BS741"/>
      <c r="BT741"/>
      <c r="BU741"/>
      <c r="BV741"/>
      <c r="BW741"/>
      <c r="BX741"/>
      <c r="BY741"/>
      <c r="BZ741"/>
      <c r="CA741"/>
      <c r="CB741"/>
      <c r="CC741"/>
      <c r="CD741"/>
      <c r="CE741"/>
      <c r="CF741"/>
      <c r="CG741"/>
      <c r="CH741"/>
      <c r="CI741"/>
      <c r="CJ741"/>
      <c r="CK741"/>
      <c r="CL741"/>
      <c r="CM741"/>
      <c r="CN741"/>
      <c r="CO741"/>
      <c r="CP741"/>
      <c r="CQ741"/>
      <c r="CR741"/>
      <c r="CS741"/>
      <c r="CT741"/>
      <c r="CU741"/>
      <c r="CV741"/>
      <c r="CW741"/>
      <c r="CX741"/>
      <c r="CY741"/>
      <c r="CZ741"/>
      <c r="DA741"/>
      <c r="DB741"/>
      <c r="DC741"/>
      <c r="DD741"/>
      <c r="DE741"/>
      <c r="DF741"/>
      <c r="DG741"/>
      <c r="DH741"/>
      <c r="DI741"/>
      <c r="DJ741"/>
      <c r="DK741"/>
      <c r="DL741"/>
      <c r="DM741"/>
      <c r="DN741"/>
      <c r="DO741"/>
      <c r="DP741"/>
      <c r="DQ741"/>
      <c r="DR741"/>
      <c r="DS741"/>
      <c r="DT741"/>
      <c r="DU741"/>
      <c r="DV741"/>
      <c r="DW741"/>
      <c r="DX741"/>
      <c r="DY741"/>
      <c r="DZ741"/>
      <c r="EA741"/>
      <c r="EB741"/>
      <c r="EC741"/>
      <c r="ED741"/>
      <c r="EE741"/>
      <c r="EF741"/>
      <c r="EG741"/>
      <c r="EH741"/>
      <c r="EI741"/>
      <c r="EJ741"/>
      <c r="EK741"/>
      <c r="EL741"/>
      <c r="EM741"/>
      <c r="EN741"/>
      <c r="EO741"/>
      <c r="EP741"/>
      <c r="EQ741"/>
      <c r="ER741"/>
      <c r="ES741"/>
      <c r="ET741"/>
      <c r="EU741"/>
      <c r="EV741"/>
      <c r="EW741"/>
      <c r="EX741"/>
      <c r="EY741"/>
      <c r="EZ741"/>
      <c r="FA741"/>
      <c r="FB741"/>
      <c r="FC741"/>
      <c r="FD741"/>
      <c r="FE741"/>
      <c r="FF741"/>
      <c r="FG741"/>
      <c r="FH741"/>
      <c r="FI741"/>
      <c r="FJ741"/>
      <c r="FK741"/>
      <c r="FL741"/>
      <c r="FM741"/>
      <c r="FN741"/>
      <c r="FO741"/>
      <c r="FP741"/>
      <c r="FQ741"/>
      <c r="FR741"/>
      <c r="FS741"/>
      <c r="FT741"/>
      <c r="FU741"/>
      <c r="FV741"/>
      <c r="FW741"/>
      <c r="FX741"/>
      <c r="FY741"/>
      <c r="FZ741"/>
      <c r="GA741"/>
      <c r="GB741"/>
      <c r="GC741"/>
      <c r="GD741"/>
      <c r="GE741"/>
      <c r="GF741"/>
      <c r="GG741"/>
      <c r="GH741"/>
      <c r="GI741"/>
      <c r="GJ741"/>
      <c r="GK741"/>
      <c r="GL741"/>
      <c r="GM741"/>
      <c r="GN741"/>
      <c r="GO741"/>
      <c r="GP741"/>
      <c r="GQ741"/>
      <c r="GR741"/>
      <c r="GS741"/>
      <c r="GT741"/>
      <c r="GU741"/>
      <c r="GV741"/>
      <c r="GW741"/>
      <c r="GX741"/>
      <c r="GY741"/>
      <c r="GZ741"/>
      <c r="HA741"/>
      <c r="HB741"/>
      <c r="HC741"/>
      <c r="HD741"/>
      <c r="HE741"/>
      <c r="HF741"/>
      <c r="HG741"/>
      <c r="HH741"/>
      <c r="HI741"/>
      <c r="HJ741"/>
      <c r="HK741"/>
      <c r="HL741"/>
      <c r="HM741"/>
      <c r="HN741"/>
      <c r="HO741"/>
      <c r="HP741"/>
      <c r="HQ741"/>
      <c r="HR741"/>
      <c r="HS741"/>
      <c r="HT741"/>
      <c r="HU741"/>
      <c r="HV741"/>
      <c r="HW741"/>
      <c r="HX741"/>
      <c r="HY741"/>
      <c r="HZ741"/>
      <c r="IA741"/>
      <c r="IB741"/>
      <c r="IC741"/>
      <c r="ID741"/>
      <c r="IE741"/>
      <c r="IF741"/>
      <c r="IG741"/>
      <c r="IH741"/>
      <c r="II741"/>
      <c r="IJ741"/>
      <c r="IK741"/>
      <c r="IL741"/>
      <c r="IM741"/>
      <c r="IN741"/>
      <c r="IO741"/>
      <c r="IP741"/>
      <c r="IQ741"/>
      <c r="IR741"/>
      <c r="IS741"/>
      <c r="IT741"/>
      <c r="IU741"/>
      <c r="IV741"/>
    </row>
    <row r="742" spans="1:256" ht="12.75" hidden="1" customHeight="1" x14ac:dyDescent="0.2">
      <c r="A742" s="594"/>
      <c r="B742" s="561" t="s">
        <v>840</v>
      </c>
      <c r="C742" s="558"/>
      <c r="D742" s="595"/>
      <c r="E742" s="599"/>
      <c r="F742" s="597"/>
      <c r="G742" s="600">
        <v>9500000</v>
      </c>
      <c r="H742"/>
      <c r="I742"/>
      <c r="J742"/>
      <c r="K742"/>
      <c r="L742"/>
      <c r="M742"/>
      <c r="N742"/>
      <c r="O742"/>
      <c r="P742"/>
      <c r="Q742"/>
      <c r="R742"/>
      <c r="S742"/>
      <c r="T742"/>
      <c r="U742"/>
      <c r="V742"/>
      <c r="W742"/>
      <c r="X742"/>
      <c r="Y742"/>
      <c r="Z742"/>
      <c r="AA742"/>
      <c r="AB742"/>
      <c r="AC742"/>
      <c r="AD742"/>
      <c r="AE742"/>
      <c r="AF742"/>
      <c r="AG742"/>
      <c r="AH742"/>
      <c r="AI742"/>
      <c r="AJ742"/>
      <c r="AK742"/>
      <c r="AL742"/>
      <c r="AM742"/>
      <c r="AN742"/>
      <c r="AO742"/>
      <c r="AP742"/>
      <c r="AQ742"/>
      <c r="AR742"/>
      <c r="AS742"/>
      <c r="AT742"/>
      <c r="AU742"/>
      <c r="AV742"/>
      <c r="AW742"/>
      <c r="AX742"/>
      <c r="AY742"/>
      <c r="AZ742"/>
      <c r="BA742"/>
      <c r="BB742"/>
      <c r="BC742"/>
      <c r="BD742"/>
      <c r="BE742"/>
      <c r="BF742"/>
      <c r="BG742"/>
      <c r="BH742"/>
      <c r="BI742"/>
      <c r="BJ742"/>
      <c r="BK742"/>
      <c r="BL742"/>
      <c r="BM742"/>
      <c r="BN742"/>
      <c r="BO742"/>
      <c r="BP742"/>
      <c r="BQ742"/>
      <c r="BR742"/>
      <c r="BS742"/>
      <c r="BT742"/>
      <c r="BU742"/>
      <c r="BV742"/>
      <c r="BW742"/>
      <c r="BX742"/>
      <c r="BY742"/>
      <c r="BZ742"/>
      <c r="CA742"/>
      <c r="CB742"/>
      <c r="CC742"/>
      <c r="CD742"/>
      <c r="CE742"/>
      <c r="CF742"/>
      <c r="CG742"/>
      <c r="CH742"/>
      <c r="CI742"/>
      <c r="CJ742"/>
      <c r="CK742"/>
      <c r="CL742"/>
      <c r="CM742"/>
      <c r="CN742"/>
      <c r="CO742"/>
      <c r="CP742"/>
      <c r="CQ742"/>
      <c r="CR742"/>
      <c r="CS742"/>
      <c r="CT742"/>
      <c r="CU742"/>
      <c r="CV742"/>
      <c r="CW742"/>
      <c r="CX742"/>
      <c r="CY742"/>
      <c r="CZ742"/>
      <c r="DA742"/>
      <c r="DB742"/>
      <c r="DC742"/>
      <c r="DD742"/>
      <c r="DE742"/>
      <c r="DF742"/>
      <c r="DG742"/>
      <c r="DH742"/>
      <c r="DI742"/>
      <c r="DJ742"/>
      <c r="DK742"/>
      <c r="DL742"/>
      <c r="DM742"/>
      <c r="DN742"/>
      <c r="DO742"/>
      <c r="DP742"/>
      <c r="DQ742"/>
      <c r="DR742"/>
      <c r="DS742"/>
      <c r="DT742"/>
      <c r="DU742"/>
      <c r="DV742"/>
      <c r="DW742"/>
      <c r="DX742"/>
      <c r="DY742"/>
      <c r="DZ742"/>
      <c r="EA742"/>
      <c r="EB742"/>
      <c r="EC742"/>
      <c r="ED742"/>
      <c r="EE742"/>
      <c r="EF742"/>
      <c r="EG742"/>
      <c r="EH742"/>
      <c r="EI742"/>
      <c r="EJ742"/>
      <c r="EK742"/>
      <c r="EL742"/>
      <c r="EM742"/>
      <c r="EN742"/>
      <c r="EO742"/>
      <c r="EP742"/>
      <c r="EQ742"/>
      <c r="ER742"/>
      <c r="ES742"/>
      <c r="ET742"/>
      <c r="EU742"/>
      <c r="EV742"/>
      <c r="EW742"/>
      <c r="EX742"/>
      <c r="EY742"/>
      <c r="EZ742"/>
      <c r="FA742"/>
      <c r="FB742"/>
      <c r="FC742"/>
      <c r="FD742"/>
      <c r="FE742"/>
      <c r="FF742"/>
      <c r="FG742"/>
      <c r="FH742"/>
      <c r="FI742"/>
      <c r="FJ742"/>
      <c r="FK742"/>
      <c r="FL742"/>
      <c r="FM742"/>
      <c r="FN742"/>
      <c r="FO742"/>
      <c r="FP742"/>
      <c r="FQ742"/>
      <c r="FR742"/>
      <c r="FS742"/>
      <c r="FT742"/>
      <c r="FU742"/>
      <c r="FV742"/>
      <c r="FW742"/>
      <c r="FX742"/>
      <c r="FY742"/>
      <c r="FZ742"/>
      <c r="GA742"/>
      <c r="GB742"/>
      <c r="GC742"/>
      <c r="GD742"/>
      <c r="GE742"/>
      <c r="GF742"/>
      <c r="GG742"/>
      <c r="GH742"/>
      <c r="GI742"/>
      <c r="GJ742"/>
      <c r="GK742"/>
      <c r="GL742"/>
      <c r="GM742"/>
      <c r="GN742"/>
      <c r="GO742"/>
      <c r="GP742"/>
      <c r="GQ742"/>
      <c r="GR742"/>
      <c r="GS742"/>
      <c r="GT742"/>
      <c r="GU742"/>
      <c r="GV742"/>
      <c r="GW742"/>
      <c r="GX742"/>
      <c r="GY742"/>
      <c r="GZ742"/>
      <c r="HA742"/>
      <c r="HB742"/>
      <c r="HC742"/>
      <c r="HD742"/>
      <c r="HE742"/>
      <c r="HF742"/>
      <c r="HG742"/>
      <c r="HH742"/>
      <c r="HI742"/>
      <c r="HJ742"/>
      <c r="HK742"/>
      <c r="HL742"/>
      <c r="HM742"/>
      <c r="HN742"/>
      <c r="HO742"/>
      <c r="HP742"/>
      <c r="HQ742"/>
      <c r="HR742"/>
      <c r="HS742"/>
      <c r="HT742"/>
      <c r="HU742"/>
      <c r="HV742"/>
      <c r="HW742"/>
      <c r="HX742"/>
      <c r="HY742"/>
      <c r="HZ742"/>
      <c r="IA742"/>
      <c r="IB742"/>
      <c r="IC742"/>
      <c r="ID742"/>
      <c r="IE742"/>
      <c r="IF742"/>
      <c r="IG742"/>
      <c r="IH742"/>
      <c r="II742"/>
      <c r="IJ742"/>
      <c r="IK742"/>
      <c r="IL742"/>
      <c r="IM742"/>
      <c r="IN742"/>
      <c r="IO742"/>
      <c r="IP742"/>
      <c r="IQ742"/>
      <c r="IR742"/>
      <c r="IS742"/>
      <c r="IT742"/>
      <c r="IU742"/>
      <c r="IV742"/>
    </row>
    <row r="743" spans="1:256" ht="12.75" hidden="1" customHeight="1" x14ac:dyDescent="0.2">
      <c r="A743" s="594"/>
      <c r="B743" s="561" t="s">
        <v>841</v>
      </c>
      <c r="C743" s="558"/>
      <c r="D743" s="595"/>
      <c r="E743" s="596"/>
      <c r="F743" s="597"/>
      <c r="G743" s="598">
        <v>65000000</v>
      </c>
      <c r="H743"/>
      <c r="I743"/>
      <c r="J743"/>
      <c r="K743"/>
      <c r="L743"/>
      <c r="M743"/>
      <c r="N743"/>
      <c r="O743"/>
      <c r="P743"/>
      <c r="Q743"/>
      <c r="R743"/>
      <c r="S743"/>
      <c r="T743"/>
      <c r="U743"/>
      <c r="V743"/>
      <c r="W743"/>
      <c r="X743"/>
      <c r="Y743"/>
      <c r="Z743"/>
      <c r="AA743"/>
      <c r="AB743"/>
      <c r="AC743"/>
      <c r="AD743"/>
      <c r="AE743"/>
      <c r="AF743"/>
      <c r="AG743"/>
      <c r="AH743"/>
      <c r="AI743"/>
      <c r="AJ743"/>
      <c r="AK743"/>
      <c r="AL743"/>
      <c r="AM743"/>
      <c r="AN743"/>
      <c r="AO743"/>
      <c r="AP743"/>
      <c r="AQ743"/>
      <c r="AR743"/>
      <c r="AS743"/>
      <c r="AT743"/>
      <c r="AU743"/>
      <c r="AV743"/>
      <c r="AW743"/>
      <c r="AX743"/>
      <c r="AY743"/>
      <c r="AZ743"/>
      <c r="BA743"/>
      <c r="BB743"/>
      <c r="BC743"/>
      <c r="BD743"/>
      <c r="BE743"/>
      <c r="BF743"/>
      <c r="BG743"/>
      <c r="BH743"/>
      <c r="BI743"/>
      <c r="BJ743"/>
      <c r="BK743"/>
      <c r="BL743"/>
      <c r="BM743"/>
      <c r="BN743"/>
      <c r="BO743"/>
      <c r="BP743"/>
      <c r="BQ743"/>
      <c r="BR743"/>
      <c r="BS743"/>
      <c r="BT743"/>
      <c r="BU743"/>
      <c r="BV743"/>
      <c r="BW743"/>
      <c r="BX743"/>
      <c r="BY743"/>
      <c r="BZ743"/>
      <c r="CA743"/>
      <c r="CB743"/>
      <c r="CC743"/>
      <c r="CD743"/>
      <c r="CE743"/>
      <c r="CF743"/>
      <c r="CG743"/>
      <c r="CH743"/>
      <c r="CI743"/>
      <c r="CJ743"/>
      <c r="CK743"/>
      <c r="CL743"/>
      <c r="CM743"/>
      <c r="CN743"/>
      <c r="CO743"/>
      <c r="CP743"/>
      <c r="CQ743"/>
      <c r="CR743"/>
      <c r="CS743"/>
      <c r="CT743"/>
      <c r="CU743"/>
      <c r="CV743"/>
      <c r="CW743"/>
      <c r="CX743"/>
      <c r="CY743"/>
      <c r="CZ743"/>
      <c r="DA743"/>
      <c r="DB743"/>
      <c r="DC743"/>
      <c r="DD743"/>
      <c r="DE743"/>
      <c r="DF743"/>
      <c r="DG743"/>
      <c r="DH743"/>
      <c r="DI743"/>
      <c r="DJ743"/>
      <c r="DK743"/>
      <c r="DL743"/>
      <c r="DM743"/>
      <c r="DN743"/>
      <c r="DO743"/>
      <c r="DP743"/>
      <c r="DQ743"/>
      <c r="DR743"/>
      <c r="DS743"/>
      <c r="DT743"/>
      <c r="DU743"/>
      <c r="DV743"/>
      <c r="DW743"/>
      <c r="DX743"/>
      <c r="DY743"/>
      <c r="DZ743"/>
      <c r="EA743"/>
      <c r="EB743"/>
      <c r="EC743"/>
      <c r="ED743"/>
      <c r="EE743"/>
      <c r="EF743"/>
      <c r="EG743"/>
      <c r="EH743"/>
      <c r="EI743"/>
      <c r="EJ743"/>
      <c r="EK743"/>
      <c r="EL743"/>
      <c r="EM743"/>
      <c r="EN743"/>
      <c r="EO743"/>
      <c r="EP743"/>
      <c r="EQ743"/>
      <c r="ER743"/>
      <c r="ES743"/>
      <c r="ET743"/>
      <c r="EU743"/>
      <c r="EV743"/>
      <c r="EW743"/>
      <c r="EX743"/>
      <c r="EY743"/>
      <c r="EZ743"/>
      <c r="FA743"/>
      <c r="FB743"/>
      <c r="FC743"/>
      <c r="FD743"/>
      <c r="FE743"/>
      <c r="FF743"/>
      <c r="FG743"/>
      <c r="FH743"/>
      <c r="FI743"/>
      <c r="FJ743"/>
      <c r="FK743"/>
      <c r="FL743"/>
      <c r="FM743"/>
      <c r="FN743"/>
      <c r="FO743"/>
      <c r="FP743"/>
      <c r="FQ743"/>
      <c r="FR743"/>
      <c r="FS743"/>
      <c r="FT743"/>
      <c r="FU743"/>
      <c r="FV743"/>
      <c r="FW743"/>
      <c r="FX743"/>
      <c r="FY743"/>
      <c r="FZ743"/>
      <c r="GA743"/>
      <c r="GB743"/>
      <c r="GC743"/>
      <c r="GD743"/>
      <c r="GE743"/>
      <c r="GF743"/>
      <c r="GG743"/>
      <c r="GH743"/>
      <c r="GI743"/>
      <c r="GJ743"/>
      <c r="GK743"/>
      <c r="GL743"/>
      <c r="GM743"/>
      <c r="GN743"/>
      <c r="GO743"/>
      <c r="GP743"/>
      <c r="GQ743"/>
      <c r="GR743"/>
      <c r="GS743"/>
      <c r="GT743"/>
      <c r="GU743"/>
      <c r="GV743"/>
      <c r="GW743"/>
      <c r="GX743"/>
      <c r="GY743"/>
      <c r="GZ743"/>
      <c r="HA743"/>
      <c r="HB743"/>
      <c r="HC743"/>
      <c r="HD743"/>
      <c r="HE743"/>
      <c r="HF743"/>
      <c r="HG743"/>
      <c r="HH743"/>
      <c r="HI743"/>
      <c r="HJ743"/>
      <c r="HK743"/>
      <c r="HL743"/>
      <c r="HM743"/>
      <c r="HN743"/>
      <c r="HO743"/>
      <c r="HP743"/>
      <c r="HQ743"/>
      <c r="HR743"/>
      <c r="HS743"/>
      <c r="HT743"/>
      <c r="HU743"/>
      <c r="HV743"/>
      <c r="HW743"/>
      <c r="HX743"/>
      <c r="HY743"/>
      <c r="HZ743"/>
      <c r="IA743"/>
      <c r="IB743"/>
      <c r="IC743"/>
      <c r="ID743"/>
      <c r="IE743"/>
      <c r="IF743"/>
      <c r="IG743"/>
      <c r="IH743"/>
      <c r="II743"/>
      <c r="IJ743"/>
      <c r="IK743"/>
      <c r="IL743"/>
      <c r="IM743"/>
      <c r="IN743"/>
      <c r="IO743"/>
      <c r="IP743"/>
      <c r="IQ743"/>
      <c r="IR743"/>
      <c r="IS743"/>
      <c r="IT743"/>
      <c r="IU743"/>
      <c r="IV743"/>
    </row>
    <row r="744" spans="1:256" s="607" customFormat="1" ht="12.75" hidden="1" customHeight="1" x14ac:dyDescent="0.2">
      <c r="A744" s="601"/>
      <c r="B744" s="565" t="s">
        <v>842</v>
      </c>
      <c r="C744" s="602"/>
      <c r="D744" s="603"/>
      <c r="E744" s="604"/>
      <c r="F744" s="605"/>
      <c r="G744" s="606">
        <v>300000</v>
      </c>
    </row>
    <row r="745" spans="1:256" ht="12.75" hidden="1" customHeight="1" x14ac:dyDescent="0.2">
      <c r="A745" s="594"/>
      <c r="B745" s="561" t="s">
        <v>843</v>
      </c>
      <c r="C745" s="558"/>
      <c r="D745" s="595"/>
      <c r="E745" s="599"/>
      <c r="F745" s="597"/>
      <c r="G745" s="600">
        <v>0</v>
      </c>
      <c r="H745"/>
      <c r="I745"/>
      <c r="J745"/>
      <c r="K745"/>
      <c r="L745"/>
      <c r="M745"/>
      <c r="N745"/>
      <c r="O745"/>
      <c r="P745"/>
      <c r="Q745"/>
      <c r="R745"/>
      <c r="S745"/>
      <c r="T745"/>
      <c r="U745"/>
      <c r="V745"/>
      <c r="W745"/>
      <c r="X745"/>
      <c r="Y745"/>
      <c r="Z745"/>
      <c r="AA745"/>
      <c r="AB745"/>
      <c r="AC745"/>
      <c r="AD745"/>
      <c r="AE745"/>
      <c r="AF745"/>
      <c r="AG745"/>
      <c r="AH745"/>
      <c r="AI745"/>
      <c r="AJ745"/>
      <c r="AK745"/>
      <c r="AL745"/>
      <c r="AM745"/>
      <c r="AN745"/>
      <c r="AO745"/>
      <c r="AP745"/>
      <c r="AQ745"/>
      <c r="AR745"/>
      <c r="AS745"/>
      <c r="AT745"/>
      <c r="AU745"/>
      <c r="AV745"/>
      <c r="AW745"/>
      <c r="AX745"/>
      <c r="AY745"/>
      <c r="AZ745"/>
      <c r="BA745"/>
      <c r="BB745"/>
      <c r="BC745"/>
      <c r="BD745"/>
      <c r="BE745"/>
      <c r="BF745"/>
      <c r="BG745"/>
      <c r="BH745"/>
      <c r="BI745"/>
      <c r="BJ745"/>
      <c r="BK745"/>
      <c r="BL745"/>
      <c r="BM745"/>
      <c r="BN745"/>
      <c r="BO745"/>
      <c r="BP745"/>
      <c r="BQ745"/>
      <c r="BR745"/>
      <c r="BS745"/>
      <c r="BT745"/>
      <c r="BU745"/>
      <c r="BV745"/>
      <c r="BW745"/>
      <c r="BX745"/>
      <c r="BY745"/>
      <c r="BZ745"/>
      <c r="CA745"/>
      <c r="CB745"/>
      <c r="CC745"/>
      <c r="CD745"/>
      <c r="CE745"/>
      <c r="CF745"/>
      <c r="CG745"/>
      <c r="CH745"/>
      <c r="CI745"/>
      <c r="CJ745"/>
      <c r="CK745"/>
      <c r="CL745"/>
      <c r="CM745"/>
      <c r="CN745"/>
      <c r="CO745"/>
      <c r="CP745"/>
      <c r="CQ745"/>
      <c r="CR745"/>
      <c r="CS745"/>
      <c r="CT745"/>
      <c r="CU745"/>
      <c r="CV745"/>
      <c r="CW745"/>
      <c r="CX745"/>
      <c r="CY745"/>
      <c r="CZ745"/>
      <c r="DA745"/>
      <c r="DB745"/>
      <c r="DC745"/>
      <c r="DD745"/>
      <c r="DE745"/>
      <c r="DF745"/>
      <c r="DG745"/>
      <c r="DH745"/>
      <c r="DI745"/>
      <c r="DJ745"/>
      <c r="DK745"/>
      <c r="DL745"/>
      <c r="DM745"/>
      <c r="DN745"/>
      <c r="DO745"/>
      <c r="DP745"/>
      <c r="DQ745"/>
      <c r="DR745"/>
      <c r="DS745"/>
      <c r="DT745"/>
      <c r="DU745"/>
      <c r="DV745"/>
      <c r="DW745"/>
      <c r="DX745"/>
      <c r="DY745"/>
      <c r="DZ745"/>
      <c r="EA745"/>
      <c r="EB745"/>
      <c r="EC745"/>
      <c r="ED745"/>
      <c r="EE745"/>
      <c r="EF745"/>
      <c r="EG745"/>
      <c r="EH745"/>
      <c r="EI745"/>
      <c r="EJ745"/>
      <c r="EK745"/>
      <c r="EL745"/>
      <c r="EM745"/>
      <c r="EN745"/>
      <c r="EO745"/>
      <c r="EP745"/>
      <c r="EQ745"/>
      <c r="ER745"/>
      <c r="ES745"/>
      <c r="ET745"/>
      <c r="EU745"/>
      <c r="EV745"/>
      <c r="EW745"/>
      <c r="EX745"/>
      <c r="EY745"/>
      <c r="EZ745"/>
      <c r="FA745"/>
      <c r="FB745"/>
      <c r="FC745"/>
      <c r="FD745"/>
      <c r="FE745"/>
      <c r="FF745"/>
      <c r="FG745"/>
      <c r="FH745"/>
      <c r="FI745"/>
      <c r="FJ745"/>
      <c r="FK745"/>
      <c r="FL745"/>
      <c r="FM745"/>
      <c r="FN745"/>
      <c r="FO745"/>
      <c r="FP745"/>
      <c r="FQ745"/>
      <c r="FR745"/>
      <c r="FS745"/>
      <c r="FT745"/>
      <c r="FU745"/>
      <c r="FV745"/>
      <c r="FW745"/>
      <c r="FX745"/>
      <c r="FY745"/>
      <c r="FZ745"/>
      <c r="GA745"/>
      <c r="GB745"/>
      <c r="GC745"/>
      <c r="GD745"/>
      <c r="GE745"/>
      <c r="GF745"/>
      <c r="GG745"/>
      <c r="GH745"/>
      <c r="GI745"/>
      <c r="GJ745"/>
      <c r="GK745"/>
      <c r="GL745"/>
      <c r="GM745"/>
      <c r="GN745"/>
      <c r="GO745"/>
      <c r="GP745"/>
      <c r="GQ745"/>
      <c r="GR745"/>
      <c r="GS745"/>
      <c r="GT745"/>
      <c r="GU745"/>
      <c r="GV745"/>
      <c r="GW745"/>
      <c r="GX745"/>
      <c r="GY745"/>
      <c r="GZ745"/>
      <c r="HA745"/>
      <c r="HB745"/>
      <c r="HC745"/>
      <c r="HD745"/>
      <c r="HE745"/>
      <c r="HF745"/>
      <c r="HG745"/>
      <c r="HH745"/>
      <c r="HI745"/>
      <c r="HJ745"/>
      <c r="HK745"/>
      <c r="HL745"/>
      <c r="HM745"/>
      <c r="HN745"/>
      <c r="HO745"/>
      <c r="HP745"/>
      <c r="HQ745"/>
      <c r="HR745"/>
      <c r="HS745"/>
      <c r="HT745"/>
      <c r="HU745"/>
      <c r="HV745"/>
      <c r="HW745"/>
      <c r="HX745"/>
      <c r="HY745"/>
      <c r="HZ745"/>
      <c r="IA745"/>
      <c r="IB745"/>
      <c r="IC745"/>
      <c r="ID745"/>
      <c r="IE745"/>
      <c r="IF745"/>
      <c r="IG745"/>
      <c r="IH745"/>
      <c r="II745"/>
      <c r="IJ745"/>
      <c r="IK745"/>
      <c r="IL745"/>
      <c r="IM745"/>
      <c r="IN745"/>
      <c r="IO745"/>
      <c r="IP745"/>
      <c r="IQ745"/>
      <c r="IR745"/>
      <c r="IS745"/>
      <c r="IT745"/>
      <c r="IU745"/>
      <c r="IV745"/>
    </row>
    <row r="746" spans="1:256" ht="12.75" hidden="1" customHeight="1" x14ac:dyDescent="0.2">
      <c r="A746" s="551"/>
      <c r="B746" s="557" t="s">
        <v>844</v>
      </c>
      <c r="C746" s="162">
        <f>C747+C751+C756+C764+C766+SUM(C776:C781)</f>
        <v>45060000</v>
      </c>
      <c r="D746" s="608">
        <f>D747+D751+D756+D764+D766+SUM(D776:D781)</f>
        <v>42061000</v>
      </c>
      <c r="E746" s="608">
        <f>E747+E751+E756+E764+E766+SUM(E776:E781)</f>
        <v>39197332.780000001</v>
      </c>
      <c r="F746" s="580">
        <f>F747+F751+F756+F764+F766+SUM(F776:F781)</f>
        <v>22235165.719999999</v>
      </c>
      <c r="G746" s="162">
        <f>G747+G751+G756+G764+G766+SUM(G776:G781)</f>
        <v>39060000</v>
      </c>
      <c r="H746"/>
      <c r="I746"/>
      <c r="J746"/>
      <c r="K746"/>
      <c r="L746"/>
      <c r="M746"/>
      <c r="N746"/>
      <c r="O746"/>
      <c r="P746"/>
      <c r="Q746"/>
      <c r="R746"/>
      <c r="S746"/>
      <c r="T746"/>
      <c r="U746"/>
      <c r="V746"/>
      <c r="W746"/>
      <c r="X746"/>
      <c r="Y746"/>
      <c r="Z746"/>
      <c r="AA746"/>
      <c r="AB746"/>
      <c r="AC746"/>
      <c r="AD746"/>
      <c r="AE746"/>
      <c r="AF746"/>
      <c r="AG746"/>
      <c r="AH746"/>
      <c r="AI746"/>
      <c r="AJ746"/>
      <c r="AK746"/>
      <c r="AL746"/>
      <c r="AM746"/>
      <c r="AN746"/>
      <c r="AO746"/>
      <c r="AP746"/>
      <c r="AQ746"/>
      <c r="AR746"/>
      <c r="AS746"/>
      <c r="AT746"/>
      <c r="AU746"/>
      <c r="AV746"/>
      <c r="AW746"/>
      <c r="AX746"/>
      <c r="AY746"/>
      <c r="AZ746"/>
      <c r="BA746"/>
      <c r="BB746"/>
      <c r="BC746"/>
      <c r="BD746"/>
      <c r="BE746"/>
      <c r="BF746"/>
      <c r="BG746"/>
      <c r="BH746"/>
      <c r="BI746"/>
      <c r="BJ746"/>
      <c r="BK746"/>
      <c r="BL746"/>
      <c r="BM746"/>
      <c r="BN746"/>
      <c r="BO746"/>
      <c r="BP746"/>
      <c r="BQ746"/>
      <c r="BR746"/>
      <c r="BS746"/>
      <c r="BT746"/>
      <c r="BU746"/>
      <c r="BV746"/>
      <c r="BW746"/>
      <c r="BX746"/>
      <c r="BY746"/>
      <c r="BZ746"/>
      <c r="CA746"/>
      <c r="CB746"/>
      <c r="CC746"/>
      <c r="CD746"/>
      <c r="CE746"/>
      <c r="CF746"/>
      <c r="CG746"/>
      <c r="CH746"/>
      <c r="CI746"/>
      <c r="CJ746"/>
      <c r="CK746"/>
      <c r="CL746"/>
      <c r="CM746"/>
      <c r="CN746"/>
      <c r="CO746"/>
      <c r="CP746"/>
      <c r="CQ746"/>
      <c r="CR746"/>
      <c r="CS746"/>
      <c r="CT746"/>
      <c r="CU746"/>
      <c r="CV746"/>
      <c r="CW746"/>
      <c r="CX746"/>
      <c r="CY746"/>
      <c r="CZ746"/>
      <c r="DA746"/>
      <c r="DB746"/>
      <c r="DC746"/>
      <c r="DD746"/>
      <c r="DE746"/>
      <c r="DF746"/>
      <c r="DG746"/>
      <c r="DH746"/>
      <c r="DI746"/>
      <c r="DJ746"/>
      <c r="DK746"/>
      <c r="DL746"/>
      <c r="DM746"/>
      <c r="DN746"/>
      <c r="DO746"/>
      <c r="DP746"/>
      <c r="DQ746"/>
      <c r="DR746"/>
      <c r="DS746"/>
      <c r="DT746"/>
      <c r="DU746"/>
      <c r="DV746"/>
      <c r="DW746"/>
      <c r="DX746"/>
      <c r="DY746"/>
      <c r="DZ746"/>
      <c r="EA746"/>
      <c r="EB746"/>
      <c r="EC746"/>
      <c r="ED746"/>
      <c r="EE746"/>
      <c r="EF746"/>
      <c r="EG746"/>
      <c r="EH746"/>
      <c r="EI746"/>
      <c r="EJ746"/>
      <c r="EK746"/>
      <c r="EL746"/>
      <c r="EM746"/>
      <c r="EN746"/>
      <c r="EO746"/>
      <c r="EP746"/>
      <c r="EQ746"/>
      <c r="ER746"/>
      <c r="ES746"/>
      <c r="ET746"/>
      <c r="EU746"/>
      <c r="EV746"/>
      <c r="EW746"/>
      <c r="EX746"/>
      <c r="EY746"/>
      <c r="EZ746"/>
      <c r="FA746"/>
      <c r="FB746"/>
      <c r="FC746"/>
      <c r="FD746"/>
      <c r="FE746"/>
      <c r="FF746"/>
      <c r="FG746"/>
      <c r="FH746"/>
      <c r="FI746"/>
      <c r="FJ746"/>
      <c r="FK746"/>
      <c r="FL746"/>
      <c r="FM746"/>
      <c r="FN746"/>
      <c r="FO746"/>
      <c r="FP746"/>
      <c r="FQ746"/>
      <c r="FR746"/>
      <c r="FS746"/>
      <c r="FT746"/>
      <c r="FU746"/>
      <c r="FV746"/>
      <c r="FW746"/>
      <c r="FX746"/>
      <c r="FY746"/>
      <c r="FZ746"/>
      <c r="GA746"/>
      <c r="GB746"/>
      <c r="GC746"/>
      <c r="GD746"/>
      <c r="GE746"/>
      <c r="GF746"/>
      <c r="GG746"/>
      <c r="GH746"/>
      <c r="GI746"/>
      <c r="GJ746"/>
      <c r="GK746"/>
      <c r="GL746"/>
      <c r="GM746"/>
      <c r="GN746"/>
      <c r="GO746"/>
      <c r="GP746"/>
      <c r="GQ746"/>
      <c r="GR746"/>
      <c r="GS746"/>
      <c r="GT746"/>
      <c r="GU746"/>
      <c r="GV746"/>
      <c r="GW746"/>
      <c r="GX746"/>
      <c r="GY746"/>
      <c r="GZ746"/>
      <c r="HA746"/>
      <c r="HB746"/>
      <c r="HC746"/>
      <c r="HD746"/>
      <c r="HE746"/>
      <c r="HF746"/>
      <c r="HG746"/>
      <c r="HH746"/>
      <c r="HI746"/>
      <c r="HJ746"/>
      <c r="HK746"/>
      <c r="HL746"/>
      <c r="HM746"/>
      <c r="HN746"/>
      <c r="HO746"/>
      <c r="HP746"/>
      <c r="HQ746"/>
      <c r="HR746"/>
      <c r="HS746"/>
      <c r="HT746"/>
      <c r="HU746"/>
      <c r="HV746"/>
      <c r="HW746"/>
      <c r="HX746"/>
      <c r="HY746"/>
      <c r="HZ746"/>
      <c r="IA746"/>
      <c r="IB746"/>
      <c r="IC746"/>
      <c r="ID746"/>
      <c r="IE746"/>
      <c r="IF746"/>
      <c r="IG746"/>
      <c r="IH746"/>
      <c r="II746"/>
      <c r="IJ746"/>
      <c r="IK746"/>
      <c r="IL746"/>
      <c r="IM746"/>
      <c r="IN746"/>
      <c r="IO746"/>
      <c r="IP746"/>
      <c r="IQ746"/>
      <c r="IR746"/>
      <c r="IS746"/>
      <c r="IT746"/>
      <c r="IU746"/>
      <c r="IV746"/>
    </row>
    <row r="747" spans="1:256" ht="12.75" hidden="1" customHeight="1" x14ac:dyDescent="0.2">
      <c r="A747" s="551"/>
      <c r="B747" s="585" t="s">
        <v>845</v>
      </c>
      <c r="C747" s="602">
        <f>SUM(C748:C750)</f>
        <v>7950000</v>
      </c>
      <c r="D747" s="603">
        <f>SUM(D748:D750)</f>
        <v>8077000</v>
      </c>
      <c r="E747" s="603">
        <f>SUM(E748:E750)</f>
        <v>8077000</v>
      </c>
      <c r="F747" s="609">
        <f>SUM(F748:F750)</f>
        <v>3758467.68</v>
      </c>
      <c r="G747" s="610">
        <f>SUM(G748:G750)</f>
        <v>7250000</v>
      </c>
      <c r="H747"/>
      <c r="I747"/>
      <c r="J747"/>
      <c r="K747"/>
      <c r="L747"/>
      <c r="M747"/>
      <c r="N747"/>
      <c r="O747"/>
      <c r="P747"/>
      <c r="Q747"/>
      <c r="R747"/>
      <c r="S747"/>
      <c r="T747"/>
      <c r="U747"/>
      <c r="V747"/>
      <c r="W747"/>
      <c r="X747"/>
      <c r="Y747"/>
      <c r="Z747"/>
      <c r="AA747"/>
      <c r="AB747"/>
      <c r="AC747"/>
      <c r="AD747"/>
      <c r="AE747"/>
      <c r="AF747"/>
      <c r="AG747"/>
      <c r="AH747"/>
      <c r="AI747"/>
      <c r="AJ747"/>
      <c r="AK747"/>
      <c r="AL747"/>
      <c r="AM747"/>
      <c r="AN747"/>
      <c r="AO747"/>
      <c r="AP747"/>
      <c r="AQ747"/>
      <c r="AR747"/>
      <c r="AS747"/>
      <c r="AT747"/>
      <c r="AU747"/>
      <c r="AV747"/>
      <c r="AW747"/>
      <c r="AX747"/>
      <c r="AY747"/>
      <c r="AZ747"/>
      <c r="BA747"/>
      <c r="BB747"/>
      <c r="BC747"/>
      <c r="BD747"/>
      <c r="BE747"/>
      <c r="BF747"/>
      <c r="BG747"/>
      <c r="BH747"/>
      <c r="BI747"/>
      <c r="BJ747"/>
      <c r="BK747"/>
      <c r="BL747"/>
      <c r="BM747"/>
      <c r="BN747"/>
      <c r="BO747"/>
      <c r="BP747"/>
      <c r="BQ747"/>
      <c r="BR747"/>
      <c r="BS747"/>
      <c r="BT747"/>
      <c r="BU747"/>
      <c r="BV747"/>
      <c r="BW747"/>
      <c r="BX747"/>
      <c r="BY747"/>
      <c r="BZ747"/>
      <c r="CA747"/>
      <c r="CB747"/>
      <c r="CC747"/>
      <c r="CD747"/>
      <c r="CE747"/>
      <c r="CF747"/>
      <c r="CG747"/>
      <c r="CH747"/>
      <c r="CI747"/>
      <c r="CJ747"/>
      <c r="CK747"/>
      <c r="CL747"/>
      <c r="CM747"/>
      <c r="CN747"/>
      <c r="CO747"/>
      <c r="CP747"/>
      <c r="CQ747"/>
      <c r="CR747"/>
      <c r="CS747"/>
      <c r="CT747"/>
      <c r="CU747"/>
      <c r="CV747"/>
      <c r="CW747"/>
      <c r="CX747"/>
      <c r="CY747"/>
      <c r="CZ747"/>
      <c r="DA747"/>
      <c r="DB747"/>
      <c r="DC747"/>
      <c r="DD747"/>
      <c r="DE747"/>
      <c r="DF747"/>
      <c r="DG747"/>
      <c r="DH747"/>
      <c r="DI747"/>
      <c r="DJ747"/>
      <c r="DK747"/>
      <c r="DL747"/>
      <c r="DM747"/>
      <c r="DN747"/>
      <c r="DO747"/>
      <c r="DP747"/>
      <c r="DQ747"/>
      <c r="DR747"/>
      <c r="DS747"/>
      <c r="DT747"/>
      <c r="DU747"/>
      <c r="DV747"/>
      <c r="DW747"/>
      <c r="DX747"/>
      <c r="DY747"/>
      <c r="DZ747"/>
      <c r="EA747"/>
      <c r="EB747"/>
      <c r="EC747"/>
      <c r="ED747"/>
      <c r="EE747"/>
      <c r="EF747"/>
      <c r="EG747"/>
      <c r="EH747"/>
      <c r="EI747"/>
      <c r="EJ747"/>
      <c r="EK747"/>
      <c r="EL747"/>
      <c r="EM747"/>
      <c r="EN747"/>
      <c r="EO747"/>
      <c r="EP747"/>
      <c r="EQ747"/>
      <c r="ER747"/>
      <c r="ES747"/>
      <c r="ET747"/>
      <c r="EU747"/>
      <c r="EV747"/>
      <c r="EW747"/>
      <c r="EX747"/>
      <c r="EY747"/>
      <c r="EZ747"/>
      <c r="FA747"/>
      <c r="FB747"/>
      <c r="FC747"/>
      <c r="FD747"/>
      <c r="FE747"/>
      <c r="FF747"/>
      <c r="FG747"/>
      <c r="FH747"/>
      <c r="FI747"/>
      <c r="FJ747"/>
      <c r="FK747"/>
      <c r="FL747"/>
      <c r="FM747"/>
      <c r="FN747"/>
      <c r="FO747"/>
      <c r="FP747"/>
      <c r="FQ747"/>
      <c r="FR747"/>
      <c r="FS747"/>
      <c r="FT747"/>
      <c r="FU747"/>
      <c r="FV747"/>
      <c r="FW747"/>
      <c r="FX747"/>
      <c r="FY747"/>
      <c r="FZ747"/>
      <c r="GA747"/>
      <c r="GB747"/>
      <c r="GC747"/>
      <c r="GD747"/>
      <c r="GE747"/>
      <c r="GF747"/>
      <c r="GG747"/>
      <c r="GH747"/>
      <c r="GI747"/>
      <c r="GJ747"/>
      <c r="GK747"/>
      <c r="GL747"/>
      <c r="GM747"/>
      <c r="GN747"/>
      <c r="GO747"/>
      <c r="GP747"/>
      <c r="GQ747"/>
      <c r="GR747"/>
      <c r="GS747"/>
      <c r="GT747"/>
      <c r="GU747"/>
      <c r="GV747"/>
      <c r="GW747"/>
      <c r="GX747"/>
      <c r="GY747"/>
      <c r="GZ747"/>
      <c r="HA747"/>
      <c r="HB747"/>
      <c r="HC747"/>
      <c r="HD747"/>
      <c r="HE747"/>
      <c r="HF747"/>
      <c r="HG747"/>
      <c r="HH747"/>
      <c r="HI747"/>
      <c r="HJ747"/>
      <c r="HK747"/>
      <c r="HL747"/>
      <c r="HM747"/>
      <c r="HN747"/>
      <c r="HO747"/>
      <c r="HP747"/>
      <c r="HQ747"/>
      <c r="HR747"/>
      <c r="HS747"/>
      <c r="HT747"/>
      <c r="HU747"/>
      <c r="HV747"/>
      <c r="HW747"/>
      <c r="HX747"/>
      <c r="HY747"/>
      <c r="HZ747"/>
      <c r="IA747"/>
      <c r="IB747"/>
      <c r="IC747"/>
      <c r="ID747"/>
      <c r="IE747"/>
      <c r="IF747"/>
      <c r="IG747"/>
      <c r="IH747"/>
      <c r="II747"/>
      <c r="IJ747"/>
      <c r="IK747"/>
      <c r="IL747"/>
      <c r="IM747"/>
      <c r="IN747"/>
      <c r="IO747"/>
      <c r="IP747"/>
      <c r="IQ747"/>
      <c r="IR747"/>
      <c r="IS747"/>
      <c r="IT747"/>
      <c r="IU747"/>
      <c r="IV747"/>
    </row>
    <row r="748" spans="1:256" ht="12.75" hidden="1" customHeight="1" x14ac:dyDescent="0.2">
      <c r="A748" s="583"/>
      <c r="B748" s="561" t="s">
        <v>846</v>
      </c>
      <c r="C748" s="560">
        <v>5750000</v>
      </c>
      <c r="D748" s="562">
        <v>5750000</v>
      </c>
      <c r="E748" s="564">
        <v>5750000</v>
      </c>
      <c r="F748" s="580">
        <v>3431421.48</v>
      </c>
      <c r="G748" s="127">
        <v>5750000</v>
      </c>
      <c r="H748"/>
      <c r="I748"/>
      <c r="J748"/>
      <c r="K748"/>
      <c r="L748"/>
      <c r="M748"/>
      <c r="N748"/>
      <c r="O748"/>
      <c r="P748"/>
      <c r="Q748"/>
      <c r="R748"/>
      <c r="S748"/>
      <c r="T748"/>
      <c r="U748"/>
      <c r="V748"/>
      <c r="W748"/>
      <c r="X748"/>
      <c r="Y748"/>
      <c r="Z748"/>
      <c r="AA748"/>
      <c r="AB748"/>
      <c r="AC748"/>
      <c r="AD748"/>
      <c r="AE748"/>
      <c r="AF748"/>
      <c r="AG748"/>
      <c r="AH748"/>
      <c r="AI748"/>
      <c r="AJ748"/>
      <c r="AK748"/>
      <c r="AL748"/>
      <c r="AM748"/>
      <c r="AN748"/>
      <c r="AO748"/>
      <c r="AP748"/>
      <c r="AQ748"/>
      <c r="AR748"/>
      <c r="AS748"/>
      <c r="AT748"/>
      <c r="AU748"/>
      <c r="AV748"/>
      <c r="AW748"/>
      <c r="AX748"/>
      <c r="AY748"/>
      <c r="AZ748"/>
      <c r="BA748"/>
      <c r="BB748"/>
      <c r="BC748"/>
      <c r="BD748"/>
      <c r="BE748"/>
      <c r="BF748"/>
      <c r="BG748"/>
      <c r="BH748"/>
      <c r="BI748"/>
      <c r="BJ748"/>
      <c r="BK748"/>
      <c r="BL748"/>
      <c r="BM748"/>
      <c r="BN748"/>
      <c r="BO748"/>
      <c r="BP748"/>
      <c r="BQ748"/>
      <c r="BR748"/>
      <c r="BS748"/>
      <c r="BT748"/>
      <c r="BU748"/>
      <c r="BV748"/>
      <c r="BW748"/>
      <c r="BX748"/>
      <c r="BY748"/>
      <c r="BZ748"/>
      <c r="CA748"/>
      <c r="CB748"/>
      <c r="CC748"/>
      <c r="CD748"/>
      <c r="CE748"/>
      <c r="CF748"/>
      <c r="CG748"/>
      <c r="CH748"/>
      <c r="CI748"/>
      <c r="CJ748"/>
      <c r="CK748"/>
      <c r="CL748"/>
      <c r="CM748"/>
      <c r="CN748"/>
      <c r="CO748"/>
      <c r="CP748"/>
      <c r="CQ748"/>
      <c r="CR748"/>
      <c r="CS748"/>
      <c r="CT748"/>
      <c r="CU748"/>
      <c r="CV748"/>
      <c r="CW748"/>
      <c r="CX748"/>
      <c r="CY748"/>
      <c r="CZ748"/>
      <c r="DA748"/>
      <c r="DB748"/>
      <c r="DC748"/>
      <c r="DD748"/>
      <c r="DE748"/>
      <c r="DF748"/>
      <c r="DG748"/>
      <c r="DH748"/>
      <c r="DI748"/>
      <c r="DJ748"/>
      <c r="DK748"/>
      <c r="DL748"/>
      <c r="DM748"/>
      <c r="DN748"/>
      <c r="DO748"/>
      <c r="DP748"/>
      <c r="DQ748"/>
      <c r="DR748"/>
      <c r="DS748"/>
      <c r="DT748"/>
      <c r="DU748"/>
      <c r="DV748"/>
      <c r="DW748"/>
      <c r="DX748"/>
      <c r="DY748"/>
      <c r="DZ748"/>
      <c r="EA748"/>
      <c r="EB748"/>
      <c r="EC748"/>
      <c r="ED748"/>
      <c r="EE748"/>
      <c r="EF748"/>
      <c r="EG748"/>
      <c r="EH748"/>
      <c r="EI748"/>
      <c r="EJ748"/>
      <c r="EK748"/>
      <c r="EL748"/>
      <c r="EM748"/>
      <c r="EN748"/>
      <c r="EO748"/>
      <c r="EP748"/>
      <c r="EQ748"/>
      <c r="ER748"/>
      <c r="ES748"/>
      <c r="ET748"/>
      <c r="EU748"/>
      <c r="EV748"/>
      <c r="EW748"/>
      <c r="EX748"/>
      <c r="EY748"/>
      <c r="EZ748"/>
      <c r="FA748"/>
      <c r="FB748"/>
      <c r="FC748"/>
      <c r="FD748"/>
      <c r="FE748"/>
      <c r="FF748"/>
      <c r="FG748"/>
      <c r="FH748"/>
      <c r="FI748"/>
      <c r="FJ748"/>
      <c r="FK748"/>
      <c r="FL748"/>
      <c r="FM748"/>
      <c r="FN748"/>
      <c r="FO748"/>
      <c r="FP748"/>
      <c r="FQ748"/>
      <c r="FR748"/>
      <c r="FS748"/>
      <c r="FT748"/>
      <c r="FU748"/>
      <c r="FV748"/>
      <c r="FW748"/>
      <c r="FX748"/>
      <c r="FY748"/>
      <c r="FZ748"/>
      <c r="GA748"/>
      <c r="GB748"/>
      <c r="GC748"/>
      <c r="GD748"/>
      <c r="GE748"/>
      <c r="GF748"/>
      <c r="GG748"/>
      <c r="GH748"/>
      <c r="GI748"/>
      <c r="GJ748"/>
      <c r="GK748"/>
      <c r="GL748"/>
      <c r="GM748"/>
      <c r="GN748"/>
      <c r="GO748"/>
      <c r="GP748"/>
      <c r="GQ748"/>
      <c r="GR748"/>
      <c r="GS748"/>
      <c r="GT748"/>
      <c r="GU748"/>
      <c r="GV748"/>
      <c r="GW748"/>
      <c r="GX748"/>
      <c r="GY748"/>
      <c r="GZ748"/>
      <c r="HA748"/>
      <c r="HB748"/>
      <c r="HC748"/>
      <c r="HD748"/>
      <c r="HE748"/>
      <c r="HF748"/>
      <c r="HG748"/>
      <c r="HH748"/>
      <c r="HI748"/>
      <c r="HJ748"/>
      <c r="HK748"/>
      <c r="HL748"/>
      <c r="HM748"/>
      <c r="HN748"/>
      <c r="HO748"/>
      <c r="HP748"/>
      <c r="HQ748"/>
      <c r="HR748"/>
      <c r="HS748"/>
      <c r="HT748"/>
      <c r="HU748"/>
      <c r="HV748"/>
      <c r="HW748"/>
      <c r="HX748"/>
      <c r="HY748"/>
      <c r="HZ748"/>
      <c r="IA748"/>
      <c r="IB748"/>
      <c r="IC748"/>
      <c r="ID748"/>
      <c r="IE748"/>
      <c r="IF748"/>
      <c r="IG748"/>
      <c r="IH748"/>
      <c r="II748"/>
      <c r="IJ748"/>
      <c r="IK748"/>
      <c r="IL748"/>
      <c r="IM748"/>
      <c r="IN748"/>
      <c r="IO748"/>
      <c r="IP748"/>
      <c r="IQ748"/>
      <c r="IR748"/>
      <c r="IS748"/>
      <c r="IT748"/>
      <c r="IU748"/>
      <c r="IV748"/>
    </row>
    <row r="749" spans="1:256" ht="12.75" hidden="1" customHeight="1" x14ac:dyDescent="0.2">
      <c r="A749" s="583"/>
      <c r="B749" s="584" t="s">
        <v>847</v>
      </c>
      <c r="C749" s="560">
        <v>2000000</v>
      </c>
      <c r="D749" s="562">
        <v>2000000</v>
      </c>
      <c r="E749" s="564">
        <v>2000000</v>
      </c>
      <c r="F749" s="580">
        <v>0</v>
      </c>
      <c r="G749" s="127">
        <v>1500000</v>
      </c>
      <c r="H749"/>
      <c r="I749"/>
      <c r="J749"/>
      <c r="K749"/>
      <c r="L749"/>
      <c r="M749"/>
      <c r="N749"/>
      <c r="O749"/>
      <c r="P749"/>
      <c r="Q749"/>
      <c r="R749"/>
      <c r="S749"/>
      <c r="T749"/>
      <c r="U749"/>
      <c r="V749"/>
      <c r="W749"/>
      <c r="X749"/>
      <c r="Y749"/>
      <c r="Z749"/>
      <c r="AA749"/>
      <c r="AB749"/>
      <c r="AC749"/>
      <c r="AD749"/>
      <c r="AE749"/>
      <c r="AF749"/>
      <c r="AG749"/>
      <c r="AH749"/>
      <c r="AI749"/>
      <c r="AJ749"/>
      <c r="AK749"/>
      <c r="AL749"/>
      <c r="AM749"/>
      <c r="AN749"/>
      <c r="AO749"/>
      <c r="AP749"/>
      <c r="AQ749"/>
      <c r="AR749"/>
      <c r="AS749"/>
      <c r="AT749"/>
      <c r="AU749"/>
      <c r="AV749"/>
      <c r="AW749"/>
      <c r="AX749"/>
      <c r="AY749"/>
      <c r="AZ749"/>
      <c r="BA749"/>
      <c r="BB749"/>
      <c r="BC749"/>
      <c r="BD749"/>
      <c r="BE749"/>
      <c r="BF749"/>
      <c r="BG749"/>
      <c r="BH749"/>
      <c r="BI749"/>
      <c r="BJ749"/>
      <c r="BK749"/>
      <c r="BL749"/>
      <c r="BM749"/>
      <c r="BN749"/>
      <c r="BO749"/>
      <c r="BP749"/>
      <c r="BQ749"/>
      <c r="BR749"/>
      <c r="BS749"/>
      <c r="BT749"/>
      <c r="BU749"/>
      <c r="BV749"/>
      <c r="BW749"/>
      <c r="BX749"/>
      <c r="BY749"/>
      <c r="BZ749"/>
      <c r="CA749"/>
      <c r="CB749"/>
      <c r="CC749"/>
      <c r="CD749"/>
      <c r="CE749"/>
      <c r="CF749"/>
      <c r="CG749"/>
      <c r="CH749"/>
      <c r="CI749"/>
      <c r="CJ749"/>
      <c r="CK749"/>
      <c r="CL749"/>
      <c r="CM749"/>
      <c r="CN749"/>
      <c r="CO749"/>
      <c r="CP749"/>
      <c r="CQ749"/>
      <c r="CR749"/>
      <c r="CS749"/>
      <c r="CT749"/>
      <c r="CU749"/>
      <c r="CV749"/>
      <c r="CW749"/>
      <c r="CX749"/>
      <c r="CY749"/>
      <c r="CZ749"/>
      <c r="DA749"/>
      <c r="DB749"/>
      <c r="DC749"/>
      <c r="DD749"/>
      <c r="DE749"/>
      <c r="DF749"/>
      <c r="DG749"/>
      <c r="DH749"/>
      <c r="DI749"/>
      <c r="DJ749"/>
      <c r="DK749"/>
      <c r="DL749"/>
      <c r="DM749"/>
      <c r="DN749"/>
      <c r="DO749"/>
      <c r="DP749"/>
      <c r="DQ749"/>
      <c r="DR749"/>
      <c r="DS749"/>
      <c r="DT749"/>
      <c r="DU749"/>
      <c r="DV749"/>
      <c r="DW749"/>
      <c r="DX749"/>
      <c r="DY749"/>
      <c r="DZ749"/>
      <c r="EA749"/>
      <c r="EB749"/>
      <c r="EC749"/>
      <c r="ED749"/>
      <c r="EE749"/>
      <c r="EF749"/>
      <c r="EG749"/>
      <c r="EH749"/>
      <c r="EI749"/>
      <c r="EJ749"/>
      <c r="EK749"/>
      <c r="EL749"/>
      <c r="EM749"/>
      <c r="EN749"/>
      <c r="EO749"/>
      <c r="EP749"/>
      <c r="EQ749"/>
      <c r="ER749"/>
      <c r="ES749"/>
      <c r="ET749"/>
      <c r="EU749"/>
      <c r="EV749"/>
      <c r="EW749"/>
      <c r="EX749"/>
      <c r="EY749"/>
      <c r="EZ749"/>
      <c r="FA749"/>
      <c r="FB749"/>
      <c r="FC749"/>
      <c r="FD749"/>
      <c r="FE749"/>
      <c r="FF749"/>
      <c r="FG749"/>
      <c r="FH749"/>
      <c r="FI749"/>
      <c r="FJ749"/>
      <c r="FK749"/>
      <c r="FL749"/>
      <c r="FM749"/>
      <c r="FN749"/>
      <c r="FO749"/>
      <c r="FP749"/>
      <c r="FQ749"/>
      <c r="FR749"/>
      <c r="FS749"/>
      <c r="FT749"/>
      <c r="FU749"/>
      <c r="FV749"/>
      <c r="FW749"/>
      <c r="FX749"/>
      <c r="FY749"/>
      <c r="FZ749"/>
      <c r="GA749"/>
      <c r="GB749"/>
      <c r="GC749"/>
      <c r="GD749"/>
      <c r="GE749"/>
      <c r="GF749"/>
      <c r="GG749"/>
      <c r="GH749"/>
      <c r="GI749"/>
      <c r="GJ749"/>
      <c r="GK749"/>
      <c r="GL749"/>
      <c r="GM749"/>
      <c r="GN749"/>
      <c r="GO749"/>
      <c r="GP749"/>
      <c r="GQ749"/>
      <c r="GR749"/>
      <c r="GS749"/>
      <c r="GT749"/>
      <c r="GU749"/>
      <c r="GV749"/>
      <c r="GW749"/>
      <c r="GX749"/>
      <c r="GY749"/>
      <c r="GZ749"/>
      <c r="HA749"/>
      <c r="HB749"/>
      <c r="HC749"/>
      <c r="HD749"/>
      <c r="HE749"/>
      <c r="HF749"/>
      <c r="HG749"/>
      <c r="HH749"/>
      <c r="HI749"/>
      <c r="HJ749"/>
      <c r="HK749"/>
      <c r="HL749"/>
      <c r="HM749"/>
      <c r="HN749"/>
      <c r="HO749"/>
      <c r="HP749"/>
      <c r="HQ749"/>
      <c r="HR749"/>
      <c r="HS749"/>
      <c r="HT749"/>
      <c r="HU749"/>
      <c r="HV749"/>
      <c r="HW749"/>
      <c r="HX749"/>
      <c r="HY749"/>
      <c r="HZ749"/>
      <c r="IA749"/>
      <c r="IB749"/>
      <c r="IC749"/>
      <c r="ID749"/>
      <c r="IE749"/>
      <c r="IF749"/>
      <c r="IG749"/>
      <c r="IH749"/>
      <c r="II749"/>
      <c r="IJ749"/>
      <c r="IK749"/>
      <c r="IL749"/>
      <c r="IM749"/>
      <c r="IN749"/>
      <c r="IO749"/>
      <c r="IP749"/>
      <c r="IQ749"/>
      <c r="IR749"/>
      <c r="IS749"/>
      <c r="IT749"/>
      <c r="IU749"/>
      <c r="IV749"/>
    </row>
    <row r="750" spans="1:256" ht="12.75" hidden="1" customHeight="1" x14ac:dyDescent="0.2">
      <c r="A750" s="583"/>
      <c r="B750" s="584" t="s">
        <v>848</v>
      </c>
      <c r="C750" s="560">
        <v>200000</v>
      </c>
      <c r="D750" s="591">
        <v>327000</v>
      </c>
      <c r="E750" s="592">
        <v>327000</v>
      </c>
      <c r="F750" s="580">
        <v>327046.2</v>
      </c>
      <c r="G750" s="127">
        <v>0</v>
      </c>
      <c r="H750"/>
      <c r="I750"/>
      <c r="J750"/>
      <c r="K750"/>
      <c r="L750"/>
      <c r="M750"/>
      <c r="N750"/>
      <c r="O750"/>
      <c r="P750"/>
      <c r="Q750"/>
      <c r="R750"/>
      <c r="S750"/>
      <c r="T750"/>
      <c r="U750"/>
      <c r="V750"/>
      <c r="W750"/>
      <c r="X750"/>
      <c r="Y750"/>
      <c r="Z750"/>
      <c r="AA750"/>
      <c r="AB750"/>
      <c r="AC750"/>
      <c r="AD750"/>
      <c r="AE750"/>
      <c r="AF750"/>
      <c r="AG750"/>
      <c r="AH750"/>
      <c r="AI750"/>
      <c r="AJ750"/>
      <c r="AK750"/>
      <c r="AL750"/>
      <c r="AM750"/>
      <c r="AN750"/>
      <c r="AO750"/>
      <c r="AP750"/>
      <c r="AQ750"/>
      <c r="AR750"/>
      <c r="AS750"/>
      <c r="AT750"/>
      <c r="AU750"/>
      <c r="AV750"/>
      <c r="AW750"/>
      <c r="AX750"/>
      <c r="AY750"/>
      <c r="AZ750"/>
      <c r="BA750"/>
      <c r="BB750"/>
      <c r="BC750"/>
      <c r="BD750"/>
      <c r="BE750"/>
      <c r="BF750"/>
      <c r="BG750"/>
      <c r="BH750"/>
      <c r="BI750"/>
      <c r="BJ750"/>
      <c r="BK750"/>
      <c r="BL750"/>
      <c r="BM750"/>
      <c r="BN750"/>
      <c r="BO750"/>
      <c r="BP750"/>
      <c r="BQ750"/>
      <c r="BR750"/>
      <c r="BS750"/>
      <c r="BT750"/>
      <c r="BU750"/>
      <c r="BV750"/>
      <c r="BW750"/>
      <c r="BX750"/>
      <c r="BY750"/>
      <c r="BZ750"/>
      <c r="CA750"/>
      <c r="CB750"/>
      <c r="CC750"/>
      <c r="CD750"/>
      <c r="CE750"/>
      <c r="CF750"/>
      <c r="CG750"/>
      <c r="CH750"/>
      <c r="CI750"/>
      <c r="CJ750"/>
      <c r="CK750"/>
      <c r="CL750"/>
      <c r="CM750"/>
      <c r="CN750"/>
      <c r="CO750"/>
      <c r="CP750"/>
      <c r="CQ750"/>
      <c r="CR750"/>
      <c r="CS750"/>
      <c r="CT750"/>
      <c r="CU750"/>
      <c r="CV750"/>
      <c r="CW750"/>
      <c r="CX750"/>
      <c r="CY750"/>
      <c r="CZ750"/>
      <c r="DA750"/>
      <c r="DB750"/>
      <c r="DC750"/>
      <c r="DD750"/>
      <c r="DE750"/>
      <c r="DF750"/>
      <c r="DG750"/>
      <c r="DH750"/>
      <c r="DI750"/>
      <c r="DJ750"/>
      <c r="DK750"/>
      <c r="DL750"/>
      <c r="DM750"/>
      <c r="DN750"/>
      <c r="DO750"/>
      <c r="DP750"/>
      <c r="DQ750"/>
      <c r="DR750"/>
      <c r="DS750"/>
      <c r="DT750"/>
      <c r="DU750"/>
      <c r="DV750"/>
      <c r="DW750"/>
      <c r="DX750"/>
      <c r="DY750"/>
      <c r="DZ750"/>
      <c r="EA750"/>
      <c r="EB750"/>
      <c r="EC750"/>
      <c r="ED750"/>
      <c r="EE750"/>
      <c r="EF750"/>
      <c r="EG750"/>
      <c r="EH750"/>
      <c r="EI750"/>
      <c r="EJ750"/>
      <c r="EK750"/>
      <c r="EL750"/>
      <c r="EM750"/>
      <c r="EN750"/>
      <c r="EO750"/>
      <c r="EP750"/>
      <c r="EQ750"/>
      <c r="ER750"/>
      <c r="ES750"/>
      <c r="ET750"/>
      <c r="EU750"/>
      <c r="EV750"/>
      <c r="EW750"/>
      <c r="EX750"/>
      <c r="EY750"/>
      <c r="EZ750"/>
      <c r="FA750"/>
      <c r="FB750"/>
      <c r="FC750"/>
      <c r="FD750"/>
      <c r="FE750"/>
      <c r="FF750"/>
      <c r="FG750"/>
      <c r="FH750"/>
      <c r="FI750"/>
      <c r="FJ750"/>
      <c r="FK750"/>
      <c r="FL750"/>
      <c r="FM750"/>
      <c r="FN750"/>
      <c r="FO750"/>
      <c r="FP750"/>
      <c r="FQ750"/>
      <c r="FR750"/>
      <c r="FS750"/>
      <c r="FT750"/>
      <c r="FU750"/>
      <c r="FV750"/>
      <c r="FW750"/>
      <c r="FX750"/>
      <c r="FY750"/>
      <c r="FZ750"/>
      <c r="GA750"/>
      <c r="GB750"/>
      <c r="GC750"/>
      <c r="GD750"/>
      <c r="GE750"/>
      <c r="GF750"/>
      <c r="GG750"/>
      <c r="GH750"/>
      <c r="GI750"/>
      <c r="GJ750"/>
      <c r="GK750"/>
      <c r="GL750"/>
      <c r="GM750"/>
      <c r="GN750"/>
      <c r="GO750"/>
      <c r="GP750"/>
      <c r="GQ750"/>
      <c r="GR750"/>
      <c r="GS750"/>
      <c r="GT750"/>
      <c r="GU750"/>
      <c r="GV750"/>
      <c r="GW750"/>
      <c r="GX750"/>
      <c r="GY750"/>
      <c r="GZ750"/>
      <c r="HA750"/>
      <c r="HB750"/>
      <c r="HC750"/>
      <c r="HD750"/>
      <c r="HE750"/>
      <c r="HF750"/>
      <c r="HG750"/>
      <c r="HH750"/>
      <c r="HI750"/>
      <c r="HJ750"/>
      <c r="HK750"/>
      <c r="HL750"/>
      <c r="HM750"/>
      <c r="HN750"/>
      <c r="HO750"/>
      <c r="HP750"/>
      <c r="HQ750"/>
      <c r="HR750"/>
      <c r="HS750"/>
      <c r="HT750"/>
      <c r="HU750"/>
      <c r="HV750"/>
      <c r="HW750"/>
      <c r="HX750"/>
      <c r="HY750"/>
      <c r="HZ750"/>
      <c r="IA750"/>
      <c r="IB750"/>
      <c r="IC750"/>
      <c r="ID750"/>
      <c r="IE750"/>
      <c r="IF750"/>
      <c r="IG750"/>
      <c r="IH750"/>
      <c r="II750"/>
      <c r="IJ750"/>
      <c r="IK750"/>
      <c r="IL750"/>
      <c r="IM750"/>
      <c r="IN750"/>
      <c r="IO750"/>
      <c r="IP750"/>
      <c r="IQ750"/>
      <c r="IR750"/>
      <c r="IS750"/>
      <c r="IT750"/>
      <c r="IU750"/>
      <c r="IV750"/>
    </row>
    <row r="751" spans="1:256" ht="12.75" hidden="1" customHeight="1" x14ac:dyDescent="0.2">
      <c r="A751" s="551"/>
      <c r="B751" s="584" t="s">
        <v>849</v>
      </c>
      <c r="C751" s="610">
        <f>SUM(C752:C753)</f>
        <v>1500000</v>
      </c>
      <c r="D751" s="603">
        <f>SUM(D752:D753)</f>
        <v>1500000</v>
      </c>
      <c r="E751" s="603">
        <f>SUM(E752:E753)</f>
        <v>1500000</v>
      </c>
      <c r="F751" s="609">
        <f>SUM(F752:F753)</f>
        <v>629041</v>
      </c>
      <c r="G751" s="610">
        <f>G752+G753</f>
        <v>3300000</v>
      </c>
      <c r="H751"/>
      <c r="I751"/>
      <c r="J751"/>
      <c r="K751"/>
      <c r="L751"/>
      <c r="M751"/>
      <c r="N751"/>
      <c r="O751"/>
      <c r="P751"/>
      <c r="Q751"/>
      <c r="R751"/>
      <c r="S751"/>
      <c r="T751"/>
      <c r="U751"/>
      <c r="V751"/>
      <c r="W751"/>
      <c r="X751"/>
      <c r="Y751"/>
      <c r="Z751"/>
      <c r="AA751"/>
      <c r="AB751"/>
      <c r="AC751"/>
      <c r="AD751"/>
      <c r="AE751"/>
      <c r="AF751"/>
      <c r="AG751"/>
      <c r="AH751"/>
      <c r="AI751"/>
      <c r="AJ751"/>
      <c r="AK751"/>
      <c r="AL751"/>
      <c r="AM751"/>
      <c r="AN751"/>
      <c r="AO751"/>
      <c r="AP751"/>
      <c r="AQ751"/>
      <c r="AR751"/>
      <c r="AS751"/>
      <c r="AT751"/>
      <c r="AU751"/>
      <c r="AV751"/>
      <c r="AW751"/>
      <c r="AX751"/>
      <c r="AY751"/>
      <c r="AZ751"/>
      <c r="BA751"/>
      <c r="BB751"/>
      <c r="BC751"/>
      <c r="BD751"/>
      <c r="BE751"/>
      <c r="BF751"/>
      <c r="BG751"/>
      <c r="BH751"/>
      <c r="BI751"/>
      <c r="BJ751"/>
      <c r="BK751"/>
      <c r="BL751"/>
      <c r="BM751"/>
      <c r="BN751"/>
      <c r="BO751"/>
      <c r="BP751"/>
      <c r="BQ751"/>
      <c r="BR751"/>
      <c r="BS751"/>
      <c r="BT751"/>
      <c r="BU751"/>
      <c r="BV751"/>
      <c r="BW751"/>
      <c r="BX751"/>
      <c r="BY751"/>
      <c r="BZ751"/>
      <c r="CA751"/>
      <c r="CB751"/>
      <c r="CC751"/>
      <c r="CD751"/>
      <c r="CE751"/>
      <c r="CF751"/>
      <c r="CG751"/>
      <c r="CH751"/>
      <c r="CI751"/>
      <c r="CJ751"/>
      <c r="CK751"/>
      <c r="CL751"/>
      <c r="CM751"/>
      <c r="CN751"/>
      <c r="CO751"/>
      <c r="CP751"/>
      <c r="CQ751"/>
      <c r="CR751"/>
      <c r="CS751"/>
      <c r="CT751"/>
      <c r="CU751"/>
      <c r="CV751"/>
      <c r="CW751"/>
      <c r="CX751"/>
      <c r="CY751"/>
      <c r="CZ751"/>
      <c r="DA751"/>
      <c r="DB751"/>
      <c r="DC751"/>
      <c r="DD751"/>
      <c r="DE751"/>
      <c r="DF751"/>
      <c r="DG751"/>
      <c r="DH751"/>
      <c r="DI751"/>
      <c r="DJ751"/>
      <c r="DK751"/>
      <c r="DL751"/>
      <c r="DM751"/>
      <c r="DN751"/>
      <c r="DO751"/>
      <c r="DP751"/>
      <c r="DQ751"/>
      <c r="DR751"/>
      <c r="DS751"/>
      <c r="DT751"/>
      <c r="DU751"/>
      <c r="DV751"/>
      <c r="DW751"/>
      <c r="DX751"/>
      <c r="DY751"/>
      <c r="DZ751"/>
      <c r="EA751"/>
      <c r="EB751"/>
      <c r="EC751"/>
      <c r="ED751"/>
      <c r="EE751"/>
      <c r="EF751"/>
      <c r="EG751"/>
      <c r="EH751"/>
      <c r="EI751"/>
      <c r="EJ751"/>
      <c r="EK751"/>
      <c r="EL751"/>
      <c r="EM751"/>
      <c r="EN751"/>
      <c r="EO751"/>
      <c r="EP751"/>
      <c r="EQ751"/>
      <c r="ER751"/>
      <c r="ES751"/>
      <c r="ET751"/>
      <c r="EU751"/>
      <c r="EV751"/>
      <c r="EW751"/>
      <c r="EX751"/>
      <c r="EY751"/>
      <c r="EZ751"/>
      <c r="FA751"/>
      <c r="FB751"/>
      <c r="FC751"/>
      <c r="FD751"/>
      <c r="FE751"/>
      <c r="FF751"/>
      <c r="FG751"/>
      <c r="FH751"/>
      <c r="FI751"/>
      <c r="FJ751"/>
      <c r="FK751"/>
      <c r="FL751"/>
      <c r="FM751"/>
      <c r="FN751"/>
      <c r="FO751"/>
      <c r="FP751"/>
      <c r="FQ751"/>
      <c r="FR751"/>
      <c r="FS751"/>
      <c r="FT751"/>
      <c r="FU751"/>
      <c r="FV751"/>
      <c r="FW751"/>
      <c r="FX751"/>
      <c r="FY751"/>
      <c r="FZ751"/>
      <c r="GA751"/>
      <c r="GB751"/>
      <c r="GC751"/>
      <c r="GD751"/>
      <c r="GE751"/>
      <c r="GF751"/>
      <c r="GG751"/>
      <c r="GH751"/>
      <c r="GI751"/>
      <c r="GJ751"/>
      <c r="GK751"/>
      <c r="GL751"/>
      <c r="GM751"/>
      <c r="GN751"/>
      <c r="GO751"/>
      <c r="GP751"/>
      <c r="GQ751"/>
      <c r="GR751"/>
      <c r="GS751"/>
      <c r="GT751"/>
      <c r="GU751"/>
      <c r="GV751"/>
      <c r="GW751"/>
      <c r="GX751"/>
      <c r="GY751"/>
      <c r="GZ751"/>
      <c r="HA751"/>
      <c r="HB751"/>
      <c r="HC751"/>
      <c r="HD751"/>
      <c r="HE751"/>
      <c r="HF751"/>
      <c r="HG751"/>
      <c r="HH751"/>
      <c r="HI751"/>
      <c r="HJ751"/>
      <c r="HK751"/>
      <c r="HL751"/>
      <c r="HM751"/>
      <c r="HN751"/>
      <c r="HO751"/>
      <c r="HP751"/>
      <c r="HQ751"/>
      <c r="HR751"/>
      <c r="HS751"/>
      <c r="HT751"/>
      <c r="HU751"/>
      <c r="HV751"/>
      <c r="HW751"/>
      <c r="HX751"/>
      <c r="HY751"/>
      <c r="HZ751"/>
      <c r="IA751"/>
      <c r="IB751"/>
      <c r="IC751"/>
      <c r="ID751"/>
      <c r="IE751"/>
      <c r="IF751"/>
      <c r="IG751"/>
      <c r="IH751"/>
      <c r="II751"/>
      <c r="IJ751"/>
      <c r="IK751"/>
      <c r="IL751"/>
      <c r="IM751"/>
      <c r="IN751"/>
      <c r="IO751"/>
      <c r="IP751"/>
      <c r="IQ751"/>
      <c r="IR751"/>
      <c r="IS751"/>
      <c r="IT751"/>
      <c r="IU751"/>
      <c r="IV751"/>
    </row>
    <row r="752" spans="1:256" ht="12.75" hidden="1" customHeight="1" x14ac:dyDescent="0.2">
      <c r="A752" s="583"/>
      <c r="B752" s="584" t="s">
        <v>850</v>
      </c>
      <c r="C752" s="560">
        <v>1500000</v>
      </c>
      <c r="D752" s="562">
        <v>1500000</v>
      </c>
      <c r="E752" s="579">
        <v>1500000</v>
      </c>
      <c r="F752" s="580">
        <v>629041</v>
      </c>
      <c r="G752" s="127">
        <v>2000000</v>
      </c>
      <c r="H752"/>
      <c r="I752"/>
      <c r="J752"/>
      <c r="K752"/>
      <c r="L752"/>
      <c r="M752"/>
      <c r="N752"/>
      <c r="O752"/>
      <c r="P752"/>
      <c r="Q752"/>
      <c r="R752"/>
      <c r="S752"/>
      <c r="T752"/>
      <c r="U752"/>
      <c r="V752"/>
      <c r="W752"/>
      <c r="X752"/>
      <c r="Y752"/>
      <c r="Z752"/>
      <c r="AA752"/>
      <c r="AB752"/>
      <c r="AC752"/>
      <c r="AD752"/>
      <c r="AE752"/>
      <c r="AF752"/>
      <c r="AG752"/>
      <c r="AH752"/>
      <c r="AI752"/>
      <c r="AJ752"/>
      <c r="AK752"/>
      <c r="AL752"/>
      <c r="AM752"/>
      <c r="AN752"/>
      <c r="AO752"/>
      <c r="AP752"/>
      <c r="AQ752"/>
      <c r="AR752"/>
      <c r="AS752"/>
      <c r="AT752"/>
      <c r="AU752"/>
      <c r="AV752"/>
      <c r="AW752"/>
      <c r="AX752"/>
      <c r="AY752"/>
      <c r="AZ752"/>
      <c r="BA752"/>
      <c r="BB752"/>
      <c r="BC752"/>
      <c r="BD752"/>
      <c r="BE752"/>
      <c r="BF752"/>
      <c r="BG752"/>
      <c r="BH752"/>
      <c r="BI752"/>
      <c r="BJ752"/>
      <c r="BK752"/>
      <c r="BL752"/>
      <c r="BM752"/>
      <c r="BN752"/>
      <c r="BO752"/>
      <c r="BP752"/>
      <c r="BQ752"/>
      <c r="BR752"/>
      <c r="BS752"/>
      <c r="BT752"/>
      <c r="BU752"/>
      <c r="BV752"/>
      <c r="BW752"/>
      <c r="BX752"/>
      <c r="BY752"/>
      <c r="BZ752"/>
      <c r="CA752"/>
      <c r="CB752"/>
      <c r="CC752"/>
      <c r="CD752"/>
      <c r="CE752"/>
      <c r="CF752"/>
      <c r="CG752"/>
      <c r="CH752"/>
      <c r="CI752"/>
      <c r="CJ752"/>
      <c r="CK752"/>
      <c r="CL752"/>
      <c r="CM752"/>
      <c r="CN752"/>
      <c r="CO752"/>
      <c r="CP752"/>
      <c r="CQ752"/>
      <c r="CR752"/>
      <c r="CS752"/>
      <c r="CT752"/>
      <c r="CU752"/>
      <c r="CV752"/>
      <c r="CW752"/>
      <c r="CX752"/>
      <c r="CY752"/>
      <c r="CZ752"/>
      <c r="DA752"/>
      <c r="DB752"/>
      <c r="DC752"/>
      <c r="DD752"/>
      <c r="DE752"/>
      <c r="DF752"/>
      <c r="DG752"/>
      <c r="DH752"/>
      <c r="DI752"/>
      <c r="DJ752"/>
      <c r="DK752"/>
      <c r="DL752"/>
      <c r="DM752"/>
      <c r="DN752"/>
      <c r="DO752"/>
      <c r="DP752"/>
      <c r="DQ752"/>
      <c r="DR752"/>
      <c r="DS752"/>
      <c r="DT752"/>
      <c r="DU752"/>
      <c r="DV752"/>
      <c r="DW752"/>
      <c r="DX752"/>
      <c r="DY752"/>
      <c r="DZ752"/>
      <c r="EA752"/>
      <c r="EB752"/>
      <c r="EC752"/>
      <c r="ED752"/>
      <c r="EE752"/>
      <c r="EF752"/>
      <c r="EG752"/>
      <c r="EH752"/>
      <c r="EI752"/>
      <c r="EJ752"/>
      <c r="EK752"/>
      <c r="EL752"/>
      <c r="EM752"/>
      <c r="EN752"/>
      <c r="EO752"/>
      <c r="EP752"/>
      <c r="EQ752"/>
      <c r="ER752"/>
      <c r="ES752"/>
      <c r="ET752"/>
      <c r="EU752"/>
      <c r="EV752"/>
      <c r="EW752"/>
      <c r="EX752"/>
      <c r="EY752"/>
      <c r="EZ752"/>
      <c r="FA752"/>
      <c r="FB752"/>
      <c r="FC752"/>
      <c r="FD752"/>
      <c r="FE752"/>
      <c r="FF752"/>
      <c r="FG752"/>
      <c r="FH752"/>
      <c r="FI752"/>
      <c r="FJ752"/>
      <c r="FK752"/>
      <c r="FL752"/>
      <c r="FM752"/>
      <c r="FN752"/>
      <c r="FO752"/>
      <c r="FP752"/>
      <c r="FQ752"/>
      <c r="FR752"/>
      <c r="FS752"/>
      <c r="FT752"/>
      <c r="FU752"/>
      <c r="FV752"/>
      <c r="FW752"/>
      <c r="FX752"/>
      <c r="FY752"/>
      <c r="FZ752"/>
      <c r="GA752"/>
      <c r="GB752"/>
      <c r="GC752"/>
      <c r="GD752"/>
      <c r="GE752"/>
      <c r="GF752"/>
      <c r="GG752"/>
      <c r="GH752"/>
      <c r="GI752"/>
      <c r="GJ752"/>
      <c r="GK752"/>
      <c r="GL752"/>
      <c r="GM752"/>
      <c r="GN752"/>
      <c r="GO752"/>
      <c r="GP752"/>
      <c r="GQ752"/>
      <c r="GR752"/>
      <c r="GS752"/>
      <c r="GT752"/>
      <c r="GU752"/>
      <c r="GV752"/>
      <c r="GW752"/>
      <c r="GX752"/>
      <c r="GY752"/>
      <c r="GZ752"/>
      <c r="HA752"/>
      <c r="HB752"/>
      <c r="HC752"/>
      <c r="HD752"/>
      <c r="HE752"/>
      <c r="HF752"/>
      <c r="HG752"/>
      <c r="HH752"/>
      <c r="HI752"/>
      <c r="HJ752"/>
      <c r="HK752"/>
      <c r="HL752"/>
      <c r="HM752"/>
      <c r="HN752"/>
      <c r="HO752"/>
      <c r="HP752"/>
      <c r="HQ752"/>
      <c r="HR752"/>
      <c r="HS752"/>
      <c r="HT752"/>
      <c r="HU752"/>
      <c r="HV752"/>
      <c r="HW752"/>
      <c r="HX752"/>
      <c r="HY752"/>
      <c r="HZ752"/>
      <c r="IA752"/>
      <c r="IB752"/>
      <c r="IC752"/>
      <c r="ID752"/>
      <c r="IE752"/>
      <c r="IF752"/>
      <c r="IG752"/>
      <c r="IH752"/>
      <c r="II752"/>
      <c r="IJ752"/>
      <c r="IK752"/>
      <c r="IL752"/>
      <c r="IM752"/>
      <c r="IN752"/>
      <c r="IO752"/>
      <c r="IP752"/>
      <c r="IQ752"/>
      <c r="IR752"/>
      <c r="IS752"/>
      <c r="IT752"/>
      <c r="IU752"/>
      <c r="IV752"/>
    </row>
    <row r="753" spans="1:256" ht="12.75" hidden="1" customHeight="1" x14ac:dyDescent="0.2">
      <c r="A753" s="583"/>
      <c r="B753" s="584" t="s">
        <v>851</v>
      </c>
      <c r="C753" s="560">
        <f>SUM(C754:C755)</f>
        <v>0</v>
      </c>
      <c r="D753" s="562">
        <f>SUM(D754:D755)</f>
        <v>0</v>
      </c>
      <c r="E753" s="579">
        <v>0</v>
      </c>
      <c r="F753" s="611">
        <f>SUM(F754:F755)</f>
        <v>0</v>
      </c>
      <c r="G753" s="560">
        <f>SUM(G754:G755)</f>
        <v>1300000</v>
      </c>
      <c r="H753"/>
      <c r="I753"/>
      <c r="J753"/>
      <c r="K753"/>
      <c r="L753"/>
      <c r="M753"/>
      <c r="N753"/>
      <c r="O753"/>
      <c r="P753"/>
      <c r="Q753"/>
      <c r="R753"/>
      <c r="S753"/>
      <c r="T753"/>
      <c r="U753"/>
      <c r="V753"/>
      <c r="W753"/>
      <c r="X753"/>
      <c r="Y753"/>
      <c r="Z753"/>
      <c r="AA753"/>
      <c r="AB753"/>
      <c r="AC753"/>
      <c r="AD753"/>
      <c r="AE753"/>
      <c r="AF753"/>
      <c r="AG753"/>
      <c r="AH753"/>
      <c r="AI753"/>
      <c r="AJ753"/>
      <c r="AK753"/>
      <c r="AL753"/>
      <c r="AM753"/>
      <c r="AN753"/>
      <c r="AO753"/>
      <c r="AP753"/>
      <c r="AQ753"/>
      <c r="AR753"/>
      <c r="AS753"/>
      <c r="AT753"/>
      <c r="AU753"/>
      <c r="AV753"/>
      <c r="AW753"/>
      <c r="AX753"/>
      <c r="AY753"/>
      <c r="AZ753"/>
      <c r="BA753"/>
      <c r="BB753"/>
      <c r="BC753"/>
      <c r="BD753"/>
      <c r="BE753"/>
      <c r="BF753"/>
      <c r="BG753"/>
      <c r="BH753"/>
      <c r="BI753"/>
      <c r="BJ753"/>
      <c r="BK753"/>
      <c r="BL753"/>
      <c r="BM753"/>
      <c r="BN753"/>
      <c r="BO753"/>
      <c r="BP753"/>
      <c r="BQ753"/>
      <c r="BR753"/>
      <c r="BS753"/>
      <c r="BT753"/>
      <c r="BU753"/>
      <c r="BV753"/>
      <c r="BW753"/>
      <c r="BX753"/>
      <c r="BY753"/>
      <c r="BZ753"/>
      <c r="CA753"/>
      <c r="CB753"/>
      <c r="CC753"/>
      <c r="CD753"/>
      <c r="CE753"/>
      <c r="CF753"/>
      <c r="CG753"/>
      <c r="CH753"/>
      <c r="CI753"/>
      <c r="CJ753"/>
      <c r="CK753"/>
      <c r="CL753"/>
      <c r="CM753"/>
      <c r="CN753"/>
      <c r="CO753"/>
      <c r="CP753"/>
      <c r="CQ753"/>
      <c r="CR753"/>
      <c r="CS753"/>
      <c r="CT753"/>
      <c r="CU753"/>
      <c r="CV753"/>
      <c r="CW753"/>
      <c r="CX753"/>
      <c r="CY753"/>
      <c r="CZ753"/>
      <c r="DA753"/>
      <c r="DB753"/>
      <c r="DC753"/>
      <c r="DD753"/>
      <c r="DE753"/>
      <c r="DF753"/>
      <c r="DG753"/>
      <c r="DH753"/>
      <c r="DI753"/>
      <c r="DJ753"/>
      <c r="DK753"/>
      <c r="DL753"/>
      <c r="DM753"/>
      <c r="DN753"/>
      <c r="DO753"/>
      <c r="DP753"/>
      <c r="DQ753"/>
      <c r="DR753"/>
      <c r="DS753"/>
      <c r="DT753"/>
      <c r="DU753"/>
      <c r="DV753"/>
      <c r="DW753"/>
      <c r="DX753"/>
      <c r="DY753"/>
      <c r="DZ753"/>
      <c r="EA753"/>
      <c r="EB753"/>
      <c r="EC753"/>
      <c r="ED753"/>
      <c r="EE753"/>
      <c r="EF753"/>
      <c r="EG753"/>
      <c r="EH753"/>
      <c r="EI753"/>
      <c r="EJ753"/>
      <c r="EK753"/>
      <c r="EL753"/>
      <c r="EM753"/>
      <c r="EN753"/>
      <c r="EO753"/>
      <c r="EP753"/>
      <c r="EQ753"/>
      <c r="ER753"/>
      <c r="ES753"/>
      <c r="ET753"/>
      <c r="EU753"/>
      <c r="EV753"/>
      <c r="EW753"/>
      <c r="EX753"/>
      <c r="EY753"/>
      <c r="EZ753"/>
      <c r="FA753"/>
      <c r="FB753"/>
      <c r="FC753"/>
      <c r="FD753"/>
      <c r="FE753"/>
      <c r="FF753"/>
      <c r="FG753"/>
      <c r="FH753"/>
      <c r="FI753"/>
      <c r="FJ753"/>
      <c r="FK753"/>
      <c r="FL753"/>
      <c r="FM753"/>
      <c r="FN753"/>
      <c r="FO753"/>
      <c r="FP753"/>
      <c r="FQ753"/>
      <c r="FR753"/>
      <c r="FS753"/>
      <c r="FT753"/>
      <c r="FU753"/>
      <c r="FV753"/>
      <c r="FW753"/>
      <c r="FX753"/>
      <c r="FY753"/>
      <c r="FZ753"/>
      <c r="GA753"/>
      <c r="GB753"/>
      <c r="GC753"/>
      <c r="GD753"/>
      <c r="GE753"/>
      <c r="GF753"/>
      <c r="GG753"/>
      <c r="GH753"/>
      <c r="GI753"/>
      <c r="GJ753"/>
      <c r="GK753"/>
      <c r="GL753"/>
      <c r="GM753"/>
      <c r="GN753"/>
      <c r="GO753"/>
      <c r="GP753"/>
      <c r="GQ753"/>
      <c r="GR753"/>
      <c r="GS753"/>
      <c r="GT753"/>
      <c r="GU753"/>
      <c r="GV753"/>
      <c r="GW753"/>
      <c r="GX753"/>
      <c r="GY753"/>
      <c r="GZ753"/>
      <c r="HA753"/>
      <c r="HB753"/>
      <c r="HC753"/>
      <c r="HD753"/>
      <c r="HE753"/>
      <c r="HF753"/>
      <c r="HG753"/>
      <c r="HH753"/>
      <c r="HI753"/>
      <c r="HJ753"/>
      <c r="HK753"/>
      <c r="HL753"/>
      <c r="HM753"/>
      <c r="HN753"/>
      <c r="HO753"/>
      <c r="HP753"/>
      <c r="HQ753"/>
      <c r="HR753"/>
      <c r="HS753"/>
      <c r="HT753"/>
      <c r="HU753"/>
      <c r="HV753"/>
      <c r="HW753"/>
      <c r="HX753"/>
      <c r="HY753"/>
      <c r="HZ753"/>
      <c r="IA753"/>
      <c r="IB753"/>
      <c r="IC753"/>
      <c r="ID753"/>
      <c r="IE753"/>
      <c r="IF753"/>
      <c r="IG753"/>
      <c r="IH753"/>
      <c r="II753"/>
      <c r="IJ753"/>
      <c r="IK753"/>
      <c r="IL753"/>
      <c r="IM753"/>
      <c r="IN753"/>
      <c r="IO753"/>
      <c r="IP753"/>
      <c r="IQ753"/>
      <c r="IR753"/>
      <c r="IS753"/>
      <c r="IT753"/>
      <c r="IU753"/>
      <c r="IV753"/>
    </row>
    <row r="754" spans="1:256" s="607" customFormat="1" ht="12.75" hidden="1" customHeight="1" x14ac:dyDescent="0.2">
      <c r="A754" s="601"/>
      <c r="B754" s="612" t="s">
        <v>852</v>
      </c>
      <c r="C754" s="610"/>
      <c r="D754" s="603"/>
      <c r="E754" s="613"/>
      <c r="F754" s="614"/>
      <c r="G754" s="615">
        <v>300000</v>
      </c>
    </row>
    <row r="755" spans="1:256" s="607" customFormat="1" ht="12.75" hidden="1" customHeight="1" x14ac:dyDescent="0.2">
      <c r="A755" s="601"/>
      <c r="B755" s="612" t="s">
        <v>853</v>
      </c>
      <c r="C755" s="560"/>
      <c r="D755" s="562"/>
      <c r="E755" s="579"/>
      <c r="F755" s="616"/>
      <c r="G755" s="617">
        <v>1000000</v>
      </c>
    </row>
    <row r="756" spans="1:256" s="607" customFormat="1" ht="12.75" hidden="1" customHeight="1" x14ac:dyDescent="0.2">
      <c r="A756" s="583"/>
      <c r="B756" s="584" t="s">
        <v>854</v>
      </c>
      <c r="C756" s="610">
        <f>SUM(C757:C758)</f>
        <v>4100000</v>
      </c>
      <c r="D756" s="603">
        <f>SUM(D757:D758)</f>
        <v>3293365</v>
      </c>
      <c r="E756" s="603">
        <f>SUM(E757:E758)</f>
        <v>3353907.7800000003</v>
      </c>
      <c r="F756" s="609">
        <f>SUM(F757:F758)</f>
        <v>3099279.41</v>
      </c>
      <c r="G756" s="610">
        <f>G757+G758</f>
        <v>3100000</v>
      </c>
    </row>
    <row r="757" spans="1:256" ht="12.75" hidden="1" customHeight="1" x14ac:dyDescent="0.2">
      <c r="A757" s="583"/>
      <c r="B757" s="618" t="s">
        <v>850</v>
      </c>
      <c r="C757" s="569">
        <v>2000000</v>
      </c>
      <c r="D757" s="591">
        <f>2000000-6635</f>
        <v>1993365</v>
      </c>
      <c r="E757" s="619">
        <v>2000000</v>
      </c>
      <c r="F757" s="580">
        <v>1745387.63</v>
      </c>
      <c r="G757" s="620">
        <v>2500000</v>
      </c>
      <c r="H757"/>
      <c r="I757"/>
      <c r="J757"/>
      <c r="K757"/>
      <c r="L757"/>
      <c r="M757"/>
      <c r="N757"/>
      <c r="O757"/>
      <c r="P757"/>
      <c r="Q757"/>
      <c r="R757"/>
      <c r="S757"/>
      <c r="T757"/>
      <c r="U757"/>
      <c r="V757"/>
      <c r="W757"/>
      <c r="X757"/>
      <c r="Y757"/>
      <c r="Z757"/>
      <c r="AA757"/>
      <c r="AB757"/>
      <c r="AC757"/>
      <c r="AD757"/>
      <c r="AE757"/>
      <c r="AF757"/>
      <c r="AG757"/>
      <c r="AH757"/>
      <c r="AI757"/>
      <c r="AJ757"/>
      <c r="AK757"/>
      <c r="AL757"/>
      <c r="AM757"/>
      <c r="AN757"/>
      <c r="AO757"/>
      <c r="AP757"/>
      <c r="AQ757"/>
      <c r="AR757"/>
      <c r="AS757"/>
      <c r="AT757"/>
      <c r="AU757"/>
      <c r="AV757"/>
      <c r="AW757"/>
      <c r="AX757"/>
      <c r="AY757"/>
      <c r="AZ757"/>
      <c r="BA757"/>
      <c r="BB757"/>
      <c r="BC757"/>
      <c r="BD757"/>
      <c r="BE757"/>
      <c r="BF757"/>
      <c r="BG757"/>
      <c r="BH757"/>
      <c r="BI757"/>
      <c r="BJ757"/>
      <c r="BK757"/>
      <c r="BL757"/>
      <c r="BM757"/>
      <c r="BN757"/>
      <c r="BO757"/>
      <c r="BP757"/>
      <c r="BQ757"/>
      <c r="BR757"/>
      <c r="BS757"/>
      <c r="BT757"/>
      <c r="BU757"/>
      <c r="BV757"/>
      <c r="BW757"/>
      <c r="BX757"/>
      <c r="BY757"/>
      <c r="BZ757"/>
      <c r="CA757"/>
      <c r="CB757"/>
      <c r="CC757"/>
      <c r="CD757"/>
      <c r="CE757"/>
      <c r="CF757"/>
      <c r="CG757"/>
      <c r="CH757"/>
      <c r="CI757"/>
      <c r="CJ757"/>
      <c r="CK757"/>
      <c r="CL757"/>
      <c r="CM757"/>
      <c r="CN757"/>
      <c r="CO757"/>
      <c r="CP757"/>
      <c r="CQ757"/>
      <c r="CR757"/>
      <c r="CS757"/>
      <c r="CT757"/>
      <c r="CU757"/>
      <c r="CV757"/>
      <c r="CW757"/>
      <c r="CX757"/>
      <c r="CY757"/>
      <c r="CZ757"/>
      <c r="DA757"/>
      <c r="DB757"/>
      <c r="DC757"/>
      <c r="DD757"/>
      <c r="DE757"/>
      <c r="DF757"/>
      <c r="DG757"/>
      <c r="DH757"/>
      <c r="DI757"/>
      <c r="DJ757"/>
      <c r="DK757"/>
      <c r="DL757"/>
      <c r="DM757"/>
      <c r="DN757"/>
      <c r="DO757"/>
      <c r="DP757"/>
      <c r="DQ757"/>
      <c r="DR757"/>
      <c r="DS757"/>
      <c r="DT757"/>
      <c r="DU757"/>
      <c r="DV757"/>
      <c r="DW757"/>
      <c r="DX757"/>
      <c r="DY757"/>
      <c r="DZ757"/>
      <c r="EA757"/>
      <c r="EB757"/>
      <c r="EC757"/>
      <c r="ED757"/>
      <c r="EE757"/>
      <c r="EF757"/>
      <c r="EG757"/>
      <c r="EH757"/>
      <c r="EI757"/>
      <c r="EJ757"/>
      <c r="EK757"/>
      <c r="EL757"/>
      <c r="EM757"/>
      <c r="EN757"/>
      <c r="EO757"/>
      <c r="EP757"/>
      <c r="EQ757"/>
      <c r="ER757"/>
      <c r="ES757"/>
      <c r="ET757"/>
      <c r="EU757"/>
      <c r="EV757"/>
      <c r="EW757"/>
      <c r="EX757"/>
      <c r="EY757"/>
      <c r="EZ757"/>
      <c r="FA757"/>
      <c r="FB757"/>
      <c r="FC757"/>
      <c r="FD757"/>
      <c r="FE757"/>
      <c r="FF757"/>
      <c r="FG757"/>
      <c r="FH757"/>
      <c r="FI757"/>
      <c r="FJ757"/>
      <c r="FK757"/>
      <c r="FL757"/>
      <c r="FM757"/>
      <c r="FN757"/>
      <c r="FO757"/>
      <c r="FP757"/>
      <c r="FQ757"/>
      <c r="FR757"/>
      <c r="FS757"/>
      <c r="FT757"/>
      <c r="FU757"/>
      <c r="FV757"/>
      <c r="FW757"/>
      <c r="FX757"/>
      <c r="FY757"/>
      <c r="FZ757"/>
      <c r="GA757"/>
      <c r="GB757"/>
      <c r="GC757"/>
      <c r="GD757"/>
      <c r="GE757"/>
      <c r="GF757"/>
      <c r="GG757"/>
      <c r="GH757"/>
      <c r="GI757"/>
      <c r="GJ757"/>
      <c r="GK757"/>
      <c r="GL757"/>
      <c r="GM757"/>
      <c r="GN757"/>
      <c r="GO757"/>
      <c r="GP757"/>
      <c r="GQ757"/>
      <c r="GR757"/>
      <c r="GS757"/>
      <c r="GT757"/>
      <c r="GU757"/>
      <c r="GV757"/>
      <c r="GW757"/>
      <c r="GX757"/>
      <c r="GY757"/>
      <c r="GZ757"/>
      <c r="HA757"/>
      <c r="HB757"/>
      <c r="HC757"/>
      <c r="HD757"/>
      <c r="HE757"/>
      <c r="HF757"/>
      <c r="HG757"/>
      <c r="HH757"/>
      <c r="HI757"/>
      <c r="HJ757"/>
      <c r="HK757"/>
      <c r="HL757"/>
      <c r="HM757"/>
      <c r="HN757"/>
      <c r="HO757"/>
      <c r="HP757"/>
      <c r="HQ757"/>
      <c r="HR757"/>
      <c r="HS757"/>
      <c r="HT757"/>
      <c r="HU757"/>
      <c r="HV757"/>
      <c r="HW757"/>
      <c r="HX757"/>
      <c r="HY757"/>
      <c r="HZ757"/>
      <c r="IA757"/>
      <c r="IB757"/>
      <c r="IC757"/>
      <c r="ID757"/>
      <c r="IE757"/>
      <c r="IF757"/>
      <c r="IG757"/>
      <c r="IH757"/>
      <c r="II757"/>
      <c r="IJ757"/>
      <c r="IK757"/>
      <c r="IL757"/>
      <c r="IM757"/>
      <c r="IN757"/>
      <c r="IO757"/>
      <c r="IP757"/>
      <c r="IQ757"/>
      <c r="IR757"/>
      <c r="IS757"/>
      <c r="IT757"/>
      <c r="IU757"/>
      <c r="IV757"/>
    </row>
    <row r="758" spans="1:256" ht="12.75" hidden="1" customHeight="1" x14ac:dyDescent="0.2">
      <c r="A758" s="583"/>
      <c r="B758" s="621" t="s">
        <v>855</v>
      </c>
      <c r="C758" s="622">
        <f>SUM(C759:C763)</f>
        <v>2100000</v>
      </c>
      <c r="D758" s="562">
        <f>SUM(D759:D763)</f>
        <v>1300000</v>
      </c>
      <c r="E758" s="562">
        <f>SUM(E759:E763)</f>
        <v>1353907.78</v>
      </c>
      <c r="F758" s="611">
        <v>1353891.78</v>
      </c>
      <c r="G758" s="622">
        <f>SUM(G759:G763)</f>
        <v>600000</v>
      </c>
      <c r="H758"/>
      <c r="I758"/>
      <c r="J758"/>
      <c r="K758"/>
      <c r="L758"/>
      <c r="M758"/>
      <c r="N758"/>
      <c r="O758"/>
      <c r="P758"/>
      <c r="Q758"/>
      <c r="R758"/>
      <c r="S758"/>
      <c r="T758"/>
      <c r="U758"/>
      <c r="V758"/>
      <c r="W758"/>
      <c r="X758"/>
      <c r="Y758"/>
      <c r="Z758"/>
      <c r="AA758"/>
      <c r="AB758"/>
      <c r="AC758"/>
      <c r="AD758"/>
      <c r="AE758"/>
      <c r="AF758"/>
      <c r="AG758"/>
      <c r="AH758"/>
      <c r="AI758"/>
      <c r="AJ758"/>
      <c r="AK758"/>
      <c r="AL758"/>
      <c r="AM758"/>
      <c r="AN758"/>
      <c r="AO758"/>
      <c r="AP758"/>
      <c r="AQ758"/>
      <c r="AR758"/>
      <c r="AS758"/>
      <c r="AT758"/>
      <c r="AU758"/>
      <c r="AV758"/>
      <c r="AW758"/>
      <c r="AX758"/>
      <c r="AY758"/>
      <c r="AZ758"/>
      <c r="BA758"/>
      <c r="BB758"/>
      <c r="BC758"/>
      <c r="BD758"/>
      <c r="BE758"/>
      <c r="BF758"/>
      <c r="BG758"/>
      <c r="BH758"/>
      <c r="BI758"/>
      <c r="BJ758"/>
      <c r="BK758"/>
      <c r="BL758"/>
      <c r="BM758"/>
      <c r="BN758"/>
      <c r="BO758"/>
      <c r="BP758"/>
      <c r="BQ758"/>
      <c r="BR758"/>
      <c r="BS758"/>
      <c r="BT758"/>
      <c r="BU758"/>
      <c r="BV758"/>
      <c r="BW758"/>
      <c r="BX758"/>
      <c r="BY758"/>
      <c r="BZ758"/>
      <c r="CA758"/>
      <c r="CB758"/>
      <c r="CC758"/>
      <c r="CD758"/>
      <c r="CE758"/>
      <c r="CF758"/>
      <c r="CG758"/>
      <c r="CH758"/>
      <c r="CI758"/>
      <c r="CJ758"/>
      <c r="CK758"/>
      <c r="CL758"/>
      <c r="CM758"/>
      <c r="CN758"/>
      <c r="CO758"/>
      <c r="CP758"/>
      <c r="CQ758"/>
      <c r="CR758"/>
      <c r="CS758"/>
      <c r="CT758"/>
      <c r="CU758"/>
      <c r="CV758"/>
      <c r="CW758"/>
      <c r="CX758"/>
      <c r="CY758"/>
      <c r="CZ758"/>
      <c r="DA758"/>
      <c r="DB758"/>
      <c r="DC758"/>
      <c r="DD758"/>
      <c r="DE758"/>
      <c r="DF758"/>
      <c r="DG758"/>
      <c r="DH758"/>
      <c r="DI758"/>
      <c r="DJ758"/>
      <c r="DK758"/>
      <c r="DL758"/>
      <c r="DM758"/>
      <c r="DN758"/>
      <c r="DO758"/>
      <c r="DP758"/>
      <c r="DQ758"/>
      <c r="DR758"/>
      <c r="DS758"/>
      <c r="DT758"/>
      <c r="DU758"/>
      <c r="DV758"/>
      <c r="DW758"/>
      <c r="DX758"/>
      <c r="DY758"/>
      <c r="DZ758"/>
      <c r="EA758"/>
      <c r="EB758"/>
      <c r="EC758"/>
      <c r="ED758"/>
      <c r="EE758"/>
      <c r="EF758"/>
      <c r="EG758"/>
      <c r="EH758"/>
      <c r="EI758"/>
      <c r="EJ758"/>
      <c r="EK758"/>
      <c r="EL758"/>
      <c r="EM758"/>
      <c r="EN758"/>
      <c r="EO758"/>
      <c r="EP758"/>
      <c r="EQ758"/>
      <c r="ER758"/>
      <c r="ES758"/>
      <c r="ET758"/>
      <c r="EU758"/>
      <c r="EV758"/>
      <c r="EW758"/>
      <c r="EX758"/>
      <c r="EY758"/>
      <c r="EZ758"/>
      <c r="FA758"/>
      <c r="FB758"/>
      <c r="FC758"/>
      <c r="FD758"/>
      <c r="FE758"/>
      <c r="FF758"/>
      <c r="FG758"/>
      <c r="FH758"/>
      <c r="FI758"/>
      <c r="FJ758"/>
      <c r="FK758"/>
      <c r="FL758"/>
      <c r="FM758"/>
      <c r="FN758"/>
      <c r="FO758"/>
      <c r="FP758"/>
      <c r="FQ758"/>
      <c r="FR758"/>
      <c r="FS758"/>
      <c r="FT758"/>
      <c r="FU758"/>
      <c r="FV758"/>
      <c r="FW758"/>
      <c r="FX758"/>
      <c r="FY758"/>
      <c r="FZ758"/>
      <c r="GA758"/>
      <c r="GB758"/>
      <c r="GC758"/>
      <c r="GD758"/>
      <c r="GE758"/>
      <c r="GF758"/>
      <c r="GG758"/>
      <c r="GH758"/>
      <c r="GI758"/>
      <c r="GJ758"/>
      <c r="GK758"/>
      <c r="GL758"/>
      <c r="GM758"/>
      <c r="GN758"/>
      <c r="GO758"/>
      <c r="GP758"/>
      <c r="GQ758"/>
      <c r="GR758"/>
      <c r="GS758"/>
      <c r="GT758"/>
      <c r="GU758"/>
      <c r="GV758"/>
      <c r="GW758"/>
      <c r="GX758"/>
      <c r="GY758"/>
      <c r="GZ758"/>
      <c r="HA758"/>
      <c r="HB758"/>
      <c r="HC758"/>
      <c r="HD758"/>
      <c r="HE758"/>
      <c r="HF758"/>
      <c r="HG758"/>
      <c r="HH758"/>
      <c r="HI758"/>
      <c r="HJ758"/>
      <c r="HK758"/>
      <c r="HL758"/>
      <c r="HM758"/>
      <c r="HN758"/>
      <c r="HO758"/>
      <c r="HP758"/>
      <c r="HQ758"/>
      <c r="HR758"/>
      <c r="HS758"/>
      <c r="HT758"/>
      <c r="HU758"/>
      <c r="HV758"/>
      <c r="HW758"/>
      <c r="HX758"/>
      <c r="HY758"/>
      <c r="HZ758"/>
      <c r="IA758"/>
      <c r="IB758"/>
      <c r="IC758"/>
      <c r="ID758"/>
      <c r="IE758"/>
      <c r="IF758"/>
      <c r="IG758"/>
      <c r="IH758"/>
      <c r="II758"/>
      <c r="IJ758"/>
      <c r="IK758"/>
      <c r="IL758"/>
      <c r="IM758"/>
      <c r="IN758"/>
      <c r="IO758"/>
      <c r="IP758"/>
      <c r="IQ758"/>
      <c r="IR758"/>
      <c r="IS758"/>
      <c r="IT758"/>
      <c r="IU758"/>
      <c r="IV758"/>
    </row>
    <row r="759" spans="1:256" ht="12.75" hidden="1" customHeight="1" x14ac:dyDescent="0.2">
      <c r="A759" s="601"/>
      <c r="B759" s="561" t="s">
        <v>856</v>
      </c>
      <c r="C759" s="558">
        <v>1300000</v>
      </c>
      <c r="D759" s="562">
        <v>1300000</v>
      </c>
      <c r="E759" s="564">
        <v>1353907.78</v>
      </c>
      <c r="F759" s="611">
        <f>SUM(F760:F763)</f>
        <v>0</v>
      </c>
      <c r="G759" s="560">
        <v>0</v>
      </c>
      <c r="H759"/>
      <c r="I759"/>
      <c r="J759"/>
      <c r="K759"/>
      <c r="L759"/>
      <c r="M759"/>
      <c r="N759"/>
      <c r="O759"/>
      <c r="P759"/>
      <c r="Q759"/>
      <c r="R759"/>
      <c r="S759"/>
      <c r="T759"/>
      <c r="U759"/>
      <c r="V759"/>
      <c r="W759"/>
      <c r="X759"/>
      <c r="Y759"/>
      <c r="Z759"/>
      <c r="AA759"/>
      <c r="AB759"/>
      <c r="AC759"/>
      <c r="AD759"/>
      <c r="AE759"/>
      <c r="AF759"/>
      <c r="AG759"/>
      <c r="AH759"/>
      <c r="AI759"/>
      <c r="AJ759"/>
      <c r="AK759"/>
      <c r="AL759"/>
      <c r="AM759"/>
      <c r="AN759"/>
      <c r="AO759"/>
      <c r="AP759"/>
      <c r="AQ759"/>
      <c r="AR759"/>
      <c r="AS759"/>
      <c r="AT759"/>
      <c r="AU759"/>
      <c r="AV759"/>
      <c r="AW759"/>
      <c r="AX759"/>
      <c r="AY759"/>
      <c r="AZ759"/>
      <c r="BA759"/>
      <c r="BB759"/>
      <c r="BC759"/>
      <c r="BD759"/>
      <c r="BE759"/>
      <c r="BF759"/>
      <c r="BG759"/>
      <c r="BH759"/>
      <c r="BI759"/>
      <c r="BJ759"/>
      <c r="BK759"/>
      <c r="BL759"/>
      <c r="BM759"/>
      <c r="BN759"/>
      <c r="BO759"/>
      <c r="BP759"/>
      <c r="BQ759"/>
      <c r="BR759"/>
      <c r="BS759"/>
      <c r="BT759"/>
      <c r="BU759"/>
      <c r="BV759"/>
      <c r="BW759"/>
      <c r="BX759"/>
      <c r="BY759"/>
      <c r="BZ759"/>
      <c r="CA759"/>
      <c r="CB759"/>
      <c r="CC759"/>
      <c r="CD759"/>
      <c r="CE759"/>
      <c r="CF759"/>
      <c r="CG759"/>
      <c r="CH759"/>
      <c r="CI759"/>
      <c r="CJ759"/>
      <c r="CK759"/>
      <c r="CL759"/>
      <c r="CM759"/>
      <c r="CN759"/>
      <c r="CO759"/>
      <c r="CP759"/>
      <c r="CQ759"/>
      <c r="CR759"/>
      <c r="CS759"/>
      <c r="CT759"/>
      <c r="CU759"/>
      <c r="CV759"/>
      <c r="CW759"/>
      <c r="CX759"/>
      <c r="CY759"/>
      <c r="CZ759"/>
      <c r="DA759"/>
      <c r="DB759"/>
      <c r="DC759"/>
      <c r="DD759"/>
      <c r="DE759"/>
      <c r="DF759"/>
      <c r="DG759"/>
      <c r="DH759"/>
      <c r="DI759"/>
      <c r="DJ759"/>
      <c r="DK759"/>
      <c r="DL759"/>
      <c r="DM759"/>
      <c r="DN759"/>
      <c r="DO759"/>
      <c r="DP759"/>
      <c r="DQ759"/>
      <c r="DR759"/>
      <c r="DS759"/>
      <c r="DT759"/>
      <c r="DU759"/>
      <c r="DV759"/>
      <c r="DW759"/>
      <c r="DX759"/>
      <c r="DY759"/>
      <c r="DZ759"/>
      <c r="EA759"/>
      <c r="EB759"/>
      <c r="EC759"/>
      <c r="ED759"/>
      <c r="EE759"/>
      <c r="EF759"/>
      <c r="EG759"/>
      <c r="EH759"/>
      <c r="EI759"/>
      <c r="EJ759"/>
      <c r="EK759"/>
      <c r="EL759"/>
      <c r="EM759"/>
      <c r="EN759"/>
      <c r="EO759"/>
      <c r="EP759"/>
      <c r="EQ759"/>
      <c r="ER759"/>
      <c r="ES759"/>
      <c r="ET759"/>
      <c r="EU759"/>
      <c r="EV759"/>
      <c r="EW759"/>
      <c r="EX759"/>
      <c r="EY759"/>
      <c r="EZ759"/>
      <c r="FA759"/>
      <c r="FB759"/>
      <c r="FC759"/>
      <c r="FD759"/>
      <c r="FE759"/>
      <c r="FF759"/>
      <c r="FG759"/>
      <c r="FH759"/>
      <c r="FI759"/>
      <c r="FJ759"/>
      <c r="FK759"/>
      <c r="FL759"/>
      <c r="FM759"/>
      <c r="FN759"/>
      <c r="FO759"/>
      <c r="FP759"/>
      <c r="FQ759"/>
      <c r="FR759"/>
      <c r="FS759"/>
      <c r="FT759"/>
      <c r="FU759"/>
      <c r="FV759"/>
      <c r="FW759"/>
      <c r="FX759"/>
      <c r="FY759"/>
      <c r="FZ759"/>
      <c r="GA759"/>
      <c r="GB759"/>
      <c r="GC759"/>
      <c r="GD759"/>
      <c r="GE759"/>
      <c r="GF759"/>
      <c r="GG759"/>
      <c r="GH759"/>
      <c r="GI759"/>
      <c r="GJ759"/>
      <c r="GK759"/>
      <c r="GL759"/>
      <c r="GM759"/>
      <c r="GN759"/>
      <c r="GO759"/>
      <c r="GP759"/>
      <c r="GQ759"/>
      <c r="GR759"/>
      <c r="GS759"/>
      <c r="GT759"/>
      <c r="GU759"/>
      <c r="GV759"/>
      <c r="GW759"/>
      <c r="GX759"/>
      <c r="GY759"/>
      <c r="GZ759"/>
      <c r="HA759"/>
      <c r="HB759"/>
      <c r="HC759"/>
      <c r="HD759"/>
      <c r="HE759"/>
      <c r="HF759"/>
      <c r="HG759"/>
      <c r="HH759"/>
      <c r="HI759"/>
      <c r="HJ759"/>
      <c r="HK759"/>
      <c r="HL759"/>
      <c r="HM759"/>
      <c r="HN759"/>
      <c r="HO759"/>
      <c r="HP759"/>
      <c r="HQ759"/>
      <c r="HR759"/>
      <c r="HS759"/>
      <c r="HT759"/>
      <c r="HU759"/>
      <c r="HV759"/>
      <c r="HW759"/>
      <c r="HX759"/>
      <c r="HY759"/>
      <c r="HZ759"/>
      <c r="IA759"/>
      <c r="IB759"/>
      <c r="IC759"/>
      <c r="ID759"/>
      <c r="IE759"/>
      <c r="IF759"/>
      <c r="IG759"/>
      <c r="IH759"/>
      <c r="II759"/>
      <c r="IJ759"/>
      <c r="IK759"/>
      <c r="IL759"/>
      <c r="IM759"/>
      <c r="IN759"/>
      <c r="IO759"/>
      <c r="IP759"/>
      <c r="IQ759"/>
      <c r="IR759"/>
      <c r="IS759"/>
      <c r="IT759"/>
      <c r="IU759"/>
      <c r="IV759"/>
    </row>
    <row r="760" spans="1:256" s="607" customFormat="1" ht="12.75" hidden="1" customHeight="1" x14ac:dyDescent="0.2">
      <c r="A760" s="601"/>
      <c r="B760" s="561" t="s">
        <v>857</v>
      </c>
      <c r="C760" s="558">
        <v>800000</v>
      </c>
      <c r="D760" s="562">
        <f>800000-800000</f>
        <v>0</v>
      </c>
      <c r="E760" s="579">
        <v>0</v>
      </c>
      <c r="F760" s="580">
        <v>0</v>
      </c>
      <c r="G760" s="127">
        <v>0</v>
      </c>
    </row>
    <row r="761" spans="1:256" s="607" customFormat="1" ht="12.75" hidden="1" customHeight="1" x14ac:dyDescent="0.2">
      <c r="A761" s="601"/>
      <c r="B761" s="561" t="s">
        <v>858</v>
      </c>
      <c r="C761" s="560"/>
      <c r="D761" s="562"/>
      <c r="E761" s="564"/>
      <c r="F761" s="623"/>
      <c r="G761" s="456">
        <v>300000</v>
      </c>
    </row>
    <row r="762" spans="1:256" s="607" customFormat="1" ht="12.75" hidden="1" customHeight="1" x14ac:dyDescent="0.2">
      <c r="A762" s="601"/>
      <c r="B762" s="624" t="s">
        <v>859</v>
      </c>
      <c r="C762" s="560"/>
      <c r="D762" s="562"/>
      <c r="E762" s="564"/>
      <c r="F762" s="623"/>
      <c r="G762" s="484">
        <v>300000</v>
      </c>
    </row>
    <row r="763" spans="1:256" s="607" customFormat="1" ht="12.75" hidden="1" customHeight="1" x14ac:dyDescent="0.2">
      <c r="A763" s="601"/>
      <c r="B763" s="561" t="s">
        <v>860</v>
      </c>
      <c r="C763" s="560"/>
      <c r="D763" s="562"/>
      <c r="E763" s="564"/>
      <c r="F763" s="623"/>
      <c r="G763" s="484">
        <v>0</v>
      </c>
    </row>
    <row r="764" spans="1:256" s="607" customFormat="1" ht="12.75" hidden="1" customHeight="1" x14ac:dyDescent="0.2">
      <c r="A764" s="583"/>
      <c r="B764" s="557" t="s">
        <v>861</v>
      </c>
      <c r="C764" s="610">
        <f>SUM(C765:C765)</f>
        <v>600000</v>
      </c>
      <c r="D764" s="603">
        <f>SUM(D765:D765)</f>
        <v>473000</v>
      </c>
      <c r="E764" s="603">
        <f>SUM(E765:E765)</f>
        <v>473000</v>
      </c>
      <c r="F764" s="625">
        <f>SUM(F765:F765)</f>
        <v>117051.4</v>
      </c>
      <c r="G764" s="626">
        <v>0</v>
      </c>
    </row>
    <row r="765" spans="1:256" ht="12.75" hidden="1" customHeight="1" x14ac:dyDescent="0.2">
      <c r="A765" s="583"/>
      <c r="B765" s="557" t="s">
        <v>862</v>
      </c>
      <c r="C765" s="560">
        <v>600000</v>
      </c>
      <c r="D765" s="562">
        <v>473000</v>
      </c>
      <c r="E765" s="564">
        <v>473000</v>
      </c>
      <c r="F765" s="580">
        <v>117051.4</v>
      </c>
      <c r="G765" s="162">
        <v>0</v>
      </c>
      <c r="H765"/>
      <c r="I765"/>
      <c r="J765"/>
      <c r="K765"/>
      <c r="L765"/>
      <c r="M765"/>
      <c r="N765"/>
      <c r="O765"/>
      <c r="P765"/>
      <c r="Q765"/>
      <c r="R765"/>
      <c r="S765"/>
      <c r="T765"/>
      <c r="U765"/>
      <c r="V765"/>
      <c r="W765"/>
      <c r="X765"/>
      <c r="Y765"/>
      <c r="Z765"/>
      <c r="AA765"/>
      <c r="AB765"/>
      <c r="AC765"/>
      <c r="AD765"/>
      <c r="AE765"/>
      <c r="AF765"/>
      <c r="AG765"/>
      <c r="AH765"/>
      <c r="AI765"/>
      <c r="AJ765"/>
      <c r="AK765"/>
      <c r="AL765"/>
      <c r="AM765"/>
      <c r="AN765"/>
      <c r="AO765"/>
      <c r="AP765"/>
      <c r="AQ765"/>
      <c r="AR765"/>
      <c r="AS765"/>
      <c r="AT765"/>
      <c r="AU765"/>
      <c r="AV765"/>
      <c r="AW765"/>
      <c r="AX765"/>
      <c r="AY765"/>
      <c r="AZ765"/>
      <c r="BA765"/>
      <c r="BB765"/>
      <c r="BC765"/>
      <c r="BD765"/>
      <c r="BE765"/>
      <c r="BF765"/>
      <c r="BG765"/>
      <c r="BH765"/>
      <c r="BI765"/>
      <c r="BJ765"/>
      <c r="BK765"/>
      <c r="BL765"/>
      <c r="BM765"/>
      <c r="BN765"/>
      <c r="BO765"/>
      <c r="BP765"/>
      <c r="BQ765"/>
      <c r="BR765"/>
      <c r="BS765"/>
      <c r="BT765"/>
      <c r="BU765"/>
      <c r="BV765"/>
      <c r="BW765"/>
      <c r="BX765"/>
      <c r="BY765"/>
      <c r="BZ765"/>
      <c r="CA765"/>
      <c r="CB765"/>
      <c r="CC765"/>
      <c r="CD765"/>
      <c r="CE765"/>
      <c r="CF765"/>
      <c r="CG765"/>
      <c r="CH765"/>
      <c r="CI765"/>
      <c r="CJ765"/>
      <c r="CK765"/>
      <c r="CL765"/>
      <c r="CM765"/>
      <c r="CN765"/>
      <c r="CO765"/>
      <c r="CP765"/>
      <c r="CQ765"/>
      <c r="CR765"/>
      <c r="CS765"/>
      <c r="CT765"/>
      <c r="CU765"/>
      <c r="CV765"/>
      <c r="CW765"/>
      <c r="CX765"/>
      <c r="CY765"/>
      <c r="CZ765"/>
      <c r="DA765"/>
      <c r="DB765"/>
      <c r="DC765"/>
      <c r="DD765"/>
      <c r="DE765"/>
      <c r="DF765"/>
      <c r="DG765"/>
      <c r="DH765"/>
      <c r="DI765"/>
      <c r="DJ765"/>
      <c r="DK765"/>
      <c r="DL765"/>
      <c r="DM765"/>
      <c r="DN765"/>
      <c r="DO765"/>
      <c r="DP765"/>
      <c r="DQ765"/>
      <c r="DR765"/>
      <c r="DS765"/>
      <c r="DT765"/>
      <c r="DU765"/>
      <c r="DV765"/>
      <c r="DW765"/>
      <c r="DX765"/>
      <c r="DY765"/>
      <c r="DZ765"/>
      <c r="EA765"/>
      <c r="EB765"/>
      <c r="EC765"/>
      <c r="ED765"/>
      <c r="EE765"/>
      <c r="EF765"/>
      <c r="EG765"/>
      <c r="EH765"/>
      <c r="EI765"/>
      <c r="EJ765"/>
      <c r="EK765"/>
      <c r="EL765"/>
      <c r="EM765"/>
      <c r="EN765"/>
      <c r="EO765"/>
      <c r="EP765"/>
      <c r="EQ765"/>
      <c r="ER765"/>
      <c r="ES765"/>
      <c r="ET765"/>
      <c r="EU765"/>
      <c r="EV765"/>
      <c r="EW765"/>
      <c r="EX765"/>
      <c r="EY765"/>
      <c r="EZ765"/>
      <c r="FA765"/>
      <c r="FB765"/>
      <c r="FC765"/>
      <c r="FD765"/>
      <c r="FE765"/>
      <c r="FF765"/>
      <c r="FG765"/>
      <c r="FH765"/>
      <c r="FI765"/>
      <c r="FJ765"/>
      <c r="FK765"/>
      <c r="FL765"/>
      <c r="FM765"/>
      <c r="FN765"/>
      <c r="FO765"/>
      <c r="FP765"/>
      <c r="FQ765"/>
      <c r="FR765"/>
      <c r="FS765"/>
      <c r="FT765"/>
      <c r="FU765"/>
      <c r="FV765"/>
      <c r="FW765"/>
      <c r="FX765"/>
      <c r="FY765"/>
      <c r="FZ765"/>
      <c r="GA765"/>
      <c r="GB765"/>
      <c r="GC765"/>
      <c r="GD765"/>
      <c r="GE765"/>
      <c r="GF765"/>
      <c r="GG765"/>
      <c r="GH765"/>
      <c r="GI765"/>
      <c r="GJ765"/>
      <c r="GK765"/>
      <c r="GL765"/>
      <c r="GM765"/>
      <c r="GN765"/>
      <c r="GO765"/>
      <c r="GP765"/>
      <c r="GQ765"/>
      <c r="GR765"/>
      <c r="GS765"/>
      <c r="GT765"/>
      <c r="GU765"/>
      <c r="GV765"/>
      <c r="GW765"/>
      <c r="GX765"/>
      <c r="GY765"/>
      <c r="GZ765"/>
      <c r="HA765"/>
      <c r="HB765"/>
      <c r="HC765"/>
      <c r="HD765"/>
      <c r="HE765"/>
      <c r="HF765"/>
      <c r="HG765"/>
      <c r="HH765"/>
      <c r="HI765"/>
      <c r="HJ765"/>
      <c r="HK765"/>
      <c r="HL765"/>
      <c r="HM765"/>
      <c r="HN765"/>
      <c r="HO765"/>
      <c r="HP765"/>
      <c r="HQ765"/>
      <c r="HR765"/>
      <c r="HS765"/>
      <c r="HT765"/>
      <c r="HU765"/>
      <c r="HV765"/>
      <c r="HW765"/>
      <c r="HX765"/>
      <c r="HY765"/>
      <c r="HZ765"/>
      <c r="IA765"/>
      <c r="IB765"/>
      <c r="IC765"/>
      <c r="ID765"/>
      <c r="IE765"/>
      <c r="IF765"/>
      <c r="IG765"/>
      <c r="IH765"/>
      <c r="II765"/>
      <c r="IJ765"/>
      <c r="IK765"/>
      <c r="IL765"/>
      <c r="IM765"/>
      <c r="IN765"/>
      <c r="IO765"/>
      <c r="IP765"/>
      <c r="IQ765"/>
      <c r="IR765"/>
      <c r="IS765"/>
      <c r="IT765"/>
      <c r="IU765"/>
      <c r="IV765"/>
    </row>
    <row r="766" spans="1:256" ht="12.75" hidden="1" customHeight="1" x14ac:dyDescent="0.2">
      <c r="A766" s="583"/>
      <c r="B766" s="584" t="s">
        <v>863</v>
      </c>
      <c r="C766" s="610">
        <f>C767+C768</f>
        <v>5500000</v>
      </c>
      <c r="D766" s="603">
        <f>D767+D768</f>
        <v>3391000</v>
      </c>
      <c r="E766" s="603">
        <f>E767+E768</f>
        <v>3133425</v>
      </c>
      <c r="F766" s="609">
        <f>F767+F768</f>
        <v>1795955.96</v>
      </c>
      <c r="G766" s="602">
        <f>G767+G768</f>
        <v>2500000</v>
      </c>
      <c r="H766"/>
      <c r="I766"/>
      <c r="J766"/>
      <c r="K766"/>
      <c r="L766"/>
      <c r="M766"/>
      <c r="N766"/>
      <c r="O766"/>
      <c r="P766"/>
      <c r="Q766"/>
      <c r="R766"/>
      <c r="S766"/>
      <c r="T766"/>
      <c r="U766"/>
      <c r="V766"/>
      <c r="W766"/>
      <c r="X766"/>
      <c r="Y766"/>
      <c r="Z766"/>
      <c r="AA766"/>
      <c r="AB766"/>
      <c r="AC766"/>
      <c r="AD766"/>
      <c r="AE766"/>
      <c r="AF766"/>
      <c r="AG766"/>
      <c r="AH766"/>
      <c r="AI766"/>
      <c r="AJ766"/>
      <c r="AK766"/>
      <c r="AL766"/>
      <c r="AM766"/>
      <c r="AN766"/>
      <c r="AO766"/>
      <c r="AP766"/>
      <c r="AQ766"/>
      <c r="AR766"/>
      <c r="AS766"/>
      <c r="AT766"/>
      <c r="AU766"/>
      <c r="AV766"/>
      <c r="AW766"/>
      <c r="AX766"/>
      <c r="AY766"/>
      <c r="AZ766"/>
      <c r="BA766"/>
      <c r="BB766"/>
      <c r="BC766"/>
      <c r="BD766"/>
      <c r="BE766"/>
      <c r="BF766"/>
      <c r="BG766"/>
      <c r="BH766"/>
      <c r="BI766"/>
      <c r="BJ766"/>
      <c r="BK766"/>
      <c r="BL766"/>
      <c r="BM766"/>
      <c r="BN766"/>
      <c r="BO766"/>
      <c r="BP766"/>
      <c r="BQ766"/>
      <c r="BR766"/>
      <c r="BS766"/>
      <c r="BT766"/>
      <c r="BU766"/>
      <c r="BV766"/>
      <c r="BW766"/>
      <c r="BX766"/>
      <c r="BY766"/>
      <c r="BZ766"/>
      <c r="CA766"/>
      <c r="CB766"/>
      <c r="CC766"/>
      <c r="CD766"/>
      <c r="CE766"/>
      <c r="CF766"/>
      <c r="CG766"/>
      <c r="CH766"/>
      <c r="CI766"/>
      <c r="CJ766"/>
      <c r="CK766"/>
      <c r="CL766"/>
      <c r="CM766"/>
      <c r="CN766"/>
      <c r="CO766"/>
      <c r="CP766"/>
      <c r="CQ766"/>
      <c r="CR766"/>
      <c r="CS766"/>
      <c r="CT766"/>
      <c r="CU766"/>
      <c r="CV766"/>
      <c r="CW766"/>
      <c r="CX766"/>
      <c r="CY766"/>
      <c r="CZ766"/>
      <c r="DA766"/>
      <c r="DB766"/>
      <c r="DC766"/>
      <c r="DD766"/>
      <c r="DE766"/>
      <c r="DF766"/>
      <c r="DG766"/>
      <c r="DH766"/>
      <c r="DI766"/>
      <c r="DJ766"/>
      <c r="DK766"/>
      <c r="DL766"/>
      <c r="DM766"/>
      <c r="DN766"/>
      <c r="DO766"/>
      <c r="DP766"/>
      <c r="DQ766"/>
      <c r="DR766"/>
      <c r="DS766"/>
      <c r="DT766"/>
      <c r="DU766"/>
      <c r="DV766"/>
      <c r="DW766"/>
      <c r="DX766"/>
      <c r="DY766"/>
      <c r="DZ766"/>
      <c r="EA766"/>
      <c r="EB766"/>
      <c r="EC766"/>
      <c r="ED766"/>
      <c r="EE766"/>
      <c r="EF766"/>
      <c r="EG766"/>
      <c r="EH766"/>
      <c r="EI766"/>
      <c r="EJ766"/>
      <c r="EK766"/>
      <c r="EL766"/>
      <c r="EM766"/>
      <c r="EN766"/>
      <c r="EO766"/>
      <c r="EP766"/>
      <c r="EQ766"/>
      <c r="ER766"/>
      <c r="ES766"/>
      <c r="ET766"/>
      <c r="EU766"/>
      <c r="EV766"/>
      <c r="EW766"/>
      <c r="EX766"/>
      <c r="EY766"/>
      <c r="EZ766"/>
      <c r="FA766"/>
      <c r="FB766"/>
      <c r="FC766"/>
      <c r="FD766"/>
      <c r="FE766"/>
      <c r="FF766"/>
      <c r="FG766"/>
      <c r="FH766"/>
      <c r="FI766"/>
      <c r="FJ766"/>
      <c r="FK766"/>
      <c r="FL766"/>
      <c r="FM766"/>
      <c r="FN766"/>
      <c r="FO766"/>
      <c r="FP766"/>
      <c r="FQ766"/>
      <c r="FR766"/>
      <c r="FS766"/>
      <c r="FT766"/>
      <c r="FU766"/>
      <c r="FV766"/>
      <c r="FW766"/>
      <c r="FX766"/>
      <c r="FY766"/>
      <c r="FZ766"/>
      <c r="GA766"/>
      <c r="GB766"/>
      <c r="GC766"/>
      <c r="GD766"/>
      <c r="GE766"/>
      <c r="GF766"/>
      <c r="GG766"/>
      <c r="GH766"/>
      <c r="GI766"/>
      <c r="GJ766"/>
      <c r="GK766"/>
      <c r="GL766"/>
      <c r="GM766"/>
      <c r="GN766"/>
      <c r="GO766"/>
      <c r="GP766"/>
      <c r="GQ766"/>
      <c r="GR766"/>
      <c r="GS766"/>
      <c r="GT766"/>
      <c r="GU766"/>
      <c r="GV766"/>
      <c r="GW766"/>
      <c r="GX766"/>
      <c r="GY766"/>
      <c r="GZ766"/>
      <c r="HA766"/>
      <c r="HB766"/>
      <c r="HC766"/>
      <c r="HD766"/>
      <c r="HE766"/>
      <c r="HF766"/>
      <c r="HG766"/>
      <c r="HH766"/>
      <c r="HI766"/>
      <c r="HJ766"/>
      <c r="HK766"/>
      <c r="HL766"/>
      <c r="HM766"/>
      <c r="HN766"/>
      <c r="HO766"/>
      <c r="HP766"/>
      <c r="HQ766"/>
      <c r="HR766"/>
      <c r="HS766"/>
      <c r="HT766"/>
      <c r="HU766"/>
      <c r="HV766"/>
      <c r="HW766"/>
      <c r="HX766"/>
      <c r="HY766"/>
      <c r="HZ766"/>
      <c r="IA766"/>
      <c r="IB766"/>
      <c r="IC766"/>
      <c r="ID766"/>
      <c r="IE766"/>
      <c r="IF766"/>
      <c r="IG766"/>
      <c r="IH766"/>
      <c r="II766"/>
      <c r="IJ766"/>
      <c r="IK766"/>
      <c r="IL766"/>
      <c r="IM766"/>
      <c r="IN766"/>
      <c r="IO766"/>
      <c r="IP766"/>
      <c r="IQ766"/>
      <c r="IR766"/>
      <c r="IS766"/>
      <c r="IT766"/>
      <c r="IU766"/>
      <c r="IV766"/>
    </row>
    <row r="767" spans="1:256" ht="12.75" hidden="1" customHeight="1" x14ac:dyDescent="0.2">
      <c r="A767" s="583"/>
      <c r="B767" s="557" t="s">
        <v>864</v>
      </c>
      <c r="C767" s="560">
        <v>1500000</v>
      </c>
      <c r="D767" s="562">
        <v>1891000</v>
      </c>
      <c r="E767" s="564">
        <v>1891000</v>
      </c>
      <c r="F767" s="580">
        <v>853530.95</v>
      </c>
      <c r="G767" s="162">
        <v>1500000</v>
      </c>
      <c r="H767"/>
      <c r="I767"/>
      <c r="J767"/>
      <c r="K767"/>
      <c r="L767"/>
      <c r="M767"/>
      <c r="N767"/>
      <c r="O767"/>
      <c r="P767"/>
      <c r="Q767"/>
      <c r="R767"/>
      <c r="S767"/>
      <c r="T767"/>
      <c r="U767"/>
      <c r="V767"/>
      <c r="W767"/>
      <c r="X767"/>
      <c r="Y767"/>
      <c r="Z767"/>
      <c r="AA767"/>
      <c r="AB767"/>
      <c r="AC767"/>
      <c r="AD767"/>
      <c r="AE767"/>
      <c r="AF767"/>
      <c r="AG767"/>
      <c r="AH767"/>
      <c r="AI767"/>
      <c r="AJ767"/>
      <c r="AK767"/>
      <c r="AL767"/>
      <c r="AM767"/>
      <c r="AN767"/>
      <c r="AO767"/>
      <c r="AP767"/>
      <c r="AQ767"/>
      <c r="AR767"/>
      <c r="AS767"/>
      <c r="AT767"/>
      <c r="AU767"/>
      <c r="AV767"/>
      <c r="AW767"/>
      <c r="AX767"/>
      <c r="AY767"/>
      <c r="AZ767"/>
      <c r="BA767"/>
      <c r="BB767"/>
      <c r="BC767"/>
      <c r="BD767"/>
      <c r="BE767"/>
      <c r="BF767"/>
      <c r="BG767"/>
      <c r="BH767"/>
      <c r="BI767"/>
      <c r="BJ767"/>
      <c r="BK767"/>
      <c r="BL767"/>
      <c r="BM767"/>
      <c r="BN767"/>
      <c r="BO767"/>
      <c r="BP767"/>
      <c r="BQ767"/>
      <c r="BR767"/>
      <c r="BS767"/>
      <c r="BT767"/>
      <c r="BU767"/>
      <c r="BV767"/>
      <c r="BW767"/>
      <c r="BX767"/>
      <c r="BY767"/>
      <c r="BZ767"/>
      <c r="CA767"/>
      <c r="CB767"/>
      <c r="CC767"/>
      <c r="CD767"/>
      <c r="CE767"/>
      <c r="CF767"/>
      <c r="CG767"/>
      <c r="CH767"/>
      <c r="CI767"/>
      <c r="CJ767"/>
      <c r="CK767"/>
      <c r="CL767"/>
      <c r="CM767"/>
      <c r="CN767"/>
      <c r="CO767"/>
      <c r="CP767"/>
      <c r="CQ767"/>
      <c r="CR767"/>
      <c r="CS767"/>
      <c r="CT767"/>
      <c r="CU767"/>
      <c r="CV767"/>
      <c r="CW767"/>
      <c r="CX767"/>
      <c r="CY767"/>
      <c r="CZ767"/>
      <c r="DA767"/>
      <c r="DB767"/>
      <c r="DC767"/>
      <c r="DD767"/>
      <c r="DE767"/>
      <c r="DF767"/>
      <c r="DG767"/>
      <c r="DH767"/>
      <c r="DI767"/>
      <c r="DJ767"/>
      <c r="DK767"/>
      <c r="DL767"/>
      <c r="DM767"/>
      <c r="DN767"/>
      <c r="DO767"/>
      <c r="DP767"/>
      <c r="DQ767"/>
      <c r="DR767"/>
      <c r="DS767"/>
      <c r="DT767"/>
      <c r="DU767"/>
      <c r="DV767"/>
      <c r="DW767"/>
      <c r="DX767"/>
      <c r="DY767"/>
      <c r="DZ767"/>
      <c r="EA767"/>
      <c r="EB767"/>
      <c r="EC767"/>
      <c r="ED767"/>
      <c r="EE767"/>
      <c r="EF767"/>
      <c r="EG767"/>
      <c r="EH767"/>
      <c r="EI767"/>
      <c r="EJ767"/>
      <c r="EK767"/>
      <c r="EL767"/>
      <c r="EM767"/>
      <c r="EN767"/>
      <c r="EO767"/>
      <c r="EP767"/>
      <c r="EQ767"/>
      <c r="ER767"/>
      <c r="ES767"/>
      <c r="ET767"/>
      <c r="EU767"/>
      <c r="EV767"/>
      <c r="EW767"/>
      <c r="EX767"/>
      <c r="EY767"/>
      <c r="EZ767"/>
      <c r="FA767"/>
      <c r="FB767"/>
      <c r="FC767"/>
      <c r="FD767"/>
      <c r="FE767"/>
      <c r="FF767"/>
      <c r="FG767"/>
      <c r="FH767"/>
      <c r="FI767"/>
      <c r="FJ767"/>
      <c r="FK767"/>
      <c r="FL767"/>
      <c r="FM767"/>
      <c r="FN767"/>
      <c r="FO767"/>
      <c r="FP767"/>
      <c r="FQ767"/>
      <c r="FR767"/>
      <c r="FS767"/>
      <c r="FT767"/>
      <c r="FU767"/>
      <c r="FV767"/>
      <c r="FW767"/>
      <c r="FX767"/>
      <c r="FY767"/>
      <c r="FZ767"/>
      <c r="GA767"/>
      <c r="GB767"/>
      <c r="GC767"/>
      <c r="GD767"/>
      <c r="GE767"/>
      <c r="GF767"/>
      <c r="GG767"/>
      <c r="GH767"/>
      <c r="GI767"/>
      <c r="GJ767"/>
      <c r="GK767"/>
      <c r="GL767"/>
      <c r="GM767"/>
      <c r="GN767"/>
      <c r="GO767"/>
      <c r="GP767"/>
      <c r="GQ767"/>
      <c r="GR767"/>
      <c r="GS767"/>
      <c r="GT767"/>
      <c r="GU767"/>
      <c r="GV767"/>
      <c r="GW767"/>
      <c r="GX767"/>
      <c r="GY767"/>
      <c r="GZ767"/>
      <c r="HA767"/>
      <c r="HB767"/>
      <c r="HC767"/>
      <c r="HD767"/>
      <c r="HE767"/>
      <c r="HF767"/>
      <c r="HG767"/>
      <c r="HH767"/>
      <c r="HI767"/>
      <c r="HJ767"/>
      <c r="HK767"/>
      <c r="HL767"/>
      <c r="HM767"/>
      <c r="HN767"/>
      <c r="HO767"/>
      <c r="HP767"/>
      <c r="HQ767"/>
      <c r="HR767"/>
      <c r="HS767"/>
      <c r="HT767"/>
      <c r="HU767"/>
      <c r="HV767"/>
      <c r="HW767"/>
      <c r="HX767"/>
      <c r="HY767"/>
      <c r="HZ767"/>
      <c r="IA767"/>
      <c r="IB767"/>
      <c r="IC767"/>
      <c r="ID767"/>
      <c r="IE767"/>
      <c r="IF767"/>
      <c r="IG767"/>
      <c r="IH767"/>
      <c r="II767"/>
      <c r="IJ767"/>
      <c r="IK767"/>
      <c r="IL767"/>
      <c r="IM767"/>
      <c r="IN767"/>
      <c r="IO767"/>
      <c r="IP767"/>
      <c r="IQ767"/>
      <c r="IR767"/>
      <c r="IS767"/>
      <c r="IT767"/>
      <c r="IU767"/>
      <c r="IV767"/>
    </row>
    <row r="768" spans="1:256" ht="12.75" hidden="1" customHeight="1" x14ac:dyDescent="0.2">
      <c r="A768" s="583"/>
      <c r="B768" s="627" t="s">
        <v>865</v>
      </c>
      <c r="C768" s="560">
        <f>SUM(C769:C775)</f>
        <v>4000000</v>
      </c>
      <c r="D768" s="562">
        <f>SUM(D769:D775)</f>
        <v>1500000</v>
      </c>
      <c r="E768" s="562">
        <f>SUM(E769:E775)</f>
        <v>1242425</v>
      </c>
      <c r="F768" s="611">
        <f>SUM(F769:F775)</f>
        <v>942425.01</v>
      </c>
      <c r="G768" s="558">
        <f>SUM(G769:G775)</f>
        <v>1000000</v>
      </c>
      <c r="H768"/>
      <c r="I768"/>
      <c r="J768"/>
      <c r="K768"/>
      <c r="L768"/>
      <c r="M768"/>
      <c r="N768"/>
      <c r="O768"/>
      <c r="P768"/>
      <c r="Q768"/>
      <c r="R768"/>
      <c r="S768"/>
      <c r="T768"/>
      <c r="U768"/>
      <c r="V768"/>
      <c r="W768"/>
      <c r="X768"/>
      <c r="Y768"/>
      <c r="Z768"/>
      <c r="AA768"/>
      <c r="AB768"/>
      <c r="AC768"/>
      <c r="AD768"/>
      <c r="AE768"/>
      <c r="AF768"/>
      <c r="AG768"/>
      <c r="AH768"/>
      <c r="AI768"/>
      <c r="AJ768"/>
      <c r="AK768"/>
      <c r="AL768"/>
      <c r="AM768"/>
      <c r="AN768"/>
      <c r="AO768"/>
      <c r="AP768"/>
      <c r="AQ768"/>
      <c r="AR768"/>
      <c r="AS768"/>
      <c r="AT768"/>
      <c r="AU768"/>
      <c r="AV768"/>
      <c r="AW768"/>
      <c r="AX768"/>
      <c r="AY768"/>
      <c r="AZ768"/>
      <c r="BA768"/>
      <c r="BB768"/>
      <c r="BC768"/>
      <c r="BD768"/>
      <c r="BE768"/>
      <c r="BF768"/>
      <c r="BG768"/>
      <c r="BH768"/>
      <c r="BI768"/>
      <c r="BJ768"/>
      <c r="BK768"/>
      <c r="BL768"/>
      <c r="BM768"/>
      <c r="BN768"/>
      <c r="BO768"/>
      <c r="BP768"/>
      <c r="BQ768"/>
      <c r="BR768"/>
      <c r="BS768"/>
      <c r="BT768"/>
      <c r="BU768"/>
      <c r="BV768"/>
      <c r="BW768"/>
      <c r="BX768"/>
      <c r="BY768"/>
      <c r="BZ768"/>
      <c r="CA768"/>
      <c r="CB768"/>
      <c r="CC768"/>
      <c r="CD768"/>
      <c r="CE768"/>
      <c r="CF768"/>
      <c r="CG768"/>
      <c r="CH768"/>
      <c r="CI768"/>
      <c r="CJ768"/>
      <c r="CK768"/>
      <c r="CL768"/>
      <c r="CM768"/>
      <c r="CN768"/>
      <c r="CO768"/>
      <c r="CP768"/>
      <c r="CQ768"/>
      <c r="CR768"/>
      <c r="CS768"/>
      <c r="CT768"/>
      <c r="CU768"/>
      <c r="CV768"/>
      <c r="CW768"/>
      <c r="CX768"/>
      <c r="CY768"/>
      <c r="CZ768"/>
      <c r="DA768"/>
      <c r="DB768"/>
      <c r="DC768"/>
      <c r="DD768"/>
      <c r="DE768"/>
      <c r="DF768"/>
      <c r="DG768"/>
      <c r="DH768"/>
      <c r="DI768"/>
      <c r="DJ768"/>
      <c r="DK768"/>
      <c r="DL768"/>
      <c r="DM768"/>
      <c r="DN768"/>
      <c r="DO768"/>
      <c r="DP768"/>
      <c r="DQ768"/>
      <c r="DR768"/>
      <c r="DS768"/>
      <c r="DT768"/>
      <c r="DU768"/>
      <c r="DV768"/>
      <c r="DW768"/>
      <c r="DX768"/>
      <c r="DY768"/>
      <c r="DZ768"/>
      <c r="EA768"/>
      <c r="EB768"/>
      <c r="EC768"/>
      <c r="ED768"/>
      <c r="EE768"/>
      <c r="EF768"/>
      <c r="EG768"/>
      <c r="EH768"/>
      <c r="EI768"/>
      <c r="EJ768"/>
      <c r="EK768"/>
      <c r="EL768"/>
      <c r="EM768"/>
      <c r="EN768"/>
      <c r="EO768"/>
      <c r="EP768"/>
      <c r="EQ768"/>
      <c r="ER768"/>
      <c r="ES768"/>
      <c r="ET768"/>
      <c r="EU768"/>
      <c r="EV768"/>
      <c r="EW768"/>
      <c r="EX768"/>
      <c r="EY768"/>
      <c r="EZ768"/>
      <c r="FA768"/>
      <c r="FB768"/>
      <c r="FC768"/>
      <c r="FD768"/>
      <c r="FE768"/>
      <c r="FF768"/>
      <c r="FG768"/>
      <c r="FH768"/>
      <c r="FI768"/>
      <c r="FJ768"/>
      <c r="FK768"/>
      <c r="FL768"/>
      <c r="FM768"/>
      <c r="FN768"/>
      <c r="FO768"/>
      <c r="FP768"/>
      <c r="FQ768"/>
      <c r="FR768"/>
      <c r="FS768"/>
      <c r="FT768"/>
      <c r="FU768"/>
      <c r="FV768"/>
      <c r="FW768"/>
      <c r="FX768"/>
      <c r="FY768"/>
      <c r="FZ768"/>
      <c r="GA768"/>
      <c r="GB768"/>
      <c r="GC768"/>
      <c r="GD768"/>
      <c r="GE768"/>
      <c r="GF768"/>
      <c r="GG768"/>
      <c r="GH768"/>
      <c r="GI768"/>
      <c r="GJ768"/>
      <c r="GK768"/>
      <c r="GL768"/>
      <c r="GM768"/>
      <c r="GN768"/>
      <c r="GO768"/>
      <c r="GP768"/>
      <c r="GQ768"/>
      <c r="GR768"/>
      <c r="GS768"/>
      <c r="GT768"/>
      <c r="GU768"/>
      <c r="GV768"/>
      <c r="GW768"/>
      <c r="GX768"/>
      <c r="GY768"/>
      <c r="GZ768"/>
      <c r="HA768"/>
      <c r="HB768"/>
      <c r="HC768"/>
      <c r="HD768"/>
      <c r="HE768"/>
      <c r="HF768"/>
      <c r="HG768"/>
      <c r="HH768"/>
      <c r="HI768"/>
      <c r="HJ768"/>
      <c r="HK768"/>
      <c r="HL768"/>
      <c r="HM768"/>
      <c r="HN768"/>
      <c r="HO768"/>
      <c r="HP768"/>
      <c r="HQ768"/>
      <c r="HR768"/>
      <c r="HS768"/>
      <c r="HT768"/>
      <c r="HU768"/>
      <c r="HV768"/>
      <c r="HW768"/>
      <c r="HX768"/>
      <c r="HY768"/>
      <c r="HZ768"/>
      <c r="IA768"/>
      <c r="IB768"/>
      <c r="IC768"/>
      <c r="ID768"/>
      <c r="IE768"/>
      <c r="IF768"/>
      <c r="IG768"/>
      <c r="IH768"/>
      <c r="II768"/>
      <c r="IJ768"/>
      <c r="IK768"/>
      <c r="IL768"/>
      <c r="IM768"/>
      <c r="IN768"/>
      <c r="IO768"/>
      <c r="IP768"/>
      <c r="IQ768"/>
      <c r="IR768"/>
      <c r="IS768"/>
      <c r="IT768"/>
      <c r="IU768"/>
      <c r="IV768"/>
    </row>
    <row r="769" spans="1:256" ht="12.75" hidden="1" customHeight="1" x14ac:dyDescent="0.2">
      <c r="A769" s="601"/>
      <c r="B769" s="627" t="s">
        <v>866</v>
      </c>
      <c r="C769" s="560">
        <v>500000</v>
      </c>
      <c r="D769" s="562">
        <v>0</v>
      </c>
      <c r="E769" s="564">
        <v>0</v>
      </c>
      <c r="F769" s="611">
        <v>0</v>
      </c>
      <c r="G769" s="558">
        <v>0</v>
      </c>
      <c r="H769"/>
      <c r="I769"/>
      <c r="J769"/>
      <c r="K769"/>
      <c r="L769"/>
      <c r="M769"/>
      <c r="N769"/>
      <c r="O769"/>
      <c r="P769"/>
      <c r="Q769"/>
      <c r="R769"/>
      <c r="S769"/>
      <c r="T769"/>
      <c r="U769"/>
      <c r="V769"/>
      <c r="W769"/>
      <c r="X769"/>
      <c r="Y769"/>
      <c r="Z769"/>
      <c r="AA769"/>
      <c r="AB769"/>
      <c r="AC769"/>
      <c r="AD769"/>
      <c r="AE769"/>
      <c r="AF769"/>
      <c r="AG769"/>
      <c r="AH769"/>
      <c r="AI769"/>
      <c r="AJ769"/>
      <c r="AK769"/>
      <c r="AL769"/>
      <c r="AM769"/>
      <c r="AN769"/>
      <c r="AO769"/>
      <c r="AP769"/>
      <c r="AQ769"/>
      <c r="AR769"/>
      <c r="AS769"/>
      <c r="AT769"/>
      <c r="AU769"/>
      <c r="AV769"/>
      <c r="AW769"/>
      <c r="AX769"/>
      <c r="AY769"/>
      <c r="AZ769"/>
      <c r="BA769"/>
      <c r="BB769"/>
      <c r="BC769"/>
      <c r="BD769"/>
      <c r="BE769"/>
      <c r="BF769"/>
      <c r="BG769"/>
      <c r="BH769"/>
      <c r="BI769"/>
      <c r="BJ769"/>
      <c r="BK769"/>
      <c r="BL769"/>
      <c r="BM769"/>
      <c r="BN769"/>
      <c r="BO769"/>
      <c r="BP769"/>
      <c r="BQ769"/>
      <c r="BR769"/>
      <c r="BS769"/>
      <c r="BT769"/>
      <c r="BU769"/>
      <c r="BV769"/>
      <c r="BW769"/>
      <c r="BX769"/>
      <c r="BY769"/>
      <c r="BZ769"/>
      <c r="CA769"/>
      <c r="CB769"/>
      <c r="CC769"/>
      <c r="CD769"/>
      <c r="CE769"/>
      <c r="CF769"/>
      <c r="CG769"/>
      <c r="CH769"/>
      <c r="CI769"/>
      <c r="CJ769"/>
      <c r="CK769"/>
      <c r="CL769"/>
      <c r="CM769"/>
      <c r="CN769"/>
      <c r="CO769"/>
      <c r="CP769"/>
      <c r="CQ769"/>
      <c r="CR769"/>
      <c r="CS769"/>
      <c r="CT769"/>
      <c r="CU769"/>
      <c r="CV769"/>
      <c r="CW769"/>
      <c r="CX769"/>
      <c r="CY769"/>
      <c r="CZ769"/>
      <c r="DA769"/>
      <c r="DB769"/>
      <c r="DC769"/>
      <c r="DD769"/>
      <c r="DE769"/>
      <c r="DF769"/>
      <c r="DG769"/>
      <c r="DH769"/>
      <c r="DI769"/>
      <c r="DJ769"/>
      <c r="DK769"/>
      <c r="DL769"/>
      <c r="DM769"/>
      <c r="DN769"/>
      <c r="DO769"/>
      <c r="DP769"/>
      <c r="DQ769"/>
      <c r="DR769"/>
      <c r="DS769"/>
      <c r="DT769"/>
      <c r="DU769"/>
      <c r="DV769"/>
      <c r="DW769"/>
      <c r="DX769"/>
      <c r="DY769"/>
      <c r="DZ769"/>
      <c r="EA769"/>
      <c r="EB769"/>
      <c r="EC769"/>
      <c r="ED769"/>
      <c r="EE769"/>
      <c r="EF769"/>
      <c r="EG769"/>
      <c r="EH769"/>
      <c r="EI769"/>
      <c r="EJ769"/>
      <c r="EK769"/>
      <c r="EL769"/>
      <c r="EM769"/>
      <c r="EN769"/>
      <c r="EO769"/>
      <c r="EP769"/>
      <c r="EQ769"/>
      <c r="ER769"/>
      <c r="ES769"/>
      <c r="ET769"/>
      <c r="EU769"/>
      <c r="EV769"/>
      <c r="EW769"/>
      <c r="EX769"/>
      <c r="EY769"/>
      <c r="EZ769"/>
      <c r="FA769"/>
      <c r="FB769"/>
      <c r="FC769"/>
      <c r="FD769"/>
      <c r="FE769"/>
      <c r="FF769"/>
      <c r="FG769"/>
      <c r="FH769"/>
      <c r="FI769"/>
      <c r="FJ769"/>
      <c r="FK769"/>
      <c r="FL769"/>
      <c r="FM769"/>
      <c r="FN769"/>
      <c r="FO769"/>
      <c r="FP769"/>
      <c r="FQ769"/>
      <c r="FR769"/>
      <c r="FS769"/>
      <c r="FT769"/>
      <c r="FU769"/>
      <c r="FV769"/>
      <c r="FW769"/>
      <c r="FX769"/>
      <c r="FY769"/>
      <c r="FZ769"/>
      <c r="GA769"/>
      <c r="GB769"/>
      <c r="GC769"/>
      <c r="GD769"/>
      <c r="GE769"/>
      <c r="GF769"/>
      <c r="GG769"/>
      <c r="GH769"/>
      <c r="GI769"/>
      <c r="GJ769"/>
      <c r="GK769"/>
      <c r="GL769"/>
      <c r="GM769"/>
      <c r="GN769"/>
      <c r="GO769"/>
      <c r="GP769"/>
      <c r="GQ769"/>
      <c r="GR769"/>
      <c r="GS769"/>
      <c r="GT769"/>
      <c r="GU769"/>
      <c r="GV769"/>
      <c r="GW769"/>
      <c r="GX769"/>
      <c r="GY769"/>
      <c r="GZ769"/>
      <c r="HA769"/>
      <c r="HB769"/>
      <c r="HC769"/>
      <c r="HD769"/>
      <c r="HE769"/>
      <c r="HF769"/>
      <c r="HG769"/>
      <c r="HH769"/>
      <c r="HI769"/>
      <c r="HJ769"/>
      <c r="HK769"/>
      <c r="HL769"/>
      <c r="HM769"/>
      <c r="HN769"/>
      <c r="HO769"/>
      <c r="HP769"/>
      <c r="HQ769"/>
      <c r="HR769"/>
      <c r="HS769"/>
      <c r="HT769"/>
      <c r="HU769"/>
      <c r="HV769"/>
      <c r="HW769"/>
      <c r="HX769"/>
      <c r="HY769"/>
      <c r="HZ769"/>
      <c r="IA769"/>
      <c r="IB769"/>
      <c r="IC769"/>
      <c r="ID769"/>
      <c r="IE769"/>
      <c r="IF769"/>
      <c r="IG769"/>
      <c r="IH769"/>
      <c r="II769"/>
      <c r="IJ769"/>
      <c r="IK769"/>
      <c r="IL769"/>
      <c r="IM769"/>
      <c r="IN769"/>
      <c r="IO769"/>
      <c r="IP769"/>
      <c r="IQ769"/>
      <c r="IR769"/>
      <c r="IS769"/>
      <c r="IT769"/>
      <c r="IU769"/>
      <c r="IV769"/>
    </row>
    <row r="770" spans="1:256" s="607" customFormat="1" ht="12.75" hidden="1" customHeight="1" x14ac:dyDescent="0.2">
      <c r="A770" s="601"/>
      <c r="B770" s="628" t="s">
        <v>867</v>
      </c>
      <c r="C770" s="558">
        <v>1500000</v>
      </c>
      <c r="D770" s="562">
        <f>1500000-300000</f>
        <v>1200000</v>
      </c>
      <c r="E770" s="564">
        <v>942425</v>
      </c>
      <c r="F770" s="580">
        <v>942425.01</v>
      </c>
      <c r="G770" s="162">
        <v>0</v>
      </c>
    </row>
    <row r="771" spans="1:256" s="607" customFormat="1" ht="12.75" hidden="1" customHeight="1" x14ac:dyDescent="0.2">
      <c r="A771" s="601"/>
      <c r="B771" s="628" t="s">
        <v>868</v>
      </c>
      <c r="C771" s="560">
        <v>500000</v>
      </c>
      <c r="D771" s="562">
        <f>500000-400000</f>
        <v>100000</v>
      </c>
      <c r="E771" s="564">
        <v>100000</v>
      </c>
      <c r="F771" s="580">
        <v>0</v>
      </c>
      <c r="G771" s="162">
        <v>0</v>
      </c>
    </row>
    <row r="772" spans="1:256" s="607" customFormat="1" ht="12.75" hidden="1" customHeight="1" x14ac:dyDescent="0.2">
      <c r="A772" s="601"/>
      <c r="B772" s="629" t="s">
        <v>869</v>
      </c>
      <c r="C772" s="558">
        <v>500000</v>
      </c>
      <c r="D772" s="562">
        <f>500000-400000</f>
        <v>100000</v>
      </c>
      <c r="E772" s="564">
        <v>100000</v>
      </c>
      <c r="F772" s="580">
        <v>0</v>
      </c>
      <c r="G772" s="162">
        <v>0</v>
      </c>
    </row>
    <row r="773" spans="1:256" s="607" customFormat="1" ht="12.75" hidden="1" customHeight="1" x14ac:dyDescent="0.2">
      <c r="A773" s="601"/>
      <c r="B773" s="628" t="s">
        <v>870</v>
      </c>
      <c r="C773" s="558">
        <v>1000000</v>
      </c>
      <c r="D773" s="562">
        <f>1000000-900000</f>
        <v>100000</v>
      </c>
      <c r="E773" s="564">
        <v>100000</v>
      </c>
      <c r="F773" s="580">
        <v>0</v>
      </c>
      <c r="G773" s="127">
        <v>0</v>
      </c>
    </row>
    <row r="774" spans="1:256" s="607" customFormat="1" ht="12.75" hidden="1" customHeight="1" x14ac:dyDescent="0.2">
      <c r="A774" s="601"/>
      <c r="B774" s="628" t="s">
        <v>871</v>
      </c>
      <c r="C774" s="558"/>
      <c r="D774" s="562"/>
      <c r="E774" s="564"/>
      <c r="F774" s="580"/>
      <c r="G774" s="162">
        <v>500000</v>
      </c>
    </row>
    <row r="775" spans="1:256" s="607" customFormat="1" ht="12.75" hidden="1" customHeight="1" x14ac:dyDescent="0.2">
      <c r="A775" s="601"/>
      <c r="B775" s="630" t="s">
        <v>872</v>
      </c>
      <c r="C775" s="558"/>
      <c r="D775" s="562"/>
      <c r="E775" s="564"/>
      <c r="F775" s="580"/>
      <c r="G775" s="127">
        <v>500000</v>
      </c>
    </row>
    <row r="776" spans="1:256" s="607" customFormat="1" ht="12.75" hidden="1" customHeight="1" x14ac:dyDescent="0.2">
      <c r="A776" s="583"/>
      <c r="B776" s="627" t="s">
        <v>873</v>
      </c>
      <c r="C776" s="558">
        <v>100000</v>
      </c>
      <c r="D776" s="562">
        <f>100000-90000</f>
        <v>10000</v>
      </c>
      <c r="E776" s="564">
        <v>0</v>
      </c>
      <c r="F776" s="580">
        <v>0</v>
      </c>
      <c r="G776" s="162">
        <v>0</v>
      </c>
    </row>
    <row r="777" spans="1:256" s="607" customFormat="1" ht="12.75" hidden="1" customHeight="1" x14ac:dyDescent="0.2">
      <c r="A777" s="583"/>
      <c r="B777" s="557" t="s">
        <v>874</v>
      </c>
      <c r="C777" s="558">
        <v>260000</v>
      </c>
      <c r="D777" s="562">
        <v>260000</v>
      </c>
      <c r="E777" s="564">
        <v>260000</v>
      </c>
      <c r="F777" s="580">
        <v>119984</v>
      </c>
      <c r="G777" s="162">
        <v>260000</v>
      </c>
    </row>
    <row r="778" spans="1:256" ht="12.75" hidden="1" customHeight="1" x14ac:dyDescent="0.2">
      <c r="A778" s="583"/>
      <c r="B778" s="561" t="s">
        <v>875</v>
      </c>
      <c r="C778" s="558">
        <v>2850000</v>
      </c>
      <c r="D778" s="591">
        <f>2850000+6635</f>
        <v>2856635</v>
      </c>
      <c r="E778" s="592">
        <v>2300000</v>
      </c>
      <c r="F778" s="580">
        <v>1247627.56</v>
      </c>
      <c r="G778" s="162">
        <v>2500000</v>
      </c>
      <c r="H778"/>
      <c r="I778"/>
      <c r="J778"/>
      <c r="K778"/>
      <c r="L778"/>
      <c r="M778"/>
      <c r="N778"/>
      <c r="O778"/>
      <c r="P778"/>
      <c r="Q778"/>
      <c r="R778"/>
      <c r="S778"/>
      <c r="T778"/>
      <c r="U778"/>
      <c r="V778"/>
      <c r="W778"/>
      <c r="X778"/>
      <c r="Y778"/>
      <c r="Z778"/>
      <c r="AA778"/>
      <c r="AB778"/>
      <c r="AC778"/>
      <c r="AD778"/>
      <c r="AE778"/>
      <c r="AF778"/>
      <c r="AG778"/>
      <c r="AH778"/>
      <c r="AI778"/>
      <c r="AJ778"/>
      <c r="AK778"/>
      <c r="AL778"/>
      <c r="AM778"/>
      <c r="AN778"/>
      <c r="AO778"/>
      <c r="AP778"/>
      <c r="AQ778"/>
      <c r="AR778"/>
      <c r="AS778"/>
      <c r="AT778"/>
      <c r="AU778"/>
      <c r="AV778"/>
      <c r="AW778"/>
      <c r="AX778"/>
      <c r="AY778"/>
      <c r="AZ778"/>
      <c r="BA778"/>
      <c r="BB778"/>
      <c r="BC778"/>
      <c r="BD778"/>
      <c r="BE778"/>
      <c r="BF778"/>
      <c r="BG778"/>
      <c r="BH778"/>
      <c r="BI778"/>
      <c r="BJ778"/>
      <c r="BK778"/>
      <c r="BL778"/>
      <c r="BM778"/>
      <c r="BN778"/>
      <c r="BO778"/>
      <c r="BP778"/>
      <c r="BQ778"/>
      <c r="BR778"/>
      <c r="BS778"/>
      <c r="BT778"/>
      <c r="BU778"/>
      <c r="BV778"/>
      <c r="BW778"/>
      <c r="BX778"/>
      <c r="BY778"/>
      <c r="BZ778"/>
      <c r="CA778"/>
      <c r="CB778"/>
      <c r="CC778"/>
      <c r="CD778"/>
      <c r="CE778"/>
      <c r="CF778"/>
      <c r="CG778"/>
      <c r="CH778"/>
      <c r="CI778"/>
      <c r="CJ778"/>
      <c r="CK778"/>
      <c r="CL778"/>
      <c r="CM778"/>
      <c r="CN778"/>
      <c r="CO778"/>
      <c r="CP778"/>
      <c r="CQ778"/>
      <c r="CR778"/>
      <c r="CS778"/>
      <c r="CT778"/>
      <c r="CU778"/>
      <c r="CV778"/>
      <c r="CW778"/>
      <c r="CX778"/>
      <c r="CY778"/>
      <c r="CZ778"/>
      <c r="DA778"/>
      <c r="DB778"/>
      <c r="DC778"/>
      <c r="DD778"/>
      <c r="DE778"/>
      <c r="DF778"/>
      <c r="DG778"/>
      <c r="DH778"/>
      <c r="DI778"/>
      <c r="DJ778"/>
      <c r="DK778"/>
      <c r="DL778"/>
      <c r="DM778"/>
      <c r="DN778"/>
      <c r="DO778"/>
      <c r="DP778"/>
      <c r="DQ778"/>
      <c r="DR778"/>
      <c r="DS778"/>
      <c r="DT778"/>
      <c r="DU778"/>
      <c r="DV778"/>
      <c r="DW778"/>
      <c r="DX778"/>
      <c r="DY778"/>
      <c r="DZ778"/>
      <c r="EA778"/>
      <c r="EB778"/>
      <c r="EC778"/>
      <c r="ED778"/>
      <c r="EE778"/>
      <c r="EF778"/>
      <c r="EG778"/>
      <c r="EH778"/>
      <c r="EI778"/>
      <c r="EJ778"/>
      <c r="EK778"/>
      <c r="EL778"/>
      <c r="EM778"/>
      <c r="EN778"/>
      <c r="EO778"/>
      <c r="EP778"/>
      <c r="EQ778"/>
      <c r="ER778"/>
      <c r="ES778"/>
      <c r="ET778"/>
      <c r="EU778"/>
      <c r="EV778"/>
      <c r="EW778"/>
      <c r="EX778"/>
      <c r="EY778"/>
      <c r="EZ778"/>
      <c r="FA778"/>
      <c r="FB778"/>
      <c r="FC778"/>
      <c r="FD778"/>
      <c r="FE778"/>
      <c r="FF778"/>
      <c r="FG778"/>
      <c r="FH778"/>
      <c r="FI778"/>
      <c r="FJ778"/>
      <c r="FK778"/>
      <c r="FL778"/>
      <c r="FM778"/>
      <c r="FN778"/>
      <c r="FO778"/>
      <c r="FP778"/>
      <c r="FQ778"/>
      <c r="FR778"/>
      <c r="FS778"/>
      <c r="FT778"/>
      <c r="FU778"/>
      <c r="FV778"/>
      <c r="FW778"/>
      <c r="FX778"/>
      <c r="FY778"/>
      <c r="FZ778"/>
      <c r="GA778"/>
      <c r="GB778"/>
      <c r="GC778"/>
      <c r="GD778"/>
      <c r="GE778"/>
      <c r="GF778"/>
      <c r="GG778"/>
      <c r="GH778"/>
      <c r="GI778"/>
      <c r="GJ778"/>
      <c r="GK778"/>
      <c r="GL778"/>
      <c r="GM778"/>
      <c r="GN778"/>
      <c r="GO778"/>
      <c r="GP778"/>
      <c r="GQ778"/>
      <c r="GR778"/>
      <c r="GS778"/>
      <c r="GT778"/>
      <c r="GU778"/>
      <c r="GV778"/>
      <c r="GW778"/>
      <c r="GX778"/>
      <c r="GY778"/>
      <c r="GZ778"/>
      <c r="HA778"/>
      <c r="HB778"/>
      <c r="HC778"/>
      <c r="HD778"/>
      <c r="HE778"/>
      <c r="HF778"/>
      <c r="HG778"/>
      <c r="HH778"/>
      <c r="HI778"/>
      <c r="HJ778"/>
      <c r="HK778"/>
      <c r="HL778"/>
      <c r="HM778"/>
      <c r="HN778"/>
      <c r="HO778"/>
      <c r="HP778"/>
      <c r="HQ778"/>
      <c r="HR778"/>
      <c r="HS778"/>
      <c r="HT778"/>
      <c r="HU778"/>
      <c r="HV778"/>
      <c r="HW778"/>
      <c r="HX778"/>
      <c r="HY778"/>
      <c r="HZ778"/>
      <c r="IA778"/>
      <c r="IB778"/>
      <c r="IC778"/>
      <c r="ID778"/>
      <c r="IE778"/>
      <c r="IF778"/>
      <c r="IG778"/>
      <c r="IH778"/>
      <c r="II778"/>
      <c r="IJ778"/>
      <c r="IK778"/>
      <c r="IL778"/>
      <c r="IM778"/>
      <c r="IN778"/>
      <c r="IO778"/>
      <c r="IP778"/>
      <c r="IQ778"/>
      <c r="IR778"/>
      <c r="IS778"/>
      <c r="IT778"/>
      <c r="IU778"/>
      <c r="IV778"/>
    </row>
    <row r="779" spans="1:256" ht="12.75" hidden="1" customHeight="1" x14ac:dyDescent="0.2">
      <c r="A779" s="583"/>
      <c r="B779" s="561" t="s">
        <v>876</v>
      </c>
      <c r="C779" s="558">
        <v>100000</v>
      </c>
      <c r="D779" s="562">
        <v>100000</v>
      </c>
      <c r="E779" s="564">
        <v>100000</v>
      </c>
      <c r="F779" s="580">
        <f>54064+6634.92</f>
        <v>60698.92</v>
      </c>
      <c r="G779" s="162">
        <v>100000</v>
      </c>
      <c r="H779"/>
      <c r="I779"/>
      <c r="J779"/>
      <c r="K779"/>
      <c r="L779"/>
      <c r="M779"/>
      <c r="N779"/>
      <c r="O779"/>
      <c r="P779"/>
      <c r="Q779"/>
      <c r="R779"/>
      <c r="S779"/>
      <c r="T779"/>
      <c r="U779"/>
      <c r="V779"/>
      <c r="W779"/>
      <c r="X779"/>
      <c r="Y779"/>
      <c r="Z779"/>
      <c r="AA779"/>
      <c r="AB779"/>
      <c r="AC779"/>
      <c r="AD779"/>
      <c r="AE779"/>
      <c r="AF779"/>
      <c r="AG779"/>
      <c r="AH779"/>
      <c r="AI779"/>
      <c r="AJ779"/>
      <c r="AK779"/>
      <c r="AL779"/>
      <c r="AM779"/>
      <c r="AN779"/>
      <c r="AO779"/>
      <c r="AP779"/>
      <c r="AQ779"/>
      <c r="AR779"/>
      <c r="AS779"/>
      <c r="AT779"/>
      <c r="AU779"/>
      <c r="AV779"/>
      <c r="AW779"/>
      <c r="AX779"/>
      <c r="AY779"/>
      <c r="AZ779"/>
      <c r="BA779"/>
      <c r="BB779"/>
      <c r="BC779"/>
      <c r="BD779"/>
      <c r="BE779"/>
      <c r="BF779"/>
      <c r="BG779"/>
      <c r="BH779"/>
      <c r="BI779"/>
      <c r="BJ779"/>
      <c r="BK779"/>
      <c r="BL779"/>
      <c r="BM779"/>
      <c r="BN779"/>
      <c r="BO779"/>
      <c r="BP779"/>
      <c r="BQ779"/>
      <c r="BR779"/>
      <c r="BS779"/>
      <c r="BT779"/>
      <c r="BU779"/>
      <c r="BV779"/>
      <c r="BW779"/>
      <c r="BX779"/>
      <c r="BY779"/>
      <c r="BZ779"/>
      <c r="CA779"/>
      <c r="CB779"/>
      <c r="CC779"/>
      <c r="CD779"/>
      <c r="CE779"/>
      <c r="CF779"/>
      <c r="CG779"/>
      <c r="CH779"/>
      <c r="CI779"/>
      <c r="CJ779"/>
      <c r="CK779"/>
      <c r="CL779"/>
      <c r="CM779"/>
      <c r="CN779"/>
      <c r="CO779"/>
      <c r="CP779"/>
      <c r="CQ779"/>
      <c r="CR779"/>
      <c r="CS779"/>
      <c r="CT779"/>
      <c r="CU779"/>
      <c r="CV779"/>
      <c r="CW779"/>
      <c r="CX779"/>
      <c r="CY779"/>
      <c r="CZ779"/>
      <c r="DA779"/>
      <c r="DB779"/>
      <c r="DC779"/>
      <c r="DD779"/>
      <c r="DE779"/>
      <c r="DF779"/>
      <c r="DG779"/>
      <c r="DH779"/>
      <c r="DI779"/>
      <c r="DJ779"/>
      <c r="DK779"/>
      <c r="DL779"/>
      <c r="DM779"/>
      <c r="DN779"/>
      <c r="DO779"/>
      <c r="DP779"/>
      <c r="DQ779"/>
      <c r="DR779"/>
      <c r="DS779"/>
      <c r="DT779"/>
      <c r="DU779"/>
      <c r="DV779"/>
      <c r="DW779"/>
      <c r="DX779"/>
      <c r="DY779"/>
      <c r="DZ779"/>
      <c r="EA779"/>
      <c r="EB779"/>
      <c r="EC779"/>
      <c r="ED779"/>
      <c r="EE779"/>
      <c r="EF779"/>
      <c r="EG779"/>
      <c r="EH779"/>
      <c r="EI779"/>
      <c r="EJ779"/>
      <c r="EK779"/>
      <c r="EL779"/>
      <c r="EM779"/>
      <c r="EN779"/>
      <c r="EO779"/>
      <c r="EP779"/>
      <c r="EQ779"/>
      <c r="ER779"/>
      <c r="ES779"/>
      <c r="ET779"/>
      <c r="EU779"/>
      <c r="EV779"/>
      <c r="EW779"/>
      <c r="EX779"/>
      <c r="EY779"/>
      <c r="EZ779"/>
      <c r="FA779"/>
      <c r="FB779"/>
      <c r="FC779"/>
      <c r="FD779"/>
      <c r="FE779"/>
      <c r="FF779"/>
      <c r="FG779"/>
      <c r="FH779"/>
      <c r="FI779"/>
      <c r="FJ779"/>
      <c r="FK779"/>
      <c r="FL779"/>
      <c r="FM779"/>
      <c r="FN779"/>
      <c r="FO779"/>
      <c r="FP779"/>
      <c r="FQ779"/>
      <c r="FR779"/>
      <c r="FS779"/>
      <c r="FT779"/>
      <c r="FU779"/>
      <c r="FV779"/>
      <c r="FW779"/>
      <c r="FX779"/>
      <c r="FY779"/>
      <c r="FZ779"/>
      <c r="GA779"/>
      <c r="GB779"/>
      <c r="GC779"/>
      <c r="GD779"/>
      <c r="GE779"/>
      <c r="GF779"/>
      <c r="GG779"/>
      <c r="GH779"/>
      <c r="GI779"/>
      <c r="GJ779"/>
      <c r="GK779"/>
      <c r="GL779"/>
      <c r="GM779"/>
      <c r="GN779"/>
      <c r="GO779"/>
      <c r="GP779"/>
      <c r="GQ779"/>
      <c r="GR779"/>
      <c r="GS779"/>
      <c r="GT779"/>
      <c r="GU779"/>
      <c r="GV779"/>
      <c r="GW779"/>
      <c r="GX779"/>
      <c r="GY779"/>
      <c r="GZ779"/>
      <c r="HA779"/>
      <c r="HB779"/>
      <c r="HC779"/>
      <c r="HD779"/>
      <c r="HE779"/>
      <c r="HF779"/>
      <c r="HG779"/>
      <c r="HH779"/>
      <c r="HI779"/>
      <c r="HJ779"/>
      <c r="HK779"/>
      <c r="HL779"/>
      <c r="HM779"/>
      <c r="HN779"/>
      <c r="HO779"/>
      <c r="HP779"/>
      <c r="HQ779"/>
      <c r="HR779"/>
      <c r="HS779"/>
      <c r="HT779"/>
      <c r="HU779"/>
      <c r="HV779"/>
      <c r="HW779"/>
      <c r="HX779"/>
      <c r="HY779"/>
      <c r="HZ779"/>
      <c r="IA779"/>
      <c r="IB779"/>
      <c r="IC779"/>
      <c r="ID779"/>
      <c r="IE779"/>
      <c r="IF779"/>
      <c r="IG779"/>
      <c r="IH779"/>
      <c r="II779"/>
      <c r="IJ779"/>
      <c r="IK779"/>
      <c r="IL779"/>
      <c r="IM779"/>
      <c r="IN779"/>
      <c r="IO779"/>
      <c r="IP779"/>
      <c r="IQ779"/>
      <c r="IR779"/>
      <c r="IS779"/>
      <c r="IT779"/>
      <c r="IU779"/>
      <c r="IV779"/>
    </row>
    <row r="780" spans="1:256" ht="12.75" hidden="1" customHeight="1" x14ac:dyDescent="0.2">
      <c r="A780" s="583"/>
      <c r="B780" s="561" t="s">
        <v>877</v>
      </c>
      <c r="C780" s="558">
        <v>22100000</v>
      </c>
      <c r="D780" s="562">
        <v>22100000</v>
      </c>
      <c r="E780" s="564">
        <v>20000000</v>
      </c>
      <c r="F780" s="580">
        <v>11407059.789999999</v>
      </c>
      <c r="G780" s="162">
        <v>20000000</v>
      </c>
      <c r="H780"/>
      <c r="I780"/>
      <c r="J780"/>
      <c r="K780"/>
      <c r="L780"/>
      <c r="M780"/>
      <c r="N780"/>
      <c r="O780"/>
      <c r="P780"/>
      <c r="Q780"/>
      <c r="R780"/>
      <c r="S780"/>
      <c r="T780"/>
      <c r="U780"/>
      <c r="V780"/>
      <c r="W780"/>
      <c r="X780"/>
      <c r="Y780"/>
      <c r="Z780"/>
      <c r="AA780"/>
      <c r="AB780"/>
      <c r="AC780"/>
      <c r="AD780"/>
      <c r="AE780"/>
      <c r="AF780"/>
      <c r="AG780"/>
      <c r="AH780"/>
      <c r="AI780"/>
      <c r="AJ780"/>
      <c r="AK780"/>
      <c r="AL780"/>
      <c r="AM780"/>
      <c r="AN780"/>
      <c r="AO780"/>
      <c r="AP780"/>
      <c r="AQ780"/>
      <c r="AR780"/>
      <c r="AS780"/>
      <c r="AT780"/>
      <c r="AU780"/>
      <c r="AV780"/>
      <c r="AW780"/>
      <c r="AX780"/>
      <c r="AY780"/>
      <c r="AZ780"/>
      <c r="BA780"/>
      <c r="BB780"/>
      <c r="BC780"/>
      <c r="BD780"/>
      <c r="BE780"/>
      <c r="BF780"/>
      <c r="BG780"/>
      <c r="BH780"/>
      <c r="BI780"/>
      <c r="BJ780"/>
      <c r="BK780"/>
      <c r="BL780"/>
      <c r="BM780"/>
      <c r="BN780"/>
      <c r="BO780"/>
      <c r="BP780"/>
      <c r="BQ780"/>
      <c r="BR780"/>
      <c r="BS780"/>
      <c r="BT780"/>
      <c r="BU780"/>
      <c r="BV780"/>
      <c r="BW780"/>
      <c r="BX780"/>
      <c r="BY780"/>
      <c r="BZ780"/>
      <c r="CA780"/>
      <c r="CB780"/>
      <c r="CC780"/>
      <c r="CD780"/>
      <c r="CE780"/>
      <c r="CF780"/>
      <c r="CG780"/>
      <c r="CH780"/>
      <c r="CI780"/>
      <c r="CJ780"/>
      <c r="CK780"/>
      <c r="CL780"/>
      <c r="CM780"/>
      <c r="CN780"/>
      <c r="CO780"/>
      <c r="CP780"/>
      <c r="CQ780"/>
      <c r="CR780"/>
      <c r="CS780"/>
      <c r="CT780"/>
      <c r="CU780"/>
      <c r="CV780"/>
      <c r="CW780"/>
      <c r="CX780"/>
      <c r="CY780"/>
      <c r="CZ780"/>
      <c r="DA780"/>
      <c r="DB780"/>
      <c r="DC780"/>
      <c r="DD780"/>
      <c r="DE780"/>
      <c r="DF780"/>
      <c r="DG780"/>
      <c r="DH780"/>
      <c r="DI780"/>
      <c r="DJ780"/>
      <c r="DK780"/>
      <c r="DL780"/>
      <c r="DM780"/>
      <c r="DN780"/>
      <c r="DO780"/>
      <c r="DP780"/>
      <c r="DQ780"/>
      <c r="DR780"/>
      <c r="DS780"/>
      <c r="DT780"/>
      <c r="DU780"/>
      <c r="DV780"/>
      <c r="DW780"/>
      <c r="DX780"/>
      <c r="DY780"/>
      <c r="DZ780"/>
      <c r="EA780"/>
      <c r="EB780"/>
      <c r="EC780"/>
      <c r="ED780"/>
      <c r="EE780"/>
      <c r="EF780"/>
      <c r="EG780"/>
      <c r="EH780"/>
      <c r="EI780"/>
      <c r="EJ780"/>
      <c r="EK780"/>
      <c r="EL780"/>
      <c r="EM780"/>
      <c r="EN780"/>
      <c r="EO780"/>
      <c r="EP780"/>
      <c r="EQ780"/>
      <c r="ER780"/>
      <c r="ES780"/>
      <c r="ET780"/>
      <c r="EU780"/>
      <c r="EV780"/>
      <c r="EW780"/>
      <c r="EX780"/>
      <c r="EY780"/>
      <c r="EZ780"/>
      <c r="FA780"/>
      <c r="FB780"/>
      <c r="FC780"/>
      <c r="FD780"/>
      <c r="FE780"/>
      <c r="FF780"/>
      <c r="FG780"/>
      <c r="FH780"/>
      <c r="FI780"/>
      <c r="FJ780"/>
      <c r="FK780"/>
      <c r="FL780"/>
      <c r="FM780"/>
      <c r="FN780"/>
      <c r="FO780"/>
      <c r="FP780"/>
      <c r="FQ780"/>
      <c r="FR780"/>
      <c r="FS780"/>
      <c r="FT780"/>
      <c r="FU780"/>
      <c r="FV780"/>
      <c r="FW780"/>
      <c r="FX780"/>
      <c r="FY780"/>
      <c r="FZ780"/>
      <c r="GA780"/>
      <c r="GB780"/>
      <c r="GC780"/>
      <c r="GD780"/>
      <c r="GE780"/>
      <c r="GF780"/>
      <c r="GG780"/>
      <c r="GH780"/>
      <c r="GI780"/>
      <c r="GJ780"/>
      <c r="GK780"/>
      <c r="GL780"/>
      <c r="GM780"/>
      <c r="GN780"/>
      <c r="GO780"/>
      <c r="GP780"/>
      <c r="GQ780"/>
      <c r="GR780"/>
      <c r="GS780"/>
      <c r="GT780"/>
      <c r="GU780"/>
      <c r="GV780"/>
      <c r="GW780"/>
      <c r="GX780"/>
      <c r="GY780"/>
      <c r="GZ780"/>
      <c r="HA780"/>
      <c r="HB780"/>
      <c r="HC780"/>
      <c r="HD780"/>
      <c r="HE780"/>
      <c r="HF780"/>
      <c r="HG780"/>
      <c r="HH780"/>
      <c r="HI780"/>
      <c r="HJ780"/>
      <c r="HK780"/>
      <c r="HL780"/>
      <c r="HM780"/>
      <c r="HN780"/>
      <c r="HO780"/>
      <c r="HP780"/>
      <c r="HQ780"/>
      <c r="HR780"/>
      <c r="HS780"/>
      <c r="HT780"/>
      <c r="HU780"/>
      <c r="HV780"/>
      <c r="HW780"/>
      <c r="HX780"/>
      <c r="HY780"/>
      <c r="HZ780"/>
      <c r="IA780"/>
      <c r="IB780"/>
      <c r="IC780"/>
      <c r="ID780"/>
      <c r="IE780"/>
      <c r="IF780"/>
      <c r="IG780"/>
      <c r="IH780"/>
      <c r="II780"/>
      <c r="IJ780"/>
      <c r="IK780"/>
      <c r="IL780"/>
      <c r="IM780"/>
      <c r="IN780"/>
      <c r="IO780"/>
      <c r="IP780"/>
      <c r="IQ780"/>
      <c r="IR780"/>
      <c r="IS780"/>
      <c r="IT780"/>
      <c r="IU780"/>
      <c r="IV780"/>
    </row>
    <row r="781" spans="1:256" ht="12.75" hidden="1" customHeight="1" x14ac:dyDescent="0.2">
      <c r="A781" s="631"/>
      <c r="B781" s="627" t="s">
        <v>878</v>
      </c>
      <c r="C781" s="558"/>
      <c r="D781" s="562"/>
      <c r="E781" s="564"/>
      <c r="F781" s="580"/>
      <c r="G781" s="162">
        <v>50000</v>
      </c>
      <c r="H781"/>
      <c r="I781"/>
      <c r="J781"/>
      <c r="K781"/>
      <c r="L781"/>
      <c r="M781"/>
      <c r="N781"/>
      <c r="O781"/>
      <c r="P781"/>
      <c r="Q781"/>
      <c r="R781"/>
      <c r="S781"/>
      <c r="T781"/>
      <c r="U781"/>
      <c r="V781"/>
      <c r="W781"/>
      <c r="X781"/>
      <c r="Y781"/>
      <c r="Z781"/>
      <c r="AA781"/>
      <c r="AB781"/>
      <c r="AC781"/>
      <c r="AD781"/>
      <c r="AE781"/>
      <c r="AF781"/>
      <c r="AG781"/>
      <c r="AH781"/>
      <c r="AI781"/>
      <c r="AJ781"/>
      <c r="AK781"/>
      <c r="AL781"/>
      <c r="AM781"/>
      <c r="AN781"/>
      <c r="AO781"/>
      <c r="AP781"/>
      <c r="AQ781"/>
      <c r="AR781"/>
      <c r="AS781"/>
      <c r="AT781"/>
      <c r="AU781"/>
      <c r="AV781"/>
      <c r="AW781"/>
      <c r="AX781"/>
      <c r="AY781"/>
      <c r="AZ781"/>
      <c r="BA781"/>
      <c r="BB781"/>
      <c r="BC781"/>
      <c r="BD781"/>
      <c r="BE781"/>
      <c r="BF781"/>
      <c r="BG781"/>
      <c r="BH781"/>
      <c r="BI781"/>
      <c r="BJ781"/>
      <c r="BK781"/>
      <c r="BL781"/>
      <c r="BM781"/>
      <c r="BN781"/>
      <c r="BO781"/>
      <c r="BP781"/>
      <c r="BQ781"/>
      <c r="BR781"/>
      <c r="BS781"/>
      <c r="BT781"/>
      <c r="BU781"/>
      <c r="BV781"/>
      <c r="BW781"/>
      <c r="BX781"/>
      <c r="BY781"/>
      <c r="BZ781"/>
      <c r="CA781"/>
      <c r="CB781"/>
      <c r="CC781"/>
      <c r="CD781"/>
      <c r="CE781"/>
      <c r="CF781"/>
      <c r="CG781"/>
      <c r="CH781"/>
      <c r="CI781"/>
      <c r="CJ781"/>
      <c r="CK781"/>
      <c r="CL781"/>
      <c r="CM781"/>
      <c r="CN781"/>
      <c r="CO781"/>
      <c r="CP781"/>
      <c r="CQ781"/>
      <c r="CR781"/>
      <c r="CS781"/>
      <c r="CT781"/>
      <c r="CU781"/>
      <c r="CV781"/>
      <c r="CW781"/>
      <c r="CX781"/>
      <c r="CY781"/>
      <c r="CZ781"/>
      <c r="DA781"/>
      <c r="DB781"/>
      <c r="DC781"/>
      <c r="DD781"/>
      <c r="DE781"/>
      <c r="DF781"/>
      <c r="DG781"/>
      <c r="DH781"/>
      <c r="DI781"/>
      <c r="DJ781"/>
      <c r="DK781"/>
      <c r="DL781"/>
      <c r="DM781"/>
      <c r="DN781"/>
      <c r="DO781"/>
      <c r="DP781"/>
      <c r="DQ781"/>
      <c r="DR781"/>
      <c r="DS781"/>
      <c r="DT781"/>
      <c r="DU781"/>
      <c r="DV781"/>
      <c r="DW781"/>
      <c r="DX781"/>
      <c r="DY781"/>
      <c r="DZ781"/>
      <c r="EA781"/>
      <c r="EB781"/>
      <c r="EC781"/>
      <c r="ED781"/>
      <c r="EE781"/>
      <c r="EF781"/>
      <c r="EG781"/>
      <c r="EH781"/>
      <c r="EI781"/>
      <c r="EJ781"/>
      <c r="EK781"/>
      <c r="EL781"/>
      <c r="EM781"/>
      <c r="EN781"/>
      <c r="EO781"/>
      <c r="EP781"/>
      <c r="EQ781"/>
      <c r="ER781"/>
      <c r="ES781"/>
      <c r="ET781"/>
      <c r="EU781"/>
      <c r="EV781"/>
      <c r="EW781"/>
      <c r="EX781"/>
      <c r="EY781"/>
      <c r="EZ781"/>
      <c r="FA781"/>
      <c r="FB781"/>
      <c r="FC781"/>
      <c r="FD781"/>
      <c r="FE781"/>
      <c r="FF781"/>
      <c r="FG781"/>
      <c r="FH781"/>
      <c r="FI781"/>
      <c r="FJ781"/>
      <c r="FK781"/>
      <c r="FL781"/>
      <c r="FM781"/>
      <c r="FN781"/>
      <c r="FO781"/>
      <c r="FP781"/>
      <c r="FQ781"/>
      <c r="FR781"/>
      <c r="FS781"/>
      <c r="FT781"/>
      <c r="FU781"/>
      <c r="FV781"/>
      <c r="FW781"/>
      <c r="FX781"/>
      <c r="FY781"/>
      <c r="FZ781"/>
      <c r="GA781"/>
      <c r="GB781"/>
      <c r="GC781"/>
      <c r="GD781"/>
      <c r="GE781"/>
      <c r="GF781"/>
      <c r="GG781"/>
      <c r="GH781"/>
      <c r="GI781"/>
      <c r="GJ781"/>
      <c r="GK781"/>
      <c r="GL781"/>
      <c r="GM781"/>
      <c r="GN781"/>
      <c r="GO781"/>
      <c r="GP781"/>
      <c r="GQ781"/>
      <c r="GR781"/>
      <c r="GS781"/>
      <c r="GT781"/>
      <c r="GU781"/>
      <c r="GV781"/>
      <c r="GW781"/>
      <c r="GX781"/>
      <c r="GY781"/>
      <c r="GZ781"/>
      <c r="HA781"/>
      <c r="HB781"/>
      <c r="HC781"/>
      <c r="HD781"/>
      <c r="HE781"/>
      <c r="HF781"/>
      <c r="HG781"/>
      <c r="HH781"/>
      <c r="HI781"/>
      <c r="HJ781"/>
      <c r="HK781"/>
      <c r="HL781"/>
      <c r="HM781"/>
      <c r="HN781"/>
      <c r="HO781"/>
      <c r="HP781"/>
      <c r="HQ781"/>
      <c r="HR781"/>
      <c r="HS781"/>
      <c r="HT781"/>
      <c r="HU781"/>
      <c r="HV781"/>
      <c r="HW781"/>
      <c r="HX781"/>
      <c r="HY781"/>
      <c r="HZ781"/>
      <c r="IA781"/>
      <c r="IB781"/>
      <c r="IC781"/>
      <c r="ID781"/>
      <c r="IE781"/>
      <c r="IF781"/>
      <c r="IG781"/>
      <c r="IH781"/>
      <c r="II781"/>
      <c r="IJ781"/>
      <c r="IK781"/>
      <c r="IL781"/>
      <c r="IM781"/>
      <c r="IN781"/>
      <c r="IO781"/>
      <c r="IP781"/>
      <c r="IQ781"/>
      <c r="IR781"/>
      <c r="IS781"/>
      <c r="IT781"/>
      <c r="IU781"/>
      <c r="IV781"/>
    </row>
    <row r="782" spans="1:256" ht="12.75" hidden="1" customHeight="1" x14ac:dyDescent="0.2">
      <c r="A782" s="632">
        <v>3613</v>
      </c>
      <c r="B782" s="552" t="s">
        <v>879</v>
      </c>
      <c r="C782" s="555">
        <f>SUM(C783,C796,C797,C798,C815,C803,C816,C843)</f>
        <v>104815000</v>
      </c>
      <c r="D782" s="581">
        <f>SUM(D783,D796,D797,D798,D815,D803,D816,D843)</f>
        <v>34680450</v>
      </c>
      <c r="E782" s="581">
        <f>SUM(E783,E796,E797,E798,E815,E803,E816,E843)</f>
        <v>29164602.560000002</v>
      </c>
      <c r="F782" s="633">
        <f>SUM(F783,F796,F797,F798,F815,F803,F816,F843)</f>
        <v>11547335.569999998</v>
      </c>
      <c r="G782" s="227">
        <f>G783+G796+G797+G798+G803+G816+G817</f>
        <v>22809000</v>
      </c>
      <c r="H782"/>
      <c r="I782"/>
      <c r="J782"/>
      <c r="K782"/>
      <c r="L782"/>
      <c r="M782"/>
      <c r="N782"/>
      <c r="O782"/>
      <c r="P782"/>
      <c r="Q782"/>
      <c r="R782"/>
      <c r="S782"/>
      <c r="T782"/>
      <c r="U782"/>
      <c r="V782"/>
      <c r="W782"/>
      <c r="X782"/>
      <c r="Y782"/>
      <c r="Z782"/>
      <c r="AA782"/>
      <c r="AB782"/>
      <c r="AC782"/>
      <c r="AD782"/>
      <c r="AE782"/>
      <c r="AF782"/>
      <c r="AG782"/>
      <c r="AH782"/>
      <c r="AI782"/>
      <c r="AJ782"/>
      <c r="AK782"/>
      <c r="AL782"/>
      <c r="AM782"/>
      <c r="AN782"/>
      <c r="AO782"/>
      <c r="AP782"/>
      <c r="AQ782"/>
      <c r="AR782"/>
      <c r="AS782"/>
      <c r="AT782"/>
      <c r="AU782"/>
      <c r="AV782"/>
      <c r="AW782"/>
      <c r="AX782"/>
      <c r="AY782"/>
      <c r="AZ782"/>
      <c r="BA782"/>
      <c r="BB782"/>
      <c r="BC782"/>
      <c r="BD782"/>
      <c r="BE782"/>
      <c r="BF782"/>
      <c r="BG782"/>
      <c r="BH782"/>
      <c r="BI782"/>
      <c r="BJ782"/>
      <c r="BK782"/>
      <c r="BL782"/>
      <c r="BM782"/>
      <c r="BN782"/>
      <c r="BO782"/>
      <c r="BP782"/>
      <c r="BQ782"/>
      <c r="BR782"/>
      <c r="BS782"/>
      <c r="BT782"/>
      <c r="BU782"/>
      <c r="BV782"/>
      <c r="BW782"/>
      <c r="BX782"/>
      <c r="BY782"/>
      <c r="BZ782"/>
      <c r="CA782"/>
      <c r="CB782"/>
      <c r="CC782"/>
      <c r="CD782"/>
      <c r="CE782"/>
      <c r="CF782"/>
      <c r="CG782"/>
      <c r="CH782"/>
      <c r="CI782"/>
      <c r="CJ782"/>
      <c r="CK782"/>
      <c r="CL782"/>
      <c r="CM782"/>
      <c r="CN782"/>
      <c r="CO782"/>
      <c r="CP782"/>
      <c r="CQ782"/>
      <c r="CR782"/>
      <c r="CS782"/>
      <c r="CT782"/>
      <c r="CU782"/>
      <c r="CV782"/>
      <c r="CW782"/>
      <c r="CX782"/>
      <c r="CY782"/>
      <c r="CZ782"/>
      <c r="DA782"/>
      <c r="DB782"/>
      <c r="DC782"/>
      <c r="DD782"/>
      <c r="DE782"/>
      <c r="DF782"/>
      <c r="DG782"/>
      <c r="DH782"/>
      <c r="DI782"/>
      <c r="DJ782"/>
      <c r="DK782"/>
      <c r="DL782"/>
      <c r="DM782"/>
      <c r="DN782"/>
      <c r="DO782"/>
      <c r="DP782"/>
      <c r="DQ782"/>
      <c r="DR782"/>
      <c r="DS782"/>
      <c r="DT782"/>
      <c r="DU782"/>
      <c r="DV782"/>
      <c r="DW782"/>
      <c r="DX782"/>
      <c r="DY782"/>
      <c r="DZ782"/>
      <c r="EA782"/>
      <c r="EB782"/>
      <c r="EC782"/>
      <c r="ED782"/>
      <c r="EE782"/>
      <c r="EF782"/>
      <c r="EG782"/>
      <c r="EH782"/>
      <c r="EI782"/>
      <c r="EJ782"/>
      <c r="EK782"/>
      <c r="EL782"/>
      <c r="EM782"/>
      <c r="EN782"/>
      <c r="EO782"/>
      <c r="EP782"/>
      <c r="EQ782"/>
      <c r="ER782"/>
      <c r="ES782"/>
      <c r="ET782"/>
      <c r="EU782"/>
      <c r="EV782"/>
      <c r="EW782"/>
      <c r="EX782"/>
      <c r="EY782"/>
      <c r="EZ782"/>
      <c r="FA782"/>
      <c r="FB782"/>
      <c r="FC782"/>
      <c r="FD782"/>
      <c r="FE782"/>
      <c r="FF782"/>
      <c r="FG782"/>
      <c r="FH782"/>
      <c r="FI782"/>
      <c r="FJ782"/>
      <c r="FK782"/>
      <c r="FL782"/>
      <c r="FM782"/>
      <c r="FN782"/>
      <c r="FO782"/>
      <c r="FP782"/>
      <c r="FQ782"/>
      <c r="FR782"/>
      <c r="FS782"/>
      <c r="FT782"/>
      <c r="FU782"/>
      <c r="FV782"/>
      <c r="FW782"/>
      <c r="FX782"/>
      <c r="FY782"/>
      <c r="FZ782"/>
      <c r="GA782"/>
      <c r="GB782"/>
      <c r="GC782"/>
      <c r="GD782"/>
      <c r="GE782"/>
      <c r="GF782"/>
      <c r="GG782"/>
      <c r="GH782"/>
      <c r="GI782"/>
      <c r="GJ782"/>
      <c r="GK782"/>
      <c r="GL782"/>
      <c r="GM782"/>
      <c r="GN782"/>
      <c r="GO782"/>
      <c r="GP782"/>
      <c r="GQ782"/>
      <c r="GR782"/>
      <c r="GS782"/>
      <c r="GT782"/>
      <c r="GU782"/>
      <c r="GV782"/>
      <c r="GW782"/>
      <c r="GX782"/>
      <c r="GY782"/>
      <c r="GZ782"/>
      <c r="HA782"/>
      <c r="HB782"/>
      <c r="HC782"/>
      <c r="HD782"/>
      <c r="HE782"/>
      <c r="HF782"/>
      <c r="HG782"/>
      <c r="HH782"/>
      <c r="HI782"/>
      <c r="HJ782"/>
      <c r="HK782"/>
      <c r="HL782"/>
      <c r="HM782"/>
      <c r="HN782"/>
      <c r="HO782"/>
      <c r="HP782"/>
      <c r="HQ782"/>
      <c r="HR782"/>
      <c r="HS782"/>
      <c r="HT782"/>
      <c r="HU782"/>
      <c r="HV782"/>
      <c r="HW782"/>
      <c r="HX782"/>
      <c r="HY782"/>
      <c r="HZ782"/>
      <c r="IA782"/>
      <c r="IB782"/>
      <c r="IC782"/>
      <c r="ID782"/>
      <c r="IE782"/>
      <c r="IF782"/>
      <c r="IG782"/>
      <c r="IH782"/>
      <c r="II782"/>
      <c r="IJ782"/>
      <c r="IK782"/>
      <c r="IL782"/>
      <c r="IM782"/>
      <c r="IN782"/>
      <c r="IO782"/>
      <c r="IP782"/>
      <c r="IQ782"/>
      <c r="IR782"/>
      <c r="IS782"/>
      <c r="IT782"/>
      <c r="IU782"/>
      <c r="IV782"/>
    </row>
    <row r="783" spans="1:256" ht="12.75" hidden="1" customHeight="1" x14ac:dyDescent="0.2">
      <c r="A783" s="634"/>
      <c r="B783" s="557" t="s">
        <v>880</v>
      </c>
      <c r="C783" s="602">
        <f>SUM(C784:C790)</f>
        <v>81680000</v>
      </c>
      <c r="D783" s="603">
        <f>SUM(D784:D790)</f>
        <v>13287000</v>
      </c>
      <c r="E783" s="603">
        <f>SUM(E784:E790)</f>
        <v>10861152.560000001</v>
      </c>
      <c r="F783" s="635">
        <f>SUM(F784:F795)</f>
        <v>5167417.13</v>
      </c>
      <c r="G783" s="610">
        <f>SUM(G784:G795)</f>
        <v>6843000</v>
      </c>
      <c r="H783"/>
      <c r="I783"/>
      <c r="J783"/>
      <c r="K783"/>
      <c r="L783"/>
      <c r="M783"/>
      <c r="N783"/>
      <c r="O783"/>
      <c r="P783"/>
      <c r="Q783"/>
      <c r="R783"/>
      <c r="S783"/>
      <c r="T783"/>
      <c r="U783"/>
      <c r="V783"/>
      <c r="W783"/>
      <c r="X783"/>
      <c r="Y783"/>
      <c r="Z783"/>
      <c r="AA783"/>
      <c r="AB783"/>
      <c r="AC783"/>
      <c r="AD783"/>
      <c r="AE783"/>
      <c r="AF783"/>
      <c r="AG783"/>
      <c r="AH783"/>
      <c r="AI783"/>
      <c r="AJ783"/>
      <c r="AK783"/>
      <c r="AL783"/>
      <c r="AM783"/>
      <c r="AN783"/>
      <c r="AO783"/>
      <c r="AP783"/>
      <c r="AQ783"/>
      <c r="AR783"/>
      <c r="AS783"/>
      <c r="AT783"/>
      <c r="AU783"/>
      <c r="AV783"/>
      <c r="AW783"/>
      <c r="AX783"/>
      <c r="AY783"/>
      <c r="AZ783"/>
      <c r="BA783"/>
      <c r="BB783"/>
      <c r="BC783"/>
      <c r="BD783"/>
      <c r="BE783"/>
      <c r="BF783"/>
      <c r="BG783"/>
      <c r="BH783"/>
      <c r="BI783"/>
      <c r="BJ783"/>
      <c r="BK783"/>
      <c r="BL783"/>
      <c r="BM783"/>
      <c r="BN783"/>
      <c r="BO783"/>
      <c r="BP783"/>
      <c r="BQ783"/>
      <c r="BR783"/>
      <c r="BS783"/>
      <c r="BT783"/>
      <c r="BU783"/>
      <c r="BV783"/>
      <c r="BW783"/>
      <c r="BX783"/>
      <c r="BY783"/>
      <c r="BZ783"/>
      <c r="CA783"/>
      <c r="CB783"/>
      <c r="CC783"/>
      <c r="CD783"/>
      <c r="CE783"/>
      <c r="CF783"/>
      <c r="CG783"/>
      <c r="CH783"/>
      <c r="CI783"/>
      <c r="CJ783"/>
      <c r="CK783"/>
      <c r="CL783"/>
      <c r="CM783"/>
      <c r="CN783"/>
      <c r="CO783"/>
      <c r="CP783"/>
      <c r="CQ783"/>
      <c r="CR783"/>
      <c r="CS783"/>
      <c r="CT783"/>
      <c r="CU783"/>
      <c r="CV783"/>
      <c r="CW783"/>
      <c r="CX783"/>
      <c r="CY783"/>
      <c r="CZ783"/>
      <c r="DA783"/>
      <c r="DB783"/>
      <c r="DC783"/>
      <c r="DD783"/>
      <c r="DE783"/>
      <c r="DF783"/>
      <c r="DG783"/>
      <c r="DH783"/>
      <c r="DI783"/>
      <c r="DJ783"/>
      <c r="DK783"/>
      <c r="DL783"/>
      <c r="DM783"/>
      <c r="DN783"/>
      <c r="DO783"/>
      <c r="DP783"/>
      <c r="DQ783"/>
      <c r="DR783"/>
      <c r="DS783"/>
      <c r="DT783"/>
      <c r="DU783"/>
      <c r="DV783"/>
      <c r="DW783"/>
      <c r="DX783"/>
      <c r="DY783"/>
      <c r="DZ783"/>
      <c r="EA783"/>
      <c r="EB783"/>
      <c r="EC783"/>
      <c r="ED783"/>
      <c r="EE783"/>
      <c r="EF783"/>
      <c r="EG783"/>
      <c r="EH783"/>
      <c r="EI783"/>
      <c r="EJ783"/>
      <c r="EK783"/>
      <c r="EL783"/>
      <c r="EM783"/>
      <c r="EN783"/>
      <c r="EO783"/>
      <c r="EP783"/>
      <c r="EQ783"/>
      <c r="ER783"/>
      <c r="ES783"/>
      <c r="ET783"/>
      <c r="EU783"/>
      <c r="EV783"/>
      <c r="EW783"/>
      <c r="EX783"/>
      <c r="EY783"/>
      <c r="EZ783"/>
      <c r="FA783"/>
      <c r="FB783"/>
      <c r="FC783"/>
      <c r="FD783"/>
      <c r="FE783"/>
      <c r="FF783"/>
      <c r="FG783"/>
      <c r="FH783"/>
      <c r="FI783"/>
      <c r="FJ783"/>
      <c r="FK783"/>
      <c r="FL783"/>
      <c r="FM783"/>
      <c r="FN783"/>
      <c r="FO783"/>
      <c r="FP783"/>
      <c r="FQ783"/>
      <c r="FR783"/>
      <c r="FS783"/>
      <c r="FT783"/>
      <c r="FU783"/>
      <c r="FV783"/>
      <c r="FW783"/>
      <c r="FX783"/>
      <c r="FY783"/>
      <c r="FZ783"/>
      <c r="GA783"/>
      <c r="GB783"/>
      <c r="GC783"/>
      <c r="GD783"/>
      <c r="GE783"/>
      <c r="GF783"/>
      <c r="GG783"/>
      <c r="GH783"/>
      <c r="GI783"/>
      <c r="GJ783"/>
      <c r="GK783"/>
      <c r="GL783"/>
      <c r="GM783"/>
      <c r="GN783"/>
      <c r="GO783"/>
      <c r="GP783"/>
      <c r="GQ783"/>
      <c r="GR783"/>
      <c r="GS783"/>
      <c r="GT783"/>
      <c r="GU783"/>
      <c r="GV783"/>
      <c r="GW783"/>
      <c r="GX783"/>
      <c r="GY783"/>
      <c r="GZ783"/>
      <c r="HA783"/>
      <c r="HB783"/>
      <c r="HC783"/>
      <c r="HD783"/>
      <c r="HE783"/>
      <c r="HF783"/>
      <c r="HG783"/>
      <c r="HH783"/>
      <c r="HI783"/>
      <c r="HJ783"/>
      <c r="HK783"/>
      <c r="HL783"/>
      <c r="HM783"/>
      <c r="HN783"/>
      <c r="HO783"/>
      <c r="HP783"/>
      <c r="HQ783"/>
      <c r="HR783"/>
      <c r="HS783"/>
      <c r="HT783"/>
      <c r="HU783"/>
      <c r="HV783"/>
      <c r="HW783"/>
      <c r="HX783"/>
      <c r="HY783"/>
      <c r="HZ783"/>
      <c r="IA783"/>
      <c r="IB783"/>
      <c r="IC783"/>
      <c r="ID783"/>
      <c r="IE783"/>
      <c r="IF783"/>
      <c r="IG783"/>
      <c r="IH783"/>
      <c r="II783"/>
      <c r="IJ783"/>
      <c r="IK783"/>
      <c r="IL783"/>
      <c r="IM783"/>
      <c r="IN783"/>
      <c r="IO783"/>
      <c r="IP783"/>
      <c r="IQ783"/>
      <c r="IR783"/>
      <c r="IS783"/>
      <c r="IT783"/>
      <c r="IU783"/>
      <c r="IV783"/>
    </row>
    <row r="784" spans="1:256" s="129" customFormat="1" ht="12.75" hidden="1" customHeight="1" x14ac:dyDescent="0.2">
      <c r="A784" s="551"/>
      <c r="B784" s="561" t="s">
        <v>881</v>
      </c>
      <c r="C784" s="560">
        <f>4000000-500000</f>
        <v>3500000</v>
      </c>
      <c r="D784" s="562">
        <f>4000000-500000+500000</f>
        <v>4000000</v>
      </c>
      <c r="E784" s="564">
        <v>4000000</v>
      </c>
      <c r="F784" s="636">
        <v>5808</v>
      </c>
      <c r="G784" s="637">
        <v>0</v>
      </c>
    </row>
    <row r="785" spans="1:256" ht="12.75" hidden="1" customHeight="1" x14ac:dyDescent="0.2">
      <c r="A785" s="551"/>
      <c r="B785" s="561" t="s">
        <v>882</v>
      </c>
      <c r="C785" s="560"/>
      <c r="D785" s="562"/>
      <c r="E785" s="564"/>
      <c r="F785" s="636"/>
      <c r="G785" s="637">
        <v>750000</v>
      </c>
      <c r="H785"/>
      <c r="I785"/>
      <c r="J785"/>
      <c r="K785"/>
      <c r="L785"/>
      <c r="M785"/>
      <c r="N785"/>
      <c r="O785"/>
      <c r="P785"/>
      <c r="Q785"/>
      <c r="R785"/>
      <c r="S785"/>
      <c r="T785"/>
      <c r="U785"/>
      <c r="V785"/>
      <c r="W785"/>
      <c r="X785"/>
      <c r="Y785"/>
      <c r="Z785"/>
      <c r="AA785"/>
      <c r="AB785"/>
      <c r="AC785"/>
      <c r="AD785"/>
      <c r="AE785"/>
      <c r="AF785"/>
      <c r="AG785"/>
      <c r="AH785"/>
      <c r="AI785"/>
      <c r="AJ785"/>
      <c r="AK785"/>
      <c r="AL785"/>
      <c r="AM785"/>
      <c r="AN785"/>
      <c r="AO785"/>
      <c r="AP785"/>
      <c r="AQ785"/>
      <c r="AR785"/>
      <c r="AS785"/>
      <c r="AT785"/>
      <c r="AU785"/>
      <c r="AV785"/>
      <c r="AW785"/>
      <c r="AX785"/>
      <c r="AY785"/>
      <c r="AZ785"/>
      <c r="BA785"/>
      <c r="BB785"/>
      <c r="BC785"/>
      <c r="BD785"/>
      <c r="BE785"/>
      <c r="BF785"/>
      <c r="BG785"/>
      <c r="BH785"/>
      <c r="BI785"/>
      <c r="BJ785"/>
      <c r="BK785"/>
      <c r="BL785"/>
      <c r="BM785"/>
      <c r="BN785"/>
      <c r="BO785"/>
      <c r="BP785"/>
      <c r="BQ785"/>
      <c r="BR785"/>
      <c r="BS785"/>
      <c r="BT785"/>
      <c r="BU785"/>
      <c r="BV785"/>
      <c r="BW785"/>
      <c r="BX785"/>
      <c r="BY785"/>
      <c r="BZ785"/>
      <c r="CA785"/>
      <c r="CB785"/>
      <c r="CC785"/>
      <c r="CD785"/>
      <c r="CE785"/>
      <c r="CF785"/>
      <c r="CG785"/>
      <c r="CH785"/>
      <c r="CI785"/>
      <c r="CJ785"/>
      <c r="CK785"/>
      <c r="CL785"/>
      <c r="CM785"/>
      <c r="CN785"/>
      <c r="CO785"/>
      <c r="CP785"/>
      <c r="CQ785"/>
      <c r="CR785"/>
      <c r="CS785"/>
      <c r="CT785"/>
      <c r="CU785"/>
      <c r="CV785"/>
      <c r="CW785"/>
      <c r="CX785"/>
      <c r="CY785"/>
      <c r="CZ785"/>
      <c r="DA785"/>
      <c r="DB785"/>
      <c r="DC785"/>
      <c r="DD785"/>
      <c r="DE785"/>
      <c r="DF785"/>
      <c r="DG785"/>
      <c r="DH785"/>
      <c r="DI785"/>
      <c r="DJ785"/>
      <c r="DK785"/>
      <c r="DL785"/>
      <c r="DM785"/>
      <c r="DN785"/>
      <c r="DO785"/>
      <c r="DP785"/>
      <c r="DQ785"/>
      <c r="DR785"/>
      <c r="DS785"/>
      <c r="DT785"/>
      <c r="DU785"/>
      <c r="DV785"/>
      <c r="DW785"/>
      <c r="DX785"/>
      <c r="DY785"/>
      <c r="DZ785"/>
      <c r="EA785"/>
      <c r="EB785"/>
      <c r="EC785"/>
      <c r="ED785"/>
      <c r="EE785"/>
      <c r="EF785"/>
      <c r="EG785"/>
      <c r="EH785"/>
      <c r="EI785"/>
      <c r="EJ785"/>
      <c r="EK785"/>
      <c r="EL785"/>
      <c r="EM785"/>
      <c r="EN785"/>
      <c r="EO785"/>
      <c r="EP785"/>
      <c r="EQ785"/>
      <c r="ER785"/>
      <c r="ES785"/>
      <c r="ET785"/>
      <c r="EU785"/>
      <c r="EV785"/>
      <c r="EW785"/>
      <c r="EX785"/>
      <c r="EY785"/>
      <c r="EZ785"/>
      <c r="FA785"/>
      <c r="FB785"/>
      <c r="FC785"/>
      <c r="FD785"/>
      <c r="FE785"/>
      <c r="FF785"/>
      <c r="FG785"/>
      <c r="FH785"/>
      <c r="FI785"/>
      <c r="FJ785"/>
      <c r="FK785"/>
      <c r="FL785"/>
      <c r="FM785"/>
      <c r="FN785"/>
      <c r="FO785"/>
      <c r="FP785"/>
      <c r="FQ785"/>
      <c r="FR785"/>
      <c r="FS785"/>
      <c r="FT785"/>
      <c r="FU785"/>
      <c r="FV785"/>
      <c r="FW785"/>
      <c r="FX785"/>
      <c r="FY785"/>
      <c r="FZ785"/>
      <c r="GA785"/>
      <c r="GB785"/>
      <c r="GC785"/>
      <c r="GD785"/>
      <c r="GE785"/>
      <c r="GF785"/>
      <c r="GG785"/>
      <c r="GH785"/>
      <c r="GI785"/>
      <c r="GJ785"/>
      <c r="GK785"/>
      <c r="GL785"/>
      <c r="GM785"/>
      <c r="GN785"/>
      <c r="GO785"/>
      <c r="GP785"/>
      <c r="GQ785"/>
      <c r="GR785"/>
      <c r="GS785"/>
      <c r="GT785"/>
      <c r="GU785"/>
      <c r="GV785"/>
      <c r="GW785"/>
      <c r="GX785"/>
      <c r="GY785"/>
      <c r="GZ785"/>
      <c r="HA785"/>
      <c r="HB785"/>
      <c r="HC785"/>
      <c r="HD785"/>
      <c r="HE785"/>
      <c r="HF785"/>
      <c r="HG785"/>
      <c r="HH785"/>
      <c r="HI785"/>
      <c r="HJ785"/>
      <c r="HK785"/>
      <c r="HL785"/>
      <c r="HM785"/>
      <c r="HN785"/>
      <c r="HO785"/>
      <c r="HP785"/>
      <c r="HQ785"/>
      <c r="HR785"/>
      <c r="HS785"/>
      <c r="HT785"/>
      <c r="HU785"/>
      <c r="HV785"/>
      <c r="HW785"/>
      <c r="HX785"/>
      <c r="HY785"/>
      <c r="HZ785"/>
      <c r="IA785"/>
      <c r="IB785"/>
      <c r="IC785"/>
      <c r="ID785"/>
      <c r="IE785"/>
      <c r="IF785"/>
      <c r="IG785"/>
      <c r="IH785"/>
      <c r="II785"/>
      <c r="IJ785"/>
      <c r="IK785"/>
      <c r="IL785"/>
      <c r="IM785"/>
      <c r="IN785"/>
      <c r="IO785"/>
      <c r="IP785"/>
      <c r="IQ785"/>
      <c r="IR785"/>
      <c r="IS785"/>
      <c r="IT785"/>
      <c r="IU785"/>
      <c r="IV785"/>
    </row>
    <row r="786" spans="1:256" ht="12.75" hidden="1" customHeight="1" x14ac:dyDescent="0.2">
      <c r="A786" s="551"/>
      <c r="B786" s="638" t="s">
        <v>883</v>
      </c>
      <c r="C786" s="558">
        <v>68000000</v>
      </c>
      <c r="D786" s="562">
        <f>68000000-13486022-53513978</f>
        <v>1000000</v>
      </c>
      <c r="E786" s="564">
        <v>0</v>
      </c>
      <c r="F786" s="611">
        <v>0</v>
      </c>
      <c r="G786" s="558">
        <v>500000</v>
      </c>
      <c r="H786"/>
      <c r="I786"/>
      <c r="J786"/>
      <c r="K786"/>
      <c r="L786"/>
      <c r="M786"/>
      <c r="N786"/>
      <c r="O786"/>
      <c r="P786"/>
      <c r="Q786"/>
      <c r="R786"/>
      <c r="S786"/>
      <c r="T786"/>
      <c r="U786"/>
      <c r="V786"/>
      <c r="W786"/>
      <c r="X786"/>
      <c r="Y786"/>
      <c r="Z786"/>
      <c r="AA786"/>
      <c r="AB786"/>
      <c r="AC786"/>
      <c r="AD786"/>
      <c r="AE786"/>
      <c r="AF786"/>
      <c r="AG786"/>
      <c r="AH786"/>
      <c r="AI786"/>
      <c r="AJ786"/>
      <c r="AK786"/>
      <c r="AL786"/>
      <c r="AM786"/>
      <c r="AN786"/>
      <c r="AO786"/>
      <c r="AP786"/>
      <c r="AQ786"/>
      <c r="AR786"/>
      <c r="AS786"/>
      <c r="AT786"/>
      <c r="AU786"/>
      <c r="AV786"/>
      <c r="AW786"/>
      <c r="AX786"/>
      <c r="AY786"/>
      <c r="AZ786"/>
      <c r="BA786"/>
      <c r="BB786"/>
      <c r="BC786"/>
      <c r="BD786"/>
      <c r="BE786"/>
      <c r="BF786"/>
      <c r="BG786"/>
      <c r="BH786"/>
      <c r="BI786"/>
      <c r="BJ786"/>
      <c r="BK786"/>
      <c r="BL786"/>
      <c r="BM786"/>
      <c r="BN786"/>
      <c r="BO786"/>
      <c r="BP786"/>
      <c r="BQ786"/>
      <c r="BR786"/>
      <c r="BS786"/>
      <c r="BT786"/>
      <c r="BU786"/>
      <c r="BV786"/>
      <c r="BW786"/>
      <c r="BX786"/>
      <c r="BY786"/>
      <c r="BZ786"/>
      <c r="CA786"/>
      <c r="CB786"/>
      <c r="CC786"/>
      <c r="CD786"/>
      <c r="CE786"/>
      <c r="CF786"/>
      <c r="CG786"/>
      <c r="CH786"/>
      <c r="CI786"/>
      <c r="CJ786"/>
      <c r="CK786"/>
      <c r="CL786"/>
      <c r="CM786"/>
      <c r="CN786"/>
      <c r="CO786"/>
      <c r="CP786"/>
      <c r="CQ786"/>
      <c r="CR786"/>
      <c r="CS786"/>
      <c r="CT786"/>
      <c r="CU786"/>
      <c r="CV786"/>
      <c r="CW786"/>
      <c r="CX786"/>
      <c r="CY786"/>
      <c r="CZ786"/>
      <c r="DA786"/>
      <c r="DB786"/>
      <c r="DC786"/>
      <c r="DD786"/>
      <c r="DE786"/>
      <c r="DF786"/>
      <c r="DG786"/>
      <c r="DH786"/>
      <c r="DI786"/>
      <c r="DJ786"/>
      <c r="DK786"/>
      <c r="DL786"/>
      <c r="DM786"/>
      <c r="DN786"/>
      <c r="DO786"/>
      <c r="DP786"/>
      <c r="DQ786"/>
      <c r="DR786"/>
      <c r="DS786"/>
      <c r="DT786"/>
      <c r="DU786"/>
      <c r="DV786"/>
      <c r="DW786"/>
      <c r="DX786"/>
      <c r="DY786"/>
      <c r="DZ786"/>
      <c r="EA786"/>
      <c r="EB786"/>
      <c r="EC786"/>
      <c r="ED786"/>
      <c r="EE786"/>
      <c r="EF786"/>
      <c r="EG786"/>
      <c r="EH786"/>
      <c r="EI786"/>
      <c r="EJ786"/>
      <c r="EK786"/>
      <c r="EL786"/>
      <c r="EM786"/>
      <c r="EN786"/>
      <c r="EO786"/>
      <c r="EP786"/>
      <c r="EQ786"/>
      <c r="ER786"/>
      <c r="ES786"/>
      <c r="ET786"/>
      <c r="EU786"/>
      <c r="EV786"/>
      <c r="EW786"/>
      <c r="EX786"/>
      <c r="EY786"/>
      <c r="EZ786"/>
      <c r="FA786"/>
      <c r="FB786"/>
      <c r="FC786"/>
      <c r="FD786"/>
      <c r="FE786"/>
      <c r="FF786"/>
      <c r="FG786"/>
      <c r="FH786"/>
      <c r="FI786"/>
      <c r="FJ786"/>
      <c r="FK786"/>
      <c r="FL786"/>
      <c r="FM786"/>
      <c r="FN786"/>
      <c r="FO786"/>
      <c r="FP786"/>
      <c r="FQ786"/>
      <c r="FR786"/>
      <c r="FS786"/>
      <c r="FT786"/>
      <c r="FU786"/>
      <c r="FV786"/>
      <c r="FW786"/>
      <c r="FX786"/>
      <c r="FY786"/>
      <c r="FZ786"/>
      <c r="GA786"/>
      <c r="GB786"/>
      <c r="GC786"/>
      <c r="GD786"/>
      <c r="GE786"/>
      <c r="GF786"/>
      <c r="GG786"/>
      <c r="GH786"/>
      <c r="GI786"/>
      <c r="GJ786"/>
      <c r="GK786"/>
      <c r="GL786"/>
      <c r="GM786"/>
      <c r="GN786"/>
      <c r="GO786"/>
      <c r="GP786"/>
      <c r="GQ786"/>
      <c r="GR786"/>
      <c r="GS786"/>
      <c r="GT786"/>
      <c r="GU786"/>
      <c r="GV786"/>
      <c r="GW786"/>
      <c r="GX786"/>
      <c r="GY786"/>
      <c r="GZ786"/>
      <c r="HA786"/>
      <c r="HB786"/>
      <c r="HC786"/>
      <c r="HD786"/>
      <c r="HE786"/>
      <c r="HF786"/>
      <c r="HG786"/>
      <c r="HH786"/>
      <c r="HI786"/>
      <c r="HJ786"/>
      <c r="HK786"/>
      <c r="HL786"/>
      <c r="HM786"/>
      <c r="HN786"/>
      <c r="HO786"/>
      <c r="HP786"/>
      <c r="HQ786"/>
      <c r="HR786"/>
      <c r="HS786"/>
      <c r="HT786"/>
      <c r="HU786"/>
      <c r="HV786"/>
      <c r="HW786"/>
      <c r="HX786"/>
      <c r="HY786"/>
      <c r="HZ786"/>
      <c r="IA786"/>
      <c r="IB786"/>
      <c r="IC786"/>
      <c r="ID786"/>
      <c r="IE786"/>
      <c r="IF786"/>
      <c r="IG786"/>
      <c r="IH786"/>
      <c r="II786"/>
      <c r="IJ786"/>
      <c r="IK786"/>
      <c r="IL786"/>
      <c r="IM786"/>
      <c r="IN786"/>
      <c r="IO786"/>
      <c r="IP786"/>
      <c r="IQ786"/>
      <c r="IR786"/>
      <c r="IS786"/>
      <c r="IT786"/>
      <c r="IU786"/>
      <c r="IV786"/>
    </row>
    <row r="787" spans="1:256" ht="12.75" hidden="1" customHeight="1" x14ac:dyDescent="0.2">
      <c r="A787" s="551"/>
      <c r="B787" s="639" t="s">
        <v>884</v>
      </c>
      <c r="C787" s="558">
        <v>2000000</v>
      </c>
      <c r="D787" s="562">
        <f>2000000-1500000</f>
        <v>500000</v>
      </c>
      <c r="E787" s="564">
        <v>0</v>
      </c>
      <c r="F787" s="611">
        <v>0</v>
      </c>
      <c r="G787" s="558">
        <v>100000</v>
      </c>
      <c r="H787"/>
      <c r="I787"/>
      <c r="J787"/>
      <c r="K787"/>
      <c r="L787"/>
      <c r="M787"/>
      <c r="N787"/>
      <c r="O787"/>
      <c r="P787"/>
      <c r="Q787"/>
      <c r="R787"/>
      <c r="S787"/>
      <c r="T787"/>
      <c r="U787"/>
      <c r="V787"/>
      <c r="W787"/>
      <c r="X787"/>
      <c r="Y787"/>
      <c r="Z787"/>
      <c r="AA787"/>
      <c r="AB787"/>
      <c r="AC787"/>
      <c r="AD787"/>
      <c r="AE787"/>
      <c r="AF787"/>
      <c r="AG787"/>
      <c r="AH787"/>
      <c r="AI787"/>
      <c r="AJ787"/>
      <c r="AK787"/>
      <c r="AL787"/>
      <c r="AM787"/>
      <c r="AN787"/>
      <c r="AO787"/>
      <c r="AP787"/>
      <c r="AQ787"/>
      <c r="AR787"/>
      <c r="AS787"/>
      <c r="AT787"/>
      <c r="AU787"/>
      <c r="AV787"/>
      <c r="AW787"/>
      <c r="AX787"/>
      <c r="AY787"/>
      <c r="AZ787"/>
      <c r="BA787"/>
      <c r="BB787"/>
      <c r="BC787"/>
      <c r="BD787"/>
      <c r="BE787"/>
      <c r="BF787"/>
      <c r="BG787"/>
      <c r="BH787"/>
      <c r="BI787"/>
      <c r="BJ787"/>
      <c r="BK787"/>
      <c r="BL787"/>
      <c r="BM787"/>
      <c r="BN787"/>
      <c r="BO787"/>
      <c r="BP787"/>
      <c r="BQ787"/>
      <c r="BR787"/>
      <c r="BS787"/>
      <c r="BT787"/>
      <c r="BU787"/>
      <c r="BV787"/>
      <c r="BW787"/>
      <c r="BX787"/>
      <c r="BY787"/>
      <c r="BZ787"/>
      <c r="CA787"/>
      <c r="CB787"/>
      <c r="CC787"/>
      <c r="CD787"/>
      <c r="CE787"/>
      <c r="CF787"/>
      <c r="CG787"/>
      <c r="CH787"/>
      <c r="CI787"/>
      <c r="CJ787"/>
      <c r="CK787"/>
      <c r="CL787"/>
      <c r="CM787"/>
      <c r="CN787"/>
      <c r="CO787"/>
      <c r="CP787"/>
      <c r="CQ787"/>
      <c r="CR787"/>
      <c r="CS787"/>
      <c r="CT787"/>
      <c r="CU787"/>
      <c r="CV787"/>
      <c r="CW787"/>
      <c r="CX787"/>
      <c r="CY787"/>
      <c r="CZ787"/>
      <c r="DA787"/>
      <c r="DB787"/>
      <c r="DC787"/>
      <c r="DD787"/>
      <c r="DE787"/>
      <c r="DF787"/>
      <c r="DG787"/>
      <c r="DH787"/>
      <c r="DI787"/>
      <c r="DJ787"/>
      <c r="DK787"/>
      <c r="DL787"/>
      <c r="DM787"/>
      <c r="DN787"/>
      <c r="DO787"/>
      <c r="DP787"/>
      <c r="DQ787"/>
      <c r="DR787"/>
      <c r="DS787"/>
      <c r="DT787"/>
      <c r="DU787"/>
      <c r="DV787"/>
      <c r="DW787"/>
      <c r="DX787"/>
      <c r="DY787"/>
      <c r="DZ787"/>
      <c r="EA787"/>
      <c r="EB787"/>
      <c r="EC787"/>
      <c r="ED787"/>
      <c r="EE787"/>
      <c r="EF787"/>
      <c r="EG787"/>
      <c r="EH787"/>
      <c r="EI787"/>
      <c r="EJ787"/>
      <c r="EK787"/>
      <c r="EL787"/>
      <c r="EM787"/>
      <c r="EN787"/>
      <c r="EO787"/>
      <c r="EP787"/>
      <c r="EQ787"/>
      <c r="ER787"/>
      <c r="ES787"/>
      <c r="ET787"/>
      <c r="EU787"/>
      <c r="EV787"/>
      <c r="EW787"/>
      <c r="EX787"/>
      <c r="EY787"/>
      <c r="EZ787"/>
      <c r="FA787"/>
      <c r="FB787"/>
      <c r="FC787"/>
      <c r="FD787"/>
      <c r="FE787"/>
      <c r="FF787"/>
      <c r="FG787"/>
      <c r="FH787"/>
      <c r="FI787"/>
      <c r="FJ787"/>
      <c r="FK787"/>
      <c r="FL787"/>
      <c r="FM787"/>
      <c r="FN787"/>
      <c r="FO787"/>
      <c r="FP787"/>
      <c r="FQ787"/>
      <c r="FR787"/>
      <c r="FS787"/>
      <c r="FT787"/>
      <c r="FU787"/>
      <c r="FV787"/>
      <c r="FW787"/>
      <c r="FX787"/>
      <c r="FY787"/>
      <c r="FZ787"/>
      <c r="GA787"/>
      <c r="GB787"/>
      <c r="GC787"/>
      <c r="GD787"/>
      <c r="GE787"/>
      <c r="GF787"/>
      <c r="GG787"/>
      <c r="GH787"/>
      <c r="GI787"/>
      <c r="GJ787"/>
      <c r="GK787"/>
      <c r="GL787"/>
      <c r="GM787"/>
      <c r="GN787"/>
      <c r="GO787"/>
      <c r="GP787"/>
      <c r="GQ787"/>
      <c r="GR787"/>
      <c r="GS787"/>
      <c r="GT787"/>
      <c r="GU787"/>
      <c r="GV787"/>
      <c r="GW787"/>
      <c r="GX787"/>
      <c r="GY787"/>
      <c r="GZ787"/>
      <c r="HA787"/>
      <c r="HB787"/>
      <c r="HC787"/>
      <c r="HD787"/>
      <c r="HE787"/>
      <c r="HF787"/>
      <c r="HG787"/>
      <c r="HH787"/>
      <c r="HI787"/>
      <c r="HJ787"/>
      <c r="HK787"/>
      <c r="HL787"/>
      <c r="HM787"/>
      <c r="HN787"/>
      <c r="HO787"/>
      <c r="HP787"/>
      <c r="HQ787"/>
      <c r="HR787"/>
      <c r="HS787"/>
      <c r="HT787"/>
      <c r="HU787"/>
      <c r="HV787"/>
      <c r="HW787"/>
      <c r="HX787"/>
      <c r="HY787"/>
      <c r="HZ787"/>
      <c r="IA787"/>
      <c r="IB787"/>
      <c r="IC787"/>
      <c r="ID787"/>
      <c r="IE787"/>
      <c r="IF787"/>
      <c r="IG787"/>
      <c r="IH787"/>
      <c r="II787"/>
      <c r="IJ787"/>
      <c r="IK787"/>
      <c r="IL787"/>
      <c r="IM787"/>
      <c r="IN787"/>
      <c r="IO787"/>
      <c r="IP787"/>
      <c r="IQ787"/>
      <c r="IR787"/>
      <c r="IS787"/>
      <c r="IT787"/>
      <c r="IU787"/>
      <c r="IV787"/>
    </row>
    <row r="788" spans="1:256" ht="12.75" hidden="1" customHeight="1" x14ac:dyDescent="0.2">
      <c r="A788" s="551"/>
      <c r="B788" s="639" t="s">
        <v>885</v>
      </c>
      <c r="C788" s="558">
        <v>5500000</v>
      </c>
      <c r="D788" s="562">
        <v>5500000</v>
      </c>
      <c r="E788" s="564">
        <v>5122889.3</v>
      </c>
      <c r="F788" s="580">
        <v>5122889.13</v>
      </c>
      <c r="G788" s="162">
        <v>0</v>
      </c>
      <c r="H788"/>
      <c r="I788"/>
      <c r="J788"/>
      <c r="K788"/>
      <c r="L788"/>
      <c r="M788"/>
      <c r="N788"/>
      <c r="O788"/>
      <c r="P788"/>
      <c r="Q788"/>
      <c r="R788"/>
      <c r="S788"/>
      <c r="T788"/>
      <c r="U788"/>
      <c r="V788"/>
      <c r="W788"/>
      <c r="X788"/>
      <c r="Y788"/>
      <c r="Z788"/>
      <c r="AA788"/>
      <c r="AB788"/>
      <c r="AC788"/>
      <c r="AD788"/>
      <c r="AE788"/>
      <c r="AF788"/>
      <c r="AG788"/>
      <c r="AH788"/>
      <c r="AI788"/>
      <c r="AJ788"/>
      <c r="AK788"/>
      <c r="AL788"/>
      <c r="AM788"/>
      <c r="AN788"/>
      <c r="AO788"/>
      <c r="AP788"/>
      <c r="AQ788"/>
      <c r="AR788"/>
      <c r="AS788"/>
      <c r="AT788"/>
      <c r="AU788"/>
      <c r="AV788"/>
      <c r="AW788"/>
      <c r="AX788"/>
      <c r="AY788"/>
      <c r="AZ788"/>
      <c r="BA788"/>
      <c r="BB788"/>
      <c r="BC788"/>
      <c r="BD788"/>
      <c r="BE788"/>
      <c r="BF788"/>
      <c r="BG788"/>
      <c r="BH788"/>
      <c r="BI788"/>
      <c r="BJ788"/>
      <c r="BK788"/>
      <c r="BL788"/>
      <c r="BM788"/>
      <c r="BN788"/>
      <c r="BO788"/>
      <c r="BP788"/>
      <c r="BQ788"/>
      <c r="BR788"/>
      <c r="BS788"/>
      <c r="BT788"/>
      <c r="BU788"/>
      <c r="BV788"/>
      <c r="BW788"/>
      <c r="BX788"/>
      <c r="BY788"/>
      <c r="BZ788"/>
      <c r="CA788"/>
      <c r="CB788"/>
      <c r="CC788"/>
      <c r="CD788"/>
      <c r="CE788"/>
      <c r="CF788"/>
      <c r="CG788"/>
      <c r="CH788"/>
      <c r="CI788"/>
      <c r="CJ788"/>
      <c r="CK788"/>
      <c r="CL788"/>
      <c r="CM788"/>
      <c r="CN788"/>
      <c r="CO788"/>
      <c r="CP788"/>
      <c r="CQ788"/>
      <c r="CR788"/>
      <c r="CS788"/>
      <c r="CT788"/>
      <c r="CU788"/>
      <c r="CV788"/>
      <c r="CW788"/>
      <c r="CX788"/>
      <c r="CY788"/>
      <c r="CZ788"/>
      <c r="DA788"/>
      <c r="DB788"/>
      <c r="DC788"/>
      <c r="DD788"/>
      <c r="DE788"/>
      <c r="DF788"/>
      <c r="DG788"/>
      <c r="DH788"/>
      <c r="DI788"/>
      <c r="DJ788"/>
      <c r="DK788"/>
      <c r="DL788"/>
      <c r="DM788"/>
      <c r="DN788"/>
      <c r="DO788"/>
      <c r="DP788"/>
      <c r="DQ788"/>
      <c r="DR788"/>
      <c r="DS788"/>
      <c r="DT788"/>
      <c r="DU788"/>
      <c r="DV788"/>
      <c r="DW788"/>
      <c r="DX788"/>
      <c r="DY788"/>
      <c r="DZ788"/>
      <c r="EA788"/>
      <c r="EB788"/>
      <c r="EC788"/>
      <c r="ED788"/>
      <c r="EE788"/>
      <c r="EF788"/>
      <c r="EG788"/>
      <c r="EH788"/>
      <c r="EI788"/>
      <c r="EJ788"/>
      <c r="EK788"/>
      <c r="EL788"/>
      <c r="EM788"/>
      <c r="EN788"/>
      <c r="EO788"/>
      <c r="EP788"/>
      <c r="EQ788"/>
      <c r="ER788"/>
      <c r="ES788"/>
      <c r="ET788"/>
      <c r="EU788"/>
      <c r="EV788"/>
      <c r="EW788"/>
      <c r="EX788"/>
      <c r="EY788"/>
      <c r="EZ788"/>
      <c r="FA788"/>
      <c r="FB788"/>
      <c r="FC788"/>
      <c r="FD788"/>
      <c r="FE788"/>
      <c r="FF788"/>
      <c r="FG788"/>
      <c r="FH788"/>
      <c r="FI788"/>
      <c r="FJ788"/>
      <c r="FK788"/>
      <c r="FL788"/>
      <c r="FM788"/>
      <c r="FN788"/>
      <c r="FO788"/>
      <c r="FP788"/>
      <c r="FQ788"/>
      <c r="FR788"/>
      <c r="FS788"/>
      <c r="FT788"/>
      <c r="FU788"/>
      <c r="FV788"/>
      <c r="FW788"/>
      <c r="FX788"/>
      <c r="FY788"/>
      <c r="FZ788"/>
      <c r="GA788"/>
      <c r="GB788"/>
      <c r="GC788"/>
      <c r="GD788"/>
      <c r="GE788"/>
      <c r="GF788"/>
      <c r="GG788"/>
      <c r="GH788"/>
      <c r="GI788"/>
      <c r="GJ788"/>
      <c r="GK788"/>
      <c r="GL788"/>
      <c r="GM788"/>
      <c r="GN788"/>
      <c r="GO788"/>
      <c r="GP788"/>
      <c r="GQ788"/>
      <c r="GR788"/>
      <c r="GS788"/>
      <c r="GT788"/>
      <c r="GU788"/>
      <c r="GV788"/>
      <c r="GW788"/>
      <c r="GX788"/>
      <c r="GY788"/>
      <c r="GZ788"/>
      <c r="HA788"/>
      <c r="HB788"/>
      <c r="HC788"/>
      <c r="HD788"/>
      <c r="HE788"/>
      <c r="HF788"/>
      <c r="HG788"/>
      <c r="HH788"/>
      <c r="HI788"/>
      <c r="HJ788"/>
      <c r="HK788"/>
      <c r="HL788"/>
      <c r="HM788"/>
      <c r="HN788"/>
      <c r="HO788"/>
      <c r="HP788"/>
      <c r="HQ788"/>
      <c r="HR788"/>
      <c r="HS788"/>
      <c r="HT788"/>
      <c r="HU788"/>
      <c r="HV788"/>
      <c r="HW788"/>
      <c r="HX788"/>
      <c r="HY788"/>
      <c r="HZ788"/>
      <c r="IA788"/>
      <c r="IB788"/>
      <c r="IC788"/>
      <c r="ID788"/>
      <c r="IE788"/>
      <c r="IF788"/>
      <c r="IG788"/>
      <c r="IH788"/>
      <c r="II788"/>
      <c r="IJ788"/>
      <c r="IK788"/>
      <c r="IL788"/>
      <c r="IM788"/>
      <c r="IN788"/>
      <c r="IO788"/>
      <c r="IP788"/>
      <c r="IQ788"/>
      <c r="IR788"/>
      <c r="IS788"/>
      <c r="IT788"/>
      <c r="IU788"/>
      <c r="IV788"/>
    </row>
    <row r="789" spans="1:256" ht="12.75" hidden="1" customHeight="1" x14ac:dyDescent="0.2">
      <c r="A789" s="632"/>
      <c r="B789" s="638" t="s">
        <v>886</v>
      </c>
      <c r="C789" s="558">
        <v>500000</v>
      </c>
      <c r="D789" s="562">
        <v>500000</v>
      </c>
      <c r="E789" s="564">
        <v>730000</v>
      </c>
      <c r="F789" s="580">
        <v>38720</v>
      </c>
      <c r="G789" s="162">
        <v>0</v>
      </c>
      <c r="H789"/>
      <c r="I789"/>
      <c r="J789"/>
      <c r="K789"/>
      <c r="L789"/>
      <c r="M789"/>
      <c r="N789"/>
      <c r="O789"/>
      <c r="P789"/>
      <c r="Q789"/>
      <c r="R789"/>
      <c r="S789"/>
      <c r="T789"/>
      <c r="U789"/>
      <c r="V789"/>
      <c r="W789"/>
      <c r="X789"/>
      <c r="Y789"/>
      <c r="Z789"/>
      <c r="AA789"/>
      <c r="AB789"/>
      <c r="AC789"/>
      <c r="AD789"/>
      <c r="AE789"/>
      <c r="AF789"/>
      <c r="AG789"/>
      <c r="AH789"/>
      <c r="AI789"/>
      <c r="AJ789"/>
      <c r="AK789"/>
      <c r="AL789"/>
      <c r="AM789"/>
      <c r="AN789"/>
      <c r="AO789"/>
      <c r="AP789"/>
      <c r="AQ789"/>
      <c r="AR789"/>
      <c r="AS789"/>
      <c r="AT789"/>
      <c r="AU789"/>
      <c r="AV789"/>
      <c r="AW789"/>
      <c r="AX789"/>
      <c r="AY789"/>
      <c r="AZ789"/>
      <c r="BA789"/>
      <c r="BB789"/>
      <c r="BC789"/>
      <c r="BD789"/>
      <c r="BE789"/>
      <c r="BF789"/>
      <c r="BG789"/>
      <c r="BH789"/>
      <c r="BI789"/>
      <c r="BJ789"/>
      <c r="BK789"/>
      <c r="BL789"/>
      <c r="BM789"/>
      <c r="BN789"/>
      <c r="BO789"/>
      <c r="BP789"/>
      <c r="BQ789"/>
      <c r="BR789"/>
      <c r="BS789"/>
      <c r="BT789"/>
      <c r="BU789"/>
      <c r="BV789"/>
      <c r="BW789"/>
      <c r="BX789"/>
      <c r="BY789"/>
      <c r="BZ789"/>
      <c r="CA789"/>
      <c r="CB789"/>
      <c r="CC789"/>
      <c r="CD789"/>
      <c r="CE789"/>
      <c r="CF789"/>
      <c r="CG789"/>
      <c r="CH789"/>
      <c r="CI789"/>
      <c r="CJ789"/>
      <c r="CK789"/>
      <c r="CL789"/>
      <c r="CM789"/>
      <c r="CN789"/>
      <c r="CO789"/>
      <c r="CP789"/>
      <c r="CQ789"/>
      <c r="CR789"/>
      <c r="CS789"/>
      <c r="CT789"/>
      <c r="CU789"/>
      <c r="CV789"/>
      <c r="CW789"/>
      <c r="CX789"/>
      <c r="CY789"/>
      <c r="CZ789"/>
      <c r="DA789"/>
      <c r="DB789"/>
      <c r="DC789"/>
      <c r="DD789"/>
      <c r="DE789"/>
      <c r="DF789"/>
      <c r="DG789"/>
      <c r="DH789"/>
      <c r="DI789"/>
      <c r="DJ789"/>
      <c r="DK789"/>
      <c r="DL789"/>
      <c r="DM789"/>
      <c r="DN789"/>
      <c r="DO789"/>
      <c r="DP789"/>
      <c r="DQ789"/>
      <c r="DR789"/>
      <c r="DS789"/>
      <c r="DT789"/>
      <c r="DU789"/>
      <c r="DV789"/>
      <c r="DW789"/>
      <c r="DX789"/>
      <c r="DY789"/>
      <c r="DZ789"/>
      <c r="EA789"/>
      <c r="EB789"/>
      <c r="EC789"/>
      <c r="ED789"/>
      <c r="EE789"/>
      <c r="EF789"/>
      <c r="EG789"/>
      <c r="EH789"/>
      <c r="EI789"/>
      <c r="EJ789"/>
      <c r="EK789"/>
      <c r="EL789"/>
      <c r="EM789"/>
      <c r="EN789"/>
      <c r="EO789"/>
      <c r="EP789"/>
      <c r="EQ789"/>
      <c r="ER789"/>
      <c r="ES789"/>
      <c r="ET789"/>
      <c r="EU789"/>
      <c r="EV789"/>
      <c r="EW789"/>
      <c r="EX789"/>
      <c r="EY789"/>
      <c r="EZ789"/>
      <c r="FA789"/>
      <c r="FB789"/>
      <c r="FC789"/>
      <c r="FD789"/>
      <c r="FE789"/>
      <c r="FF789"/>
      <c r="FG789"/>
      <c r="FH789"/>
      <c r="FI789"/>
      <c r="FJ789"/>
      <c r="FK789"/>
      <c r="FL789"/>
      <c r="FM789"/>
      <c r="FN789"/>
      <c r="FO789"/>
      <c r="FP789"/>
      <c r="FQ789"/>
      <c r="FR789"/>
      <c r="FS789"/>
      <c r="FT789"/>
      <c r="FU789"/>
      <c r="FV789"/>
      <c r="FW789"/>
      <c r="FX789"/>
      <c r="FY789"/>
      <c r="FZ789"/>
      <c r="GA789"/>
      <c r="GB789"/>
      <c r="GC789"/>
      <c r="GD789"/>
      <c r="GE789"/>
      <c r="GF789"/>
      <c r="GG789"/>
      <c r="GH789"/>
      <c r="GI789"/>
      <c r="GJ789"/>
      <c r="GK789"/>
      <c r="GL789"/>
      <c r="GM789"/>
      <c r="GN789"/>
      <c r="GO789"/>
      <c r="GP789"/>
      <c r="GQ789"/>
      <c r="GR789"/>
      <c r="GS789"/>
      <c r="GT789"/>
      <c r="GU789"/>
      <c r="GV789"/>
      <c r="GW789"/>
      <c r="GX789"/>
      <c r="GY789"/>
      <c r="GZ789"/>
      <c r="HA789"/>
      <c r="HB789"/>
      <c r="HC789"/>
      <c r="HD789"/>
      <c r="HE789"/>
      <c r="HF789"/>
      <c r="HG789"/>
      <c r="HH789"/>
      <c r="HI789"/>
      <c r="HJ789"/>
      <c r="HK789"/>
      <c r="HL789"/>
      <c r="HM789"/>
      <c r="HN789"/>
      <c r="HO789"/>
      <c r="HP789"/>
      <c r="HQ789"/>
      <c r="HR789"/>
      <c r="HS789"/>
      <c r="HT789"/>
      <c r="HU789"/>
      <c r="HV789"/>
      <c r="HW789"/>
      <c r="HX789"/>
      <c r="HY789"/>
      <c r="HZ789"/>
      <c r="IA789"/>
      <c r="IB789"/>
      <c r="IC789"/>
      <c r="ID789"/>
      <c r="IE789"/>
      <c r="IF789"/>
      <c r="IG789"/>
      <c r="IH789"/>
      <c r="II789"/>
      <c r="IJ789"/>
      <c r="IK789"/>
      <c r="IL789"/>
      <c r="IM789"/>
      <c r="IN789"/>
      <c r="IO789"/>
      <c r="IP789"/>
      <c r="IQ789"/>
      <c r="IR789"/>
      <c r="IS789"/>
      <c r="IT789"/>
      <c r="IU789"/>
      <c r="IV789"/>
    </row>
    <row r="790" spans="1:256" ht="12.75" hidden="1" customHeight="1" x14ac:dyDescent="0.2">
      <c r="A790" s="632"/>
      <c r="B790" s="639" t="s">
        <v>887</v>
      </c>
      <c r="C790" s="558">
        <v>2180000</v>
      </c>
      <c r="D790" s="562">
        <f>2180000-393000</f>
        <v>1787000</v>
      </c>
      <c r="E790" s="564">
        <v>1008263.26</v>
      </c>
      <c r="F790" s="580">
        <v>0</v>
      </c>
      <c r="G790" s="162">
        <v>393000</v>
      </c>
      <c r="H790"/>
      <c r="I790"/>
      <c r="J790"/>
      <c r="K790"/>
      <c r="L790"/>
      <c r="M790"/>
      <c r="N790"/>
      <c r="O790"/>
      <c r="P790"/>
      <c r="Q790"/>
      <c r="R790"/>
      <c r="S790"/>
      <c r="T790"/>
      <c r="U790"/>
      <c r="V790"/>
      <c r="W790"/>
      <c r="X790"/>
      <c r="Y790"/>
      <c r="Z790"/>
      <c r="AA790"/>
      <c r="AB790"/>
      <c r="AC790"/>
      <c r="AD790"/>
      <c r="AE790"/>
      <c r="AF790"/>
      <c r="AG790"/>
      <c r="AH790"/>
      <c r="AI790"/>
      <c r="AJ790"/>
      <c r="AK790"/>
      <c r="AL790"/>
      <c r="AM790"/>
      <c r="AN790"/>
      <c r="AO790"/>
      <c r="AP790"/>
      <c r="AQ790"/>
      <c r="AR790"/>
      <c r="AS790"/>
      <c r="AT790"/>
      <c r="AU790"/>
      <c r="AV790"/>
      <c r="AW790"/>
      <c r="AX790"/>
      <c r="AY790"/>
      <c r="AZ790"/>
      <c r="BA790"/>
      <c r="BB790"/>
      <c r="BC790"/>
      <c r="BD790"/>
      <c r="BE790"/>
      <c r="BF790"/>
      <c r="BG790"/>
      <c r="BH790"/>
      <c r="BI790"/>
      <c r="BJ790"/>
      <c r="BK790"/>
      <c r="BL790"/>
      <c r="BM790"/>
      <c r="BN790"/>
      <c r="BO790"/>
      <c r="BP790"/>
      <c r="BQ790"/>
      <c r="BR790"/>
      <c r="BS790"/>
      <c r="BT790"/>
      <c r="BU790"/>
      <c r="BV790"/>
      <c r="BW790"/>
      <c r="BX790"/>
      <c r="BY790"/>
      <c r="BZ790"/>
      <c r="CA790"/>
      <c r="CB790"/>
      <c r="CC790"/>
      <c r="CD790"/>
      <c r="CE790"/>
      <c r="CF790"/>
      <c r="CG790"/>
      <c r="CH790"/>
      <c r="CI790"/>
      <c r="CJ790"/>
      <c r="CK790"/>
      <c r="CL790"/>
      <c r="CM790"/>
      <c r="CN790"/>
      <c r="CO790"/>
      <c r="CP790"/>
      <c r="CQ790"/>
      <c r="CR790"/>
      <c r="CS790"/>
      <c r="CT790"/>
      <c r="CU790"/>
      <c r="CV790"/>
      <c r="CW790"/>
      <c r="CX790"/>
      <c r="CY790"/>
      <c r="CZ790"/>
      <c r="DA790"/>
      <c r="DB790"/>
      <c r="DC790"/>
      <c r="DD790"/>
      <c r="DE790"/>
      <c r="DF790"/>
      <c r="DG790"/>
      <c r="DH790"/>
      <c r="DI790"/>
      <c r="DJ790"/>
      <c r="DK790"/>
      <c r="DL790"/>
      <c r="DM790"/>
      <c r="DN790"/>
      <c r="DO790"/>
      <c r="DP790"/>
      <c r="DQ790"/>
      <c r="DR790"/>
      <c r="DS790"/>
      <c r="DT790"/>
      <c r="DU790"/>
      <c r="DV790"/>
      <c r="DW790"/>
      <c r="DX790"/>
      <c r="DY790"/>
      <c r="DZ790"/>
      <c r="EA790"/>
      <c r="EB790"/>
      <c r="EC790"/>
      <c r="ED790"/>
      <c r="EE790"/>
      <c r="EF790"/>
      <c r="EG790"/>
      <c r="EH790"/>
      <c r="EI790"/>
      <c r="EJ790"/>
      <c r="EK790"/>
      <c r="EL790"/>
      <c r="EM790"/>
      <c r="EN790"/>
      <c r="EO790"/>
      <c r="EP790"/>
      <c r="EQ790"/>
      <c r="ER790"/>
      <c r="ES790"/>
      <c r="ET790"/>
      <c r="EU790"/>
      <c r="EV790"/>
      <c r="EW790"/>
      <c r="EX790"/>
      <c r="EY790"/>
      <c r="EZ790"/>
      <c r="FA790"/>
      <c r="FB790"/>
      <c r="FC790"/>
      <c r="FD790"/>
      <c r="FE790"/>
      <c r="FF790"/>
      <c r="FG790"/>
      <c r="FH790"/>
      <c r="FI790"/>
      <c r="FJ790"/>
      <c r="FK790"/>
      <c r="FL790"/>
      <c r="FM790"/>
      <c r="FN790"/>
      <c r="FO790"/>
      <c r="FP790"/>
      <c r="FQ790"/>
      <c r="FR790"/>
      <c r="FS790"/>
      <c r="FT790"/>
      <c r="FU790"/>
      <c r="FV790"/>
      <c r="FW790"/>
      <c r="FX790"/>
      <c r="FY790"/>
      <c r="FZ790"/>
      <c r="GA790"/>
      <c r="GB790"/>
      <c r="GC790"/>
      <c r="GD790"/>
      <c r="GE790"/>
      <c r="GF790"/>
      <c r="GG790"/>
      <c r="GH790"/>
      <c r="GI790"/>
      <c r="GJ790"/>
      <c r="GK790"/>
      <c r="GL790"/>
      <c r="GM790"/>
      <c r="GN790"/>
      <c r="GO790"/>
      <c r="GP790"/>
      <c r="GQ790"/>
      <c r="GR790"/>
      <c r="GS790"/>
      <c r="GT790"/>
      <c r="GU790"/>
      <c r="GV790"/>
      <c r="GW790"/>
      <c r="GX790"/>
      <c r="GY790"/>
      <c r="GZ790"/>
      <c r="HA790"/>
      <c r="HB790"/>
      <c r="HC790"/>
      <c r="HD790"/>
      <c r="HE790"/>
      <c r="HF790"/>
      <c r="HG790"/>
      <c r="HH790"/>
      <c r="HI790"/>
      <c r="HJ790"/>
      <c r="HK790"/>
      <c r="HL790"/>
      <c r="HM790"/>
      <c r="HN790"/>
      <c r="HO790"/>
      <c r="HP790"/>
      <c r="HQ790"/>
      <c r="HR790"/>
      <c r="HS790"/>
      <c r="HT790"/>
      <c r="HU790"/>
      <c r="HV790"/>
      <c r="HW790"/>
      <c r="HX790"/>
      <c r="HY790"/>
      <c r="HZ790"/>
      <c r="IA790"/>
      <c r="IB790"/>
      <c r="IC790"/>
      <c r="ID790"/>
      <c r="IE790"/>
      <c r="IF790"/>
      <c r="IG790"/>
      <c r="IH790"/>
      <c r="II790"/>
      <c r="IJ790"/>
      <c r="IK790"/>
      <c r="IL790"/>
      <c r="IM790"/>
      <c r="IN790"/>
      <c r="IO790"/>
      <c r="IP790"/>
      <c r="IQ790"/>
      <c r="IR790"/>
      <c r="IS790"/>
      <c r="IT790"/>
      <c r="IU790"/>
      <c r="IV790"/>
    </row>
    <row r="791" spans="1:256" ht="12.75" hidden="1" customHeight="1" x14ac:dyDescent="0.2">
      <c r="A791" s="632"/>
      <c r="B791" s="557" t="s">
        <v>888</v>
      </c>
      <c r="C791" s="560"/>
      <c r="D791" s="562"/>
      <c r="E791" s="564"/>
      <c r="F791" s="580"/>
      <c r="G791" s="162">
        <v>2300000</v>
      </c>
      <c r="H791"/>
      <c r="I791"/>
      <c r="J791"/>
      <c r="K791"/>
      <c r="L791"/>
      <c r="M791"/>
      <c r="N791"/>
      <c r="O791"/>
      <c r="P791"/>
      <c r="Q791"/>
      <c r="R791"/>
      <c r="S791"/>
      <c r="T791"/>
      <c r="U791"/>
      <c r="V791"/>
      <c r="W791"/>
      <c r="X791"/>
      <c r="Y791"/>
      <c r="Z791"/>
      <c r="AA791"/>
      <c r="AB791"/>
      <c r="AC791"/>
      <c r="AD791"/>
      <c r="AE791"/>
      <c r="AF791"/>
      <c r="AG791"/>
      <c r="AH791"/>
      <c r="AI791"/>
      <c r="AJ791"/>
      <c r="AK791"/>
      <c r="AL791"/>
      <c r="AM791"/>
      <c r="AN791"/>
      <c r="AO791"/>
      <c r="AP791"/>
      <c r="AQ791"/>
      <c r="AR791"/>
      <c r="AS791"/>
      <c r="AT791"/>
      <c r="AU791"/>
      <c r="AV791"/>
      <c r="AW791"/>
      <c r="AX791"/>
      <c r="AY791"/>
      <c r="AZ791"/>
      <c r="BA791"/>
      <c r="BB791"/>
      <c r="BC791"/>
      <c r="BD791"/>
      <c r="BE791"/>
      <c r="BF791"/>
      <c r="BG791"/>
      <c r="BH791"/>
      <c r="BI791"/>
      <c r="BJ791"/>
      <c r="BK791"/>
      <c r="BL791"/>
      <c r="BM791"/>
      <c r="BN791"/>
      <c r="BO791"/>
      <c r="BP791"/>
      <c r="BQ791"/>
      <c r="BR791"/>
      <c r="BS791"/>
      <c r="BT791"/>
      <c r="BU791"/>
      <c r="BV791"/>
      <c r="BW791"/>
      <c r="BX791"/>
      <c r="BY791"/>
      <c r="BZ791"/>
      <c r="CA791"/>
      <c r="CB791"/>
      <c r="CC791"/>
      <c r="CD791"/>
      <c r="CE791"/>
      <c r="CF791"/>
      <c r="CG791"/>
      <c r="CH791"/>
      <c r="CI791"/>
      <c r="CJ791"/>
      <c r="CK791"/>
      <c r="CL791"/>
      <c r="CM791"/>
      <c r="CN791"/>
      <c r="CO791"/>
      <c r="CP791"/>
      <c r="CQ791"/>
      <c r="CR791"/>
      <c r="CS791"/>
      <c r="CT791"/>
      <c r="CU791"/>
      <c r="CV791"/>
      <c r="CW791"/>
      <c r="CX791"/>
      <c r="CY791"/>
      <c r="CZ791"/>
      <c r="DA791"/>
      <c r="DB791"/>
      <c r="DC791"/>
      <c r="DD791"/>
      <c r="DE791"/>
      <c r="DF791"/>
      <c r="DG791"/>
      <c r="DH791"/>
      <c r="DI791"/>
      <c r="DJ791"/>
      <c r="DK791"/>
      <c r="DL791"/>
      <c r="DM791"/>
      <c r="DN791"/>
      <c r="DO791"/>
      <c r="DP791"/>
      <c r="DQ791"/>
      <c r="DR791"/>
      <c r="DS791"/>
      <c r="DT791"/>
      <c r="DU791"/>
      <c r="DV791"/>
      <c r="DW791"/>
      <c r="DX791"/>
      <c r="DY791"/>
      <c r="DZ791"/>
      <c r="EA791"/>
      <c r="EB791"/>
      <c r="EC791"/>
      <c r="ED791"/>
      <c r="EE791"/>
      <c r="EF791"/>
      <c r="EG791"/>
      <c r="EH791"/>
      <c r="EI791"/>
      <c r="EJ791"/>
      <c r="EK791"/>
      <c r="EL791"/>
      <c r="EM791"/>
      <c r="EN791"/>
      <c r="EO791"/>
      <c r="EP791"/>
      <c r="EQ791"/>
      <c r="ER791"/>
      <c r="ES791"/>
      <c r="ET791"/>
      <c r="EU791"/>
      <c r="EV791"/>
      <c r="EW791"/>
      <c r="EX791"/>
      <c r="EY791"/>
      <c r="EZ791"/>
      <c r="FA791"/>
      <c r="FB791"/>
      <c r="FC791"/>
      <c r="FD791"/>
      <c r="FE791"/>
      <c r="FF791"/>
      <c r="FG791"/>
      <c r="FH791"/>
      <c r="FI791"/>
      <c r="FJ791"/>
      <c r="FK791"/>
      <c r="FL791"/>
      <c r="FM791"/>
      <c r="FN791"/>
      <c r="FO791"/>
      <c r="FP791"/>
      <c r="FQ791"/>
      <c r="FR791"/>
      <c r="FS791"/>
      <c r="FT791"/>
      <c r="FU791"/>
      <c r="FV791"/>
      <c r="FW791"/>
      <c r="FX791"/>
      <c r="FY791"/>
      <c r="FZ791"/>
      <c r="GA791"/>
      <c r="GB791"/>
      <c r="GC791"/>
      <c r="GD791"/>
      <c r="GE791"/>
      <c r="GF791"/>
      <c r="GG791"/>
      <c r="GH791"/>
      <c r="GI791"/>
      <c r="GJ791"/>
      <c r="GK791"/>
      <c r="GL791"/>
      <c r="GM791"/>
      <c r="GN791"/>
      <c r="GO791"/>
      <c r="GP791"/>
      <c r="GQ791"/>
      <c r="GR791"/>
      <c r="GS791"/>
      <c r="GT791"/>
      <c r="GU791"/>
      <c r="GV791"/>
      <c r="GW791"/>
      <c r="GX791"/>
      <c r="GY791"/>
      <c r="GZ791"/>
      <c r="HA791"/>
      <c r="HB791"/>
      <c r="HC791"/>
      <c r="HD791"/>
      <c r="HE791"/>
      <c r="HF791"/>
      <c r="HG791"/>
      <c r="HH791"/>
      <c r="HI791"/>
      <c r="HJ791"/>
      <c r="HK791"/>
      <c r="HL791"/>
      <c r="HM791"/>
      <c r="HN791"/>
      <c r="HO791"/>
      <c r="HP791"/>
      <c r="HQ791"/>
      <c r="HR791"/>
      <c r="HS791"/>
      <c r="HT791"/>
      <c r="HU791"/>
      <c r="HV791"/>
      <c r="HW791"/>
      <c r="HX791"/>
      <c r="HY791"/>
      <c r="HZ791"/>
      <c r="IA791"/>
      <c r="IB791"/>
      <c r="IC791"/>
      <c r="ID791"/>
      <c r="IE791"/>
      <c r="IF791"/>
      <c r="IG791"/>
      <c r="IH791"/>
      <c r="II791"/>
      <c r="IJ791"/>
      <c r="IK791"/>
      <c r="IL791"/>
      <c r="IM791"/>
      <c r="IN791"/>
      <c r="IO791"/>
      <c r="IP791"/>
      <c r="IQ791"/>
      <c r="IR791"/>
      <c r="IS791"/>
      <c r="IT791"/>
      <c r="IU791"/>
      <c r="IV791"/>
    </row>
    <row r="792" spans="1:256" ht="12.75" hidden="1" customHeight="1" x14ac:dyDescent="0.2">
      <c r="A792" s="632"/>
      <c r="B792" s="638" t="s">
        <v>889</v>
      </c>
      <c r="C792" s="560"/>
      <c r="D792" s="562"/>
      <c r="E792" s="564"/>
      <c r="F792" s="580"/>
      <c r="G792" s="162">
        <v>100000</v>
      </c>
      <c r="H792"/>
      <c r="I792"/>
      <c r="J792"/>
      <c r="K792"/>
      <c r="L792"/>
      <c r="M792"/>
      <c r="N792"/>
      <c r="O792"/>
      <c r="P792"/>
      <c r="Q792"/>
      <c r="R792"/>
      <c r="S792"/>
      <c r="T792"/>
      <c r="U792"/>
      <c r="V792"/>
      <c r="W792"/>
      <c r="X792"/>
      <c r="Y792"/>
      <c r="Z792"/>
      <c r="AA792"/>
      <c r="AB792"/>
      <c r="AC792"/>
      <c r="AD792"/>
      <c r="AE792"/>
      <c r="AF792"/>
      <c r="AG792"/>
      <c r="AH792"/>
      <c r="AI792"/>
      <c r="AJ792"/>
      <c r="AK792"/>
      <c r="AL792"/>
      <c r="AM792"/>
      <c r="AN792"/>
      <c r="AO792"/>
      <c r="AP792"/>
      <c r="AQ792"/>
      <c r="AR792"/>
      <c r="AS792"/>
      <c r="AT792"/>
      <c r="AU792"/>
      <c r="AV792"/>
      <c r="AW792"/>
      <c r="AX792"/>
      <c r="AY792"/>
      <c r="AZ792"/>
      <c r="BA792"/>
      <c r="BB792"/>
      <c r="BC792"/>
      <c r="BD792"/>
      <c r="BE792"/>
      <c r="BF792"/>
      <c r="BG792"/>
      <c r="BH792"/>
      <c r="BI792"/>
      <c r="BJ792"/>
      <c r="BK792"/>
      <c r="BL792"/>
      <c r="BM792"/>
      <c r="BN792"/>
      <c r="BO792"/>
      <c r="BP792"/>
      <c r="BQ792"/>
      <c r="BR792"/>
      <c r="BS792"/>
      <c r="BT792"/>
      <c r="BU792"/>
      <c r="BV792"/>
      <c r="BW792"/>
      <c r="BX792"/>
      <c r="BY792"/>
      <c r="BZ792"/>
      <c r="CA792"/>
      <c r="CB792"/>
      <c r="CC792"/>
      <c r="CD792"/>
      <c r="CE792"/>
      <c r="CF792"/>
      <c r="CG792"/>
      <c r="CH792"/>
      <c r="CI792"/>
      <c r="CJ792"/>
      <c r="CK792"/>
      <c r="CL792"/>
      <c r="CM792"/>
      <c r="CN792"/>
      <c r="CO792"/>
      <c r="CP792"/>
      <c r="CQ792"/>
      <c r="CR792"/>
      <c r="CS792"/>
      <c r="CT792"/>
      <c r="CU792"/>
      <c r="CV792"/>
      <c r="CW792"/>
      <c r="CX792"/>
      <c r="CY792"/>
      <c r="CZ792"/>
      <c r="DA792"/>
      <c r="DB792"/>
      <c r="DC792"/>
      <c r="DD792"/>
      <c r="DE792"/>
      <c r="DF792"/>
      <c r="DG792"/>
      <c r="DH792"/>
      <c r="DI792"/>
      <c r="DJ792"/>
      <c r="DK792"/>
      <c r="DL792"/>
      <c r="DM792"/>
      <c r="DN792"/>
      <c r="DO792"/>
      <c r="DP792"/>
      <c r="DQ792"/>
      <c r="DR792"/>
      <c r="DS792"/>
      <c r="DT792"/>
      <c r="DU792"/>
      <c r="DV792"/>
      <c r="DW792"/>
      <c r="DX792"/>
      <c r="DY792"/>
      <c r="DZ792"/>
      <c r="EA792"/>
      <c r="EB792"/>
      <c r="EC792"/>
      <c r="ED792"/>
      <c r="EE792"/>
      <c r="EF792"/>
      <c r="EG792"/>
      <c r="EH792"/>
      <c r="EI792"/>
      <c r="EJ792"/>
      <c r="EK792"/>
      <c r="EL792"/>
      <c r="EM792"/>
      <c r="EN792"/>
      <c r="EO792"/>
      <c r="EP792"/>
      <c r="EQ792"/>
      <c r="ER792"/>
      <c r="ES792"/>
      <c r="ET792"/>
      <c r="EU792"/>
      <c r="EV792"/>
      <c r="EW792"/>
      <c r="EX792"/>
      <c r="EY792"/>
      <c r="EZ792"/>
      <c r="FA792"/>
      <c r="FB792"/>
      <c r="FC792"/>
      <c r="FD792"/>
      <c r="FE792"/>
      <c r="FF792"/>
      <c r="FG792"/>
      <c r="FH792"/>
      <c r="FI792"/>
      <c r="FJ792"/>
      <c r="FK792"/>
      <c r="FL792"/>
      <c r="FM792"/>
      <c r="FN792"/>
      <c r="FO792"/>
      <c r="FP792"/>
      <c r="FQ792"/>
      <c r="FR792"/>
      <c r="FS792"/>
      <c r="FT792"/>
      <c r="FU792"/>
      <c r="FV792"/>
      <c r="FW792"/>
      <c r="FX792"/>
      <c r="FY792"/>
      <c r="FZ792"/>
      <c r="GA792"/>
      <c r="GB792"/>
      <c r="GC792"/>
      <c r="GD792"/>
      <c r="GE792"/>
      <c r="GF792"/>
      <c r="GG792"/>
      <c r="GH792"/>
      <c r="GI792"/>
      <c r="GJ792"/>
      <c r="GK792"/>
      <c r="GL792"/>
      <c r="GM792"/>
      <c r="GN792"/>
      <c r="GO792"/>
      <c r="GP792"/>
      <c r="GQ792"/>
      <c r="GR792"/>
      <c r="GS792"/>
      <c r="GT792"/>
      <c r="GU792"/>
      <c r="GV792"/>
      <c r="GW792"/>
      <c r="GX792"/>
      <c r="GY792"/>
      <c r="GZ792"/>
      <c r="HA792"/>
      <c r="HB792"/>
      <c r="HC792"/>
      <c r="HD792"/>
      <c r="HE792"/>
      <c r="HF792"/>
      <c r="HG792"/>
      <c r="HH792"/>
      <c r="HI792"/>
      <c r="HJ792"/>
      <c r="HK792"/>
      <c r="HL792"/>
      <c r="HM792"/>
      <c r="HN792"/>
      <c r="HO792"/>
      <c r="HP792"/>
      <c r="HQ792"/>
      <c r="HR792"/>
      <c r="HS792"/>
      <c r="HT792"/>
      <c r="HU792"/>
      <c r="HV792"/>
      <c r="HW792"/>
      <c r="HX792"/>
      <c r="HY792"/>
      <c r="HZ792"/>
      <c r="IA792"/>
      <c r="IB792"/>
      <c r="IC792"/>
      <c r="ID792"/>
      <c r="IE792"/>
      <c r="IF792"/>
      <c r="IG792"/>
      <c r="IH792"/>
      <c r="II792"/>
      <c r="IJ792"/>
      <c r="IK792"/>
      <c r="IL792"/>
      <c r="IM792"/>
      <c r="IN792"/>
      <c r="IO792"/>
      <c r="IP792"/>
      <c r="IQ792"/>
      <c r="IR792"/>
      <c r="IS792"/>
      <c r="IT792"/>
      <c r="IU792"/>
      <c r="IV792"/>
    </row>
    <row r="793" spans="1:256" ht="12.75" hidden="1" customHeight="1" x14ac:dyDescent="0.2">
      <c r="A793" s="632"/>
      <c r="B793" s="639" t="s">
        <v>890</v>
      </c>
      <c r="C793" s="610"/>
      <c r="D793" s="562"/>
      <c r="E793" s="564"/>
      <c r="F793" s="580"/>
      <c r="G793" s="162">
        <v>0</v>
      </c>
      <c r="H793"/>
      <c r="I793"/>
      <c r="J793"/>
      <c r="K793"/>
      <c r="L793"/>
      <c r="M793"/>
      <c r="N793"/>
      <c r="O793"/>
      <c r="P793"/>
      <c r="Q793"/>
      <c r="R793"/>
      <c r="S793"/>
      <c r="T793"/>
      <c r="U793"/>
      <c r="V793"/>
      <c r="W793"/>
      <c r="X793"/>
      <c r="Y793"/>
      <c r="Z793"/>
      <c r="AA793"/>
      <c r="AB793"/>
      <c r="AC793"/>
      <c r="AD793"/>
      <c r="AE793"/>
      <c r="AF793"/>
      <c r="AG793"/>
      <c r="AH793"/>
      <c r="AI793"/>
      <c r="AJ793"/>
      <c r="AK793"/>
      <c r="AL793"/>
      <c r="AM793"/>
      <c r="AN793"/>
      <c r="AO793"/>
      <c r="AP793"/>
      <c r="AQ793"/>
      <c r="AR793"/>
      <c r="AS793"/>
      <c r="AT793"/>
      <c r="AU793"/>
      <c r="AV793"/>
      <c r="AW793"/>
      <c r="AX793"/>
      <c r="AY793"/>
      <c r="AZ793"/>
      <c r="BA793"/>
      <c r="BB793"/>
      <c r="BC793"/>
      <c r="BD793"/>
      <c r="BE793"/>
      <c r="BF793"/>
      <c r="BG793"/>
      <c r="BH793"/>
      <c r="BI793"/>
      <c r="BJ793"/>
      <c r="BK793"/>
      <c r="BL793"/>
      <c r="BM793"/>
      <c r="BN793"/>
      <c r="BO793"/>
      <c r="BP793"/>
      <c r="BQ793"/>
      <c r="BR793"/>
      <c r="BS793"/>
      <c r="BT793"/>
      <c r="BU793"/>
      <c r="BV793"/>
      <c r="BW793"/>
      <c r="BX793"/>
      <c r="BY793"/>
      <c r="BZ793"/>
      <c r="CA793"/>
      <c r="CB793"/>
      <c r="CC793"/>
      <c r="CD793"/>
      <c r="CE793"/>
      <c r="CF793"/>
      <c r="CG793"/>
      <c r="CH793"/>
      <c r="CI793"/>
      <c r="CJ793"/>
      <c r="CK793"/>
      <c r="CL793"/>
      <c r="CM793"/>
      <c r="CN793"/>
      <c r="CO793"/>
      <c r="CP793"/>
      <c r="CQ793"/>
      <c r="CR793"/>
      <c r="CS793"/>
      <c r="CT793"/>
      <c r="CU793"/>
      <c r="CV793"/>
      <c r="CW793"/>
      <c r="CX793"/>
      <c r="CY793"/>
      <c r="CZ793"/>
      <c r="DA793"/>
      <c r="DB793"/>
      <c r="DC793"/>
      <c r="DD793"/>
      <c r="DE793"/>
      <c r="DF793"/>
      <c r="DG793"/>
      <c r="DH793"/>
      <c r="DI793"/>
      <c r="DJ793"/>
      <c r="DK793"/>
      <c r="DL793"/>
      <c r="DM793"/>
      <c r="DN793"/>
      <c r="DO793"/>
      <c r="DP793"/>
      <c r="DQ793"/>
      <c r="DR793"/>
      <c r="DS793"/>
      <c r="DT793"/>
      <c r="DU793"/>
      <c r="DV793"/>
      <c r="DW793"/>
      <c r="DX793"/>
      <c r="DY793"/>
      <c r="DZ793"/>
      <c r="EA793"/>
      <c r="EB793"/>
      <c r="EC793"/>
      <c r="ED793"/>
      <c r="EE793"/>
      <c r="EF793"/>
      <c r="EG793"/>
      <c r="EH793"/>
      <c r="EI793"/>
      <c r="EJ793"/>
      <c r="EK793"/>
      <c r="EL793"/>
      <c r="EM793"/>
      <c r="EN793"/>
      <c r="EO793"/>
      <c r="EP793"/>
      <c r="EQ793"/>
      <c r="ER793"/>
      <c r="ES793"/>
      <c r="ET793"/>
      <c r="EU793"/>
      <c r="EV793"/>
      <c r="EW793"/>
      <c r="EX793"/>
      <c r="EY793"/>
      <c r="EZ793"/>
      <c r="FA793"/>
      <c r="FB793"/>
      <c r="FC793"/>
      <c r="FD793"/>
      <c r="FE793"/>
      <c r="FF793"/>
      <c r="FG793"/>
      <c r="FH793"/>
      <c r="FI793"/>
      <c r="FJ793"/>
      <c r="FK793"/>
      <c r="FL793"/>
      <c r="FM793"/>
      <c r="FN793"/>
      <c r="FO793"/>
      <c r="FP793"/>
      <c r="FQ793"/>
      <c r="FR793"/>
      <c r="FS793"/>
      <c r="FT793"/>
      <c r="FU793"/>
      <c r="FV793"/>
      <c r="FW793"/>
      <c r="FX793"/>
      <c r="FY793"/>
      <c r="FZ793"/>
      <c r="GA793"/>
      <c r="GB793"/>
      <c r="GC793"/>
      <c r="GD793"/>
      <c r="GE793"/>
      <c r="GF793"/>
      <c r="GG793"/>
      <c r="GH793"/>
      <c r="GI793"/>
      <c r="GJ793"/>
      <c r="GK793"/>
      <c r="GL793"/>
      <c r="GM793"/>
      <c r="GN793"/>
      <c r="GO793"/>
      <c r="GP793"/>
      <c r="GQ793"/>
      <c r="GR793"/>
      <c r="GS793"/>
      <c r="GT793"/>
      <c r="GU793"/>
      <c r="GV793"/>
      <c r="GW793"/>
      <c r="GX793"/>
      <c r="GY793"/>
      <c r="GZ793"/>
      <c r="HA793"/>
      <c r="HB793"/>
      <c r="HC793"/>
      <c r="HD793"/>
      <c r="HE793"/>
      <c r="HF793"/>
      <c r="HG793"/>
      <c r="HH793"/>
      <c r="HI793"/>
      <c r="HJ793"/>
      <c r="HK793"/>
      <c r="HL793"/>
      <c r="HM793"/>
      <c r="HN793"/>
      <c r="HO793"/>
      <c r="HP793"/>
      <c r="HQ793"/>
      <c r="HR793"/>
      <c r="HS793"/>
      <c r="HT793"/>
      <c r="HU793"/>
      <c r="HV793"/>
      <c r="HW793"/>
      <c r="HX793"/>
      <c r="HY793"/>
      <c r="HZ793"/>
      <c r="IA793"/>
      <c r="IB793"/>
      <c r="IC793"/>
      <c r="ID793"/>
      <c r="IE793"/>
      <c r="IF793"/>
      <c r="IG793"/>
      <c r="IH793"/>
      <c r="II793"/>
      <c r="IJ793"/>
      <c r="IK793"/>
      <c r="IL793"/>
      <c r="IM793"/>
      <c r="IN793"/>
      <c r="IO793"/>
      <c r="IP793"/>
      <c r="IQ793"/>
      <c r="IR793"/>
      <c r="IS793"/>
      <c r="IT793"/>
      <c r="IU793"/>
      <c r="IV793"/>
    </row>
    <row r="794" spans="1:256" ht="12.75" hidden="1" customHeight="1" x14ac:dyDescent="0.2">
      <c r="A794" s="632"/>
      <c r="B794" s="557" t="s">
        <v>891</v>
      </c>
      <c r="C794" s="610"/>
      <c r="D794" s="562"/>
      <c r="E794" s="564"/>
      <c r="F794" s="580"/>
      <c r="G794" s="127">
        <v>2000000</v>
      </c>
      <c r="H794"/>
      <c r="I794"/>
      <c r="J794"/>
      <c r="K794"/>
      <c r="L794"/>
      <c r="M794"/>
      <c r="N794"/>
      <c r="O794"/>
      <c r="P794"/>
      <c r="Q794"/>
      <c r="R794"/>
      <c r="S794"/>
      <c r="T794"/>
      <c r="U794"/>
      <c r="V794"/>
      <c r="W794"/>
      <c r="X794"/>
      <c r="Y794"/>
      <c r="Z794"/>
      <c r="AA794"/>
      <c r="AB794"/>
      <c r="AC794"/>
      <c r="AD794"/>
      <c r="AE794"/>
      <c r="AF794"/>
      <c r="AG794"/>
      <c r="AH794"/>
      <c r="AI794"/>
      <c r="AJ794"/>
      <c r="AK794"/>
      <c r="AL794"/>
      <c r="AM794"/>
      <c r="AN794"/>
      <c r="AO794"/>
      <c r="AP794"/>
      <c r="AQ794"/>
      <c r="AR794"/>
      <c r="AS794"/>
      <c r="AT794"/>
      <c r="AU794"/>
      <c r="AV794"/>
      <c r="AW794"/>
      <c r="AX794"/>
      <c r="AY794"/>
      <c r="AZ794"/>
      <c r="BA794"/>
      <c r="BB794"/>
      <c r="BC794"/>
      <c r="BD794"/>
      <c r="BE794"/>
      <c r="BF794"/>
      <c r="BG794"/>
      <c r="BH794"/>
      <c r="BI794"/>
      <c r="BJ794"/>
      <c r="BK794"/>
      <c r="BL794"/>
      <c r="BM794"/>
      <c r="BN794"/>
      <c r="BO794"/>
      <c r="BP794"/>
      <c r="BQ794"/>
      <c r="BR794"/>
      <c r="BS794"/>
      <c r="BT794"/>
      <c r="BU794"/>
      <c r="BV794"/>
      <c r="BW794"/>
      <c r="BX794"/>
      <c r="BY794"/>
      <c r="BZ794"/>
      <c r="CA794"/>
      <c r="CB794"/>
      <c r="CC794"/>
      <c r="CD794"/>
      <c r="CE794"/>
      <c r="CF794"/>
      <c r="CG794"/>
      <c r="CH794"/>
      <c r="CI794"/>
      <c r="CJ794"/>
      <c r="CK794"/>
      <c r="CL794"/>
      <c r="CM794"/>
      <c r="CN794"/>
      <c r="CO794"/>
      <c r="CP794"/>
      <c r="CQ794"/>
      <c r="CR794"/>
      <c r="CS794"/>
      <c r="CT794"/>
      <c r="CU794"/>
      <c r="CV794"/>
      <c r="CW794"/>
      <c r="CX794"/>
      <c r="CY794"/>
      <c r="CZ794"/>
      <c r="DA794"/>
      <c r="DB794"/>
      <c r="DC794"/>
      <c r="DD794"/>
      <c r="DE794"/>
      <c r="DF794"/>
      <c r="DG794"/>
      <c r="DH794"/>
      <c r="DI794"/>
      <c r="DJ794"/>
      <c r="DK794"/>
      <c r="DL794"/>
      <c r="DM794"/>
      <c r="DN794"/>
      <c r="DO794"/>
      <c r="DP794"/>
      <c r="DQ794"/>
      <c r="DR794"/>
      <c r="DS794"/>
      <c r="DT794"/>
      <c r="DU794"/>
      <c r="DV794"/>
      <c r="DW794"/>
      <c r="DX794"/>
      <c r="DY794"/>
      <c r="DZ794"/>
      <c r="EA794"/>
      <c r="EB794"/>
      <c r="EC794"/>
      <c r="ED794"/>
      <c r="EE794"/>
      <c r="EF794"/>
      <c r="EG794"/>
      <c r="EH794"/>
      <c r="EI794"/>
      <c r="EJ794"/>
      <c r="EK794"/>
      <c r="EL794"/>
      <c r="EM794"/>
      <c r="EN794"/>
      <c r="EO794"/>
      <c r="EP794"/>
      <c r="EQ794"/>
      <c r="ER794"/>
      <c r="ES794"/>
      <c r="ET794"/>
      <c r="EU794"/>
      <c r="EV794"/>
      <c r="EW794"/>
      <c r="EX794"/>
      <c r="EY794"/>
      <c r="EZ794"/>
      <c r="FA794"/>
      <c r="FB794"/>
      <c r="FC794"/>
      <c r="FD794"/>
      <c r="FE794"/>
      <c r="FF794"/>
      <c r="FG794"/>
      <c r="FH794"/>
      <c r="FI794"/>
      <c r="FJ794"/>
      <c r="FK794"/>
      <c r="FL794"/>
      <c r="FM794"/>
      <c r="FN794"/>
      <c r="FO794"/>
      <c r="FP794"/>
      <c r="FQ794"/>
      <c r="FR794"/>
      <c r="FS794"/>
      <c r="FT794"/>
      <c r="FU794"/>
      <c r="FV794"/>
      <c r="FW794"/>
      <c r="FX794"/>
      <c r="FY794"/>
      <c r="FZ794"/>
      <c r="GA794"/>
      <c r="GB794"/>
      <c r="GC794"/>
      <c r="GD794"/>
      <c r="GE794"/>
      <c r="GF794"/>
      <c r="GG794"/>
      <c r="GH794"/>
      <c r="GI794"/>
      <c r="GJ794"/>
      <c r="GK794"/>
      <c r="GL794"/>
      <c r="GM794"/>
      <c r="GN794"/>
      <c r="GO794"/>
      <c r="GP794"/>
      <c r="GQ794"/>
      <c r="GR794"/>
      <c r="GS794"/>
      <c r="GT794"/>
      <c r="GU794"/>
      <c r="GV794"/>
      <c r="GW794"/>
      <c r="GX794"/>
      <c r="GY794"/>
      <c r="GZ794"/>
      <c r="HA794"/>
      <c r="HB794"/>
      <c r="HC794"/>
      <c r="HD794"/>
      <c r="HE794"/>
      <c r="HF794"/>
      <c r="HG794"/>
      <c r="HH794"/>
      <c r="HI794"/>
      <c r="HJ794"/>
      <c r="HK794"/>
      <c r="HL794"/>
      <c r="HM794"/>
      <c r="HN794"/>
      <c r="HO794"/>
      <c r="HP794"/>
      <c r="HQ794"/>
      <c r="HR794"/>
      <c r="HS794"/>
      <c r="HT794"/>
      <c r="HU794"/>
      <c r="HV794"/>
      <c r="HW794"/>
      <c r="HX794"/>
      <c r="HY794"/>
      <c r="HZ794"/>
      <c r="IA794"/>
      <c r="IB794"/>
      <c r="IC794"/>
      <c r="ID794"/>
      <c r="IE794"/>
      <c r="IF794"/>
      <c r="IG794"/>
      <c r="IH794"/>
      <c r="II794"/>
      <c r="IJ794"/>
      <c r="IK794"/>
      <c r="IL794"/>
      <c r="IM794"/>
      <c r="IN794"/>
      <c r="IO794"/>
      <c r="IP794"/>
      <c r="IQ794"/>
      <c r="IR794"/>
      <c r="IS794"/>
      <c r="IT794"/>
      <c r="IU794"/>
      <c r="IV794"/>
    </row>
    <row r="795" spans="1:256" ht="12.75" hidden="1" customHeight="1" x14ac:dyDescent="0.2">
      <c r="A795" s="632"/>
      <c r="B795" s="557" t="s">
        <v>892</v>
      </c>
      <c r="C795" s="610"/>
      <c r="D795" s="562"/>
      <c r="E795" s="564"/>
      <c r="F795" s="580"/>
      <c r="G795" s="162">
        <v>700000</v>
      </c>
      <c r="H795"/>
      <c r="I795"/>
      <c r="J795"/>
      <c r="K795"/>
      <c r="L795"/>
      <c r="M795"/>
      <c r="N795"/>
      <c r="O795"/>
      <c r="P795"/>
      <c r="Q795"/>
      <c r="R795"/>
      <c r="S795"/>
      <c r="T795"/>
      <c r="U795"/>
      <c r="V795"/>
      <c r="W795"/>
      <c r="X795"/>
      <c r="Y795"/>
      <c r="Z795"/>
      <c r="AA795"/>
      <c r="AB795"/>
      <c r="AC795"/>
      <c r="AD795"/>
      <c r="AE795"/>
      <c r="AF795"/>
      <c r="AG795"/>
      <c r="AH795"/>
      <c r="AI795"/>
      <c r="AJ795"/>
      <c r="AK795"/>
      <c r="AL795"/>
      <c r="AM795"/>
      <c r="AN795"/>
      <c r="AO795"/>
      <c r="AP795"/>
      <c r="AQ795"/>
      <c r="AR795"/>
      <c r="AS795"/>
      <c r="AT795"/>
      <c r="AU795"/>
      <c r="AV795"/>
      <c r="AW795"/>
      <c r="AX795"/>
      <c r="AY795"/>
      <c r="AZ795"/>
      <c r="BA795"/>
      <c r="BB795"/>
      <c r="BC795"/>
      <c r="BD795"/>
      <c r="BE795"/>
      <c r="BF795"/>
      <c r="BG795"/>
      <c r="BH795"/>
      <c r="BI795"/>
      <c r="BJ795"/>
      <c r="BK795"/>
      <c r="BL795"/>
      <c r="BM795"/>
      <c r="BN795"/>
      <c r="BO795"/>
      <c r="BP795"/>
      <c r="BQ795"/>
      <c r="BR795"/>
      <c r="BS795"/>
      <c r="BT795"/>
      <c r="BU795"/>
      <c r="BV795"/>
      <c r="BW795"/>
      <c r="BX795"/>
      <c r="BY795"/>
      <c r="BZ795"/>
      <c r="CA795"/>
      <c r="CB795"/>
      <c r="CC795"/>
      <c r="CD795"/>
      <c r="CE795"/>
      <c r="CF795"/>
      <c r="CG795"/>
      <c r="CH795"/>
      <c r="CI795"/>
      <c r="CJ795"/>
      <c r="CK795"/>
      <c r="CL795"/>
      <c r="CM795"/>
      <c r="CN795"/>
      <c r="CO795"/>
      <c r="CP795"/>
      <c r="CQ795"/>
      <c r="CR795"/>
      <c r="CS795"/>
      <c r="CT795"/>
      <c r="CU795"/>
      <c r="CV795"/>
      <c r="CW795"/>
      <c r="CX795"/>
      <c r="CY795"/>
      <c r="CZ795"/>
      <c r="DA795"/>
      <c r="DB795"/>
      <c r="DC795"/>
      <c r="DD795"/>
      <c r="DE795"/>
      <c r="DF795"/>
      <c r="DG795"/>
      <c r="DH795"/>
      <c r="DI795"/>
      <c r="DJ795"/>
      <c r="DK795"/>
      <c r="DL795"/>
      <c r="DM795"/>
      <c r="DN795"/>
      <c r="DO795"/>
      <c r="DP795"/>
      <c r="DQ795"/>
      <c r="DR795"/>
      <c r="DS795"/>
      <c r="DT795"/>
      <c r="DU795"/>
      <c r="DV795"/>
      <c r="DW795"/>
      <c r="DX795"/>
      <c r="DY795"/>
      <c r="DZ795"/>
      <c r="EA795"/>
      <c r="EB795"/>
      <c r="EC795"/>
      <c r="ED795"/>
      <c r="EE795"/>
      <c r="EF795"/>
      <c r="EG795"/>
      <c r="EH795"/>
      <c r="EI795"/>
      <c r="EJ795"/>
      <c r="EK795"/>
      <c r="EL795"/>
      <c r="EM795"/>
      <c r="EN795"/>
      <c r="EO795"/>
      <c r="EP795"/>
      <c r="EQ795"/>
      <c r="ER795"/>
      <c r="ES795"/>
      <c r="ET795"/>
      <c r="EU795"/>
      <c r="EV795"/>
      <c r="EW795"/>
      <c r="EX795"/>
      <c r="EY795"/>
      <c r="EZ795"/>
      <c r="FA795"/>
      <c r="FB795"/>
      <c r="FC795"/>
      <c r="FD795"/>
      <c r="FE795"/>
      <c r="FF795"/>
      <c r="FG795"/>
      <c r="FH795"/>
      <c r="FI795"/>
      <c r="FJ795"/>
      <c r="FK795"/>
      <c r="FL795"/>
      <c r="FM795"/>
      <c r="FN795"/>
      <c r="FO795"/>
      <c r="FP795"/>
      <c r="FQ795"/>
      <c r="FR795"/>
      <c r="FS795"/>
      <c r="FT795"/>
      <c r="FU795"/>
      <c r="FV795"/>
      <c r="FW795"/>
      <c r="FX795"/>
      <c r="FY795"/>
      <c r="FZ795"/>
      <c r="GA795"/>
      <c r="GB795"/>
      <c r="GC795"/>
      <c r="GD795"/>
      <c r="GE795"/>
      <c r="GF795"/>
      <c r="GG795"/>
      <c r="GH795"/>
      <c r="GI795"/>
      <c r="GJ795"/>
      <c r="GK795"/>
      <c r="GL795"/>
      <c r="GM795"/>
      <c r="GN795"/>
      <c r="GO795"/>
      <c r="GP795"/>
      <c r="GQ795"/>
      <c r="GR795"/>
      <c r="GS795"/>
      <c r="GT795"/>
      <c r="GU795"/>
      <c r="GV795"/>
      <c r="GW795"/>
      <c r="GX795"/>
      <c r="GY795"/>
      <c r="GZ795"/>
      <c r="HA795"/>
      <c r="HB795"/>
      <c r="HC795"/>
      <c r="HD795"/>
      <c r="HE795"/>
      <c r="HF795"/>
      <c r="HG795"/>
      <c r="HH795"/>
      <c r="HI795"/>
      <c r="HJ795"/>
      <c r="HK795"/>
      <c r="HL795"/>
      <c r="HM795"/>
      <c r="HN795"/>
      <c r="HO795"/>
      <c r="HP795"/>
      <c r="HQ795"/>
      <c r="HR795"/>
      <c r="HS795"/>
      <c r="HT795"/>
      <c r="HU795"/>
      <c r="HV795"/>
      <c r="HW795"/>
      <c r="HX795"/>
      <c r="HY795"/>
      <c r="HZ795"/>
      <c r="IA795"/>
      <c r="IB795"/>
      <c r="IC795"/>
      <c r="ID795"/>
      <c r="IE795"/>
      <c r="IF795"/>
      <c r="IG795"/>
      <c r="IH795"/>
      <c r="II795"/>
      <c r="IJ795"/>
      <c r="IK795"/>
      <c r="IL795"/>
      <c r="IM795"/>
      <c r="IN795"/>
      <c r="IO795"/>
      <c r="IP795"/>
      <c r="IQ795"/>
      <c r="IR795"/>
      <c r="IS795"/>
      <c r="IT795"/>
      <c r="IU795"/>
      <c r="IV795"/>
    </row>
    <row r="796" spans="1:256" ht="12.75" hidden="1" customHeight="1" x14ac:dyDescent="0.2">
      <c r="A796" s="634"/>
      <c r="B796" s="640" t="s">
        <v>893</v>
      </c>
      <c r="C796" s="610">
        <v>30000</v>
      </c>
      <c r="D796" s="603">
        <v>30000</v>
      </c>
      <c r="E796" s="604">
        <v>30000</v>
      </c>
      <c r="F796" s="633">
        <v>0</v>
      </c>
      <c r="G796" s="162">
        <v>30000</v>
      </c>
      <c r="H796"/>
      <c r="I796"/>
      <c r="J796"/>
      <c r="K796"/>
      <c r="L796"/>
      <c r="M796"/>
      <c r="N796"/>
      <c r="O796"/>
      <c r="P796"/>
      <c r="Q796"/>
      <c r="R796"/>
      <c r="S796"/>
      <c r="T796"/>
      <c r="U796"/>
      <c r="V796"/>
      <c r="W796"/>
      <c r="X796"/>
      <c r="Y796"/>
      <c r="Z796"/>
      <c r="AA796"/>
      <c r="AB796"/>
      <c r="AC796"/>
      <c r="AD796"/>
      <c r="AE796"/>
      <c r="AF796"/>
      <c r="AG796"/>
      <c r="AH796"/>
      <c r="AI796"/>
      <c r="AJ796"/>
      <c r="AK796"/>
      <c r="AL796"/>
      <c r="AM796"/>
      <c r="AN796"/>
      <c r="AO796"/>
      <c r="AP796"/>
      <c r="AQ796"/>
      <c r="AR796"/>
      <c r="AS796"/>
      <c r="AT796"/>
      <c r="AU796"/>
      <c r="AV796"/>
      <c r="AW796"/>
      <c r="AX796"/>
      <c r="AY796"/>
      <c r="AZ796"/>
      <c r="BA796"/>
      <c r="BB796"/>
      <c r="BC796"/>
      <c r="BD796"/>
      <c r="BE796"/>
      <c r="BF796"/>
      <c r="BG796"/>
      <c r="BH796"/>
      <c r="BI796"/>
      <c r="BJ796"/>
      <c r="BK796"/>
      <c r="BL796"/>
      <c r="BM796"/>
      <c r="BN796"/>
      <c r="BO796"/>
      <c r="BP796"/>
      <c r="BQ796"/>
      <c r="BR796"/>
      <c r="BS796"/>
      <c r="BT796"/>
      <c r="BU796"/>
      <c r="BV796"/>
      <c r="BW796"/>
      <c r="BX796"/>
      <c r="BY796"/>
      <c r="BZ796"/>
      <c r="CA796"/>
      <c r="CB796"/>
      <c r="CC796"/>
      <c r="CD796"/>
      <c r="CE796"/>
      <c r="CF796"/>
      <c r="CG796"/>
      <c r="CH796"/>
      <c r="CI796"/>
      <c r="CJ796"/>
      <c r="CK796"/>
      <c r="CL796"/>
      <c r="CM796"/>
      <c r="CN796"/>
      <c r="CO796"/>
      <c r="CP796"/>
      <c r="CQ796"/>
      <c r="CR796"/>
      <c r="CS796"/>
      <c r="CT796"/>
      <c r="CU796"/>
      <c r="CV796"/>
      <c r="CW796"/>
      <c r="CX796"/>
      <c r="CY796"/>
      <c r="CZ796"/>
      <c r="DA796"/>
      <c r="DB796"/>
      <c r="DC796"/>
      <c r="DD796"/>
      <c r="DE796"/>
      <c r="DF796"/>
      <c r="DG796"/>
      <c r="DH796"/>
      <c r="DI796"/>
      <c r="DJ796"/>
      <c r="DK796"/>
      <c r="DL796"/>
      <c r="DM796"/>
      <c r="DN796"/>
      <c r="DO796"/>
      <c r="DP796"/>
      <c r="DQ796"/>
      <c r="DR796"/>
      <c r="DS796"/>
      <c r="DT796"/>
      <c r="DU796"/>
      <c r="DV796"/>
      <c r="DW796"/>
      <c r="DX796"/>
      <c r="DY796"/>
      <c r="DZ796"/>
      <c r="EA796"/>
      <c r="EB796"/>
      <c r="EC796"/>
      <c r="ED796"/>
      <c r="EE796"/>
      <c r="EF796"/>
      <c r="EG796"/>
      <c r="EH796"/>
      <c r="EI796"/>
      <c r="EJ796"/>
      <c r="EK796"/>
      <c r="EL796"/>
      <c r="EM796"/>
      <c r="EN796"/>
      <c r="EO796"/>
      <c r="EP796"/>
      <c r="EQ796"/>
      <c r="ER796"/>
      <c r="ES796"/>
      <c r="ET796"/>
      <c r="EU796"/>
      <c r="EV796"/>
      <c r="EW796"/>
      <c r="EX796"/>
      <c r="EY796"/>
      <c r="EZ796"/>
      <c r="FA796"/>
      <c r="FB796"/>
      <c r="FC796"/>
      <c r="FD796"/>
      <c r="FE796"/>
      <c r="FF796"/>
      <c r="FG796"/>
      <c r="FH796"/>
      <c r="FI796"/>
      <c r="FJ796"/>
      <c r="FK796"/>
      <c r="FL796"/>
      <c r="FM796"/>
      <c r="FN796"/>
      <c r="FO796"/>
      <c r="FP796"/>
      <c r="FQ796"/>
      <c r="FR796"/>
      <c r="FS796"/>
      <c r="FT796"/>
      <c r="FU796"/>
      <c r="FV796"/>
      <c r="FW796"/>
      <c r="FX796"/>
      <c r="FY796"/>
      <c r="FZ796"/>
      <c r="GA796"/>
      <c r="GB796"/>
      <c r="GC796"/>
      <c r="GD796"/>
      <c r="GE796"/>
      <c r="GF796"/>
      <c r="GG796"/>
      <c r="GH796"/>
      <c r="GI796"/>
      <c r="GJ796"/>
      <c r="GK796"/>
      <c r="GL796"/>
      <c r="GM796"/>
      <c r="GN796"/>
      <c r="GO796"/>
      <c r="GP796"/>
      <c r="GQ796"/>
      <c r="GR796"/>
      <c r="GS796"/>
      <c r="GT796"/>
      <c r="GU796"/>
      <c r="GV796"/>
      <c r="GW796"/>
      <c r="GX796"/>
      <c r="GY796"/>
      <c r="GZ796"/>
      <c r="HA796"/>
      <c r="HB796"/>
      <c r="HC796"/>
      <c r="HD796"/>
      <c r="HE796"/>
      <c r="HF796"/>
      <c r="HG796"/>
      <c r="HH796"/>
      <c r="HI796"/>
      <c r="HJ796"/>
      <c r="HK796"/>
      <c r="HL796"/>
      <c r="HM796"/>
      <c r="HN796"/>
      <c r="HO796"/>
      <c r="HP796"/>
      <c r="HQ796"/>
      <c r="HR796"/>
      <c r="HS796"/>
      <c r="HT796"/>
      <c r="HU796"/>
      <c r="HV796"/>
      <c r="HW796"/>
      <c r="HX796"/>
      <c r="HY796"/>
      <c r="HZ796"/>
      <c r="IA796"/>
      <c r="IB796"/>
      <c r="IC796"/>
      <c r="ID796"/>
      <c r="IE796"/>
      <c r="IF796"/>
      <c r="IG796"/>
      <c r="IH796"/>
      <c r="II796"/>
      <c r="IJ796"/>
      <c r="IK796"/>
      <c r="IL796"/>
      <c r="IM796"/>
      <c r="IN796"/>
      <c r="IO796"/>
      <c r="IP796"/>
      <c r="IQ796"/>
      <c r="IR796"/>
      <c r="IS796"/>
      <c r="IT796"/>
      <c r="IU796"/>
      <c r="IV796"/>
    </row>
    <row r="797" spans="1:256" ht="12.75" hidden="1" customHeight="1" x14ac:dyDescent="0.2">
      <c r="A797" s="634"/>
      <c r="B797" s="640" t="s">
        <v>894</v>
      </c>
      <c r="C797" s="610">
        <v>50000</v>
      </c>
      <c r="D797" s="603">
        <v>50000</v>
      </c>
      <c r="E797" s="604">
        <v>50000</v>
      </c>
      <c r="F797" s="633">
        <v>1434</v>
      </c>
      <c r="G797" s="162">
        <v>50000</v>
      </c>
      <c r="H797"/>
      <c r="I797"/>
      <c r="J797"/>
      <c r="K797"/>
      <c r="L797"/>
      <c r="M797"/>
      <c r="N797"/>
      <c r="O797"/>
      <c r="P797"/>
      <c r="Q797"/>
      <c r="R797"/>
      <c r="S797"/>
      <c r="T797"/>
      <c r="U797"/>
      <c r="V797"/>
      <c r="W797"/>
      <c r="X797"/>
      <c r="Y797"/>
      <c r="Z797"/>
      <c r="AA797"/>
      <c r="AB797"/>
      <c r="AC797"/>
      <c r="AD797"/>
      <c r="AE797"/>
      <c r="AF797"/>
      <c r="AG797"/>
      <c r="AH797"/>
      <c r="AI797"/>
      <c r="AJ797"/>
      <c r="AK797"/>
      <c r="AL797"/>
      <c r="AM797"/>
      <c r="AN797"/>
      <c r="AO797"/>
      <c r="AP797"/>
      <c r="AQ797"/>
      <c r="AR797"/>
      <c r="AS797"/>
      <c r="AT797"/>
      <c r="AU797"/>
      <c r="AV797"/>
      <c r="AW797"/>
      <c r="AX797"/>
      <c r="AY797"/>
      <c r="AZ797"/>
      <c r="BA797"/>
      <c r="BB797"/>
      <c r="BC797"/>
      <c r="BD797"/>
      <c r="BE797"/>
      <c r="BF797"/>
      <c r="BG797"/>
      <c r="BH797"/>
      <c r="BI797"/>
      <c r="BJ797"/>
      <c r="BK797"/>
      <c r="BL797"/>
      <c r="BM797"/>
      <c r="BN797"/>
      <c r="BO797"/>
      <c r="BP797"/>
      <c r="BQ797"/>
      <c r="BR797"/>
      <c r="BS797"/>
      <c r="BT797"/>
      <c r="BU797"/>
      <c r="BV797"/>
      <c r="BW797"/>
      <c r="BX797"/>
      <c r="BY797"/>
      <c r="BZ797"/>
      <c r="CA797"/>
      <c r="CB797"/>
      <c r="CC797"/>
      <c r="CD797"/>
      <c r="CE797"/>
      <c r="CF797"/>
      <c r="CG797"/>
      <c r="CH797"/>
      <c r="CI797"/>
      <c r="CJ797"/>
      <c r="CK797"/>
      <c r="CL797"/>
      <c r="CM797"/>
      <c r="CN797"/>
      <c r="CO797"/>
      <c r="CP797"/>
      <c r="CQ797"/>
      <c r="CR797"/>
      <c r="CS797"/>
      <c r="CT797"/>
      <c r="CU797"/>
      <c r="CV797"/>
      <c r="CW797"/>
      <c r="CX797"/>
      <c r="CY797"/>
      <c r="CZ797"/>
      <c r="DA797"/>
      <c r="DB797"/>
      <c r="DC797"/>
      <c r="DD797"/>
      <c r="DE797"/>
      <c r="DF797"/>
      <c r="DG797"/>
      <c r="DH797"/>
      <c r="DI797"/>
      <c r="DJ797"/>
      <c r="DK797"/>
      <c r="DL797"/>
      <c r="DM797"/>
      <c r="DN797"/>
      <c r="DO797"/>
      <c r="DP797"/>
      <c r="DQ797"/>
      <c r="DR797"/>
      <c r="DS797"/>
      <c r="DT797"/>
      <c r="DU797"/>
      <c r="DV797"/>
      <c r="DW797"/>
      <c r="DX797"/>
      <c r="DY797"/>
      <c r="DZ797"/>
      <c r="EA797"/>
      <c r="EB797"/>
      <c r="EC797"/>
      <c r="ED797"/>
      <c r="EE797"/>
      <c r="EF797"/>
      <c r="EG797"/>
      <c r="EH797"/>
      <c r="EI797"/>
      <c r="EJ797"/>
      <c r="EK797"/>
      <c r="EL797"/>
      <c r="EM797"/>
      <c r="EN797"/>
      <c r="EO797"/>
      <c r="EP797"/>
      <c r="EQ797"/>
      <c r="ER797"/>
      <c r="ES797"/>
      <c r="ET797"/>
      <c r="EU797"/>
      <c r="EV797"/>
      <c r="EW797"/>
      <c r="EX797"/>
      <c r="EY797"/>
      <c r="EZ797"/>
      <c r="FA797"/>
      <c r="FB797"/>
      <c r="FC797"/>
      <c r="FD797"/>
      <c r="FE797"/>
      <c r="FF797"/>
      <c r="FG797"/>
      <c r="FH797"/>
      <c r="FI797"/>
      <c r="FJ797"/>
      <c r="FK797"/>
      <c r="FL797"/>
      <c r="FM797"/>
      <c r="FN797"/>
      <c r="FO797"/>
      <c r="FP797"/>
      <c r="FQ797"/>
      <c r="FR797"/>
      <c r="FS797"/>
      <c r="FT797"/>
      <c r="FU797"/>
      <c r="FV797"/>
      <c r="FW797"/>
      <c r="FX797"/>
      <c r="FY797"/>
      <c r="FZ797"/>
      <c r="GA797"/>
      <c r="GB797"/>
      <c r="GC797"/>
      <c r="GD797"/>
      <c r="GE797"/>
      <c r="GF797"/>
      <c r="GG797"/>
      <c r="GH797"/>
      <c r="GI797"/>
      <c r="GJ797"/>
      <c r="GK797"/>
      <c r="GL797"/>
      <c r="GM797"/>
      <c r="GN797"/>
      <c r="GO797"/>
      <c r="GP797"/>
      <c r="GQ797"/>
      <c r="GR797"/>
      <c r="GS797"/>
      <c r="GT797"/>
      <c r="GU797"/>
      <c r="GV797"/>
      <c r="GW797"/>
      <c r="GX797"/>
      <c r="GY797"/>
      <c r="GZ797"/>
      <c r="HA797"/>
      <c r="HB797"/>
      <c r="HC797"/>
      <c r="HD797"/>
      <c r="HE797"/>
      <c r="HF797"/>
      <c r="HG797"/>
      <c r="HH797"/>
      <c r="HI797"/>
      <c r="HJ797"/>
      <c r="HK797"/>
      <c r="HL797"/>
      <c r="HM797"/>
      <c r="HN797"/>
      <c r="HO797"/>
      <c r="HP797"/>
      <c r="HQ797"/>
      <c r="HR797"/>
      <c r="HS797"/>
      <c r="HT797"/>
      <c r="HU797"/>
      <c r="HV797"/>
      <c r="HW797"/>
      <c r="HX797"/>
      <c r="HY797"/>
      <c r="HZ797"/>
      <c r="IA797"/>
      <c r="IB797"/>
      <c r="IC797"/>
      <c r="ID797"/>
      <c r="IE797"/>
      <c r="IF797"/>
      <c r="IG797"/>
      <c r="IH797"/>
      <c r="II797"/>
      <c r="IJ797"/>
      <c r="IK797"/>
      <c r="IL797"/>
      <c r="IM797"/>
      <c r="IN797"/>
      <c r="IO797"/>
      <c r="IP797"/>
      <c r="IQ797"/>
      <c r="IR797"/>
      <c r="IS797"/>
      <c r="IT797"/>
      <c r="IU797"/>
      <c r="IV797"/>
    </row>
    <row r="798" spans="1:256" ht="12.75" hidden="1" customHeight="1" x14ac:dyDescent="0.2">
      <c r="A798" s="634"/>
      <c r="B798" s="640" t="s">
        <v>895</v>
      </c>
      <c r="C798" s="610">
        <f>SUM(C799:C802)</f>
        <v>6270000</v>
      </c>
      <c r="D798" s="603">
        <f>SUM(D799:D802)</f>
        <v>6270000</v>
      </c>
      <c r="E798" s="603">
        <f>SUM(E799:E802)</f>
        <v>5100000</v>
      </c>
      <c r="F798" s="633">
        <f>SUM(F799:F802)</f>
        <v>2588757.64</v>
      </c>
      <c r="G798" s="162">
        <f>SUM(G799:G802)</f>
        <v>5100000</v>
      </c>
      <c r="H798"/>
      <c r="I798"/>
      <c r="J798"/>
      <c r="K798"/>
      <c r="L798"/>
      <c r="M798"/>
      <c r="N798"/>
      <c r="O798"/>
      <c r="P798"/>
      <c r="Q798"/>
      <c r="R798"/>
      <c r="S798"/>
      <c r="T798"/>
      <c r="U798"/>
      <c r="V798"/>
      <c r="W798"/>
      <c r="X798"/>
      <c r="Y798"/>
      <c r="Z798"/>
      <c r="AA798"/>
      <c r="AB798"/>
      <c r="AC798"/>
      <c r="AD798"/>
      <c r="AE798"/>
      <c r="AF798"/>
      <c r="AG798"/>
      <c r="AH798"/>
      <c r="AI798"/>
      <c r="AJ798"/>
      <c r="AK798"/>
      <c r="AL798"/>
      <c r="AM798"/>
      <c r="AN798"/>
      <c r="AO798"/>
      <c r="AP798"/>
      <c r="AQ798"/>
      <c r="AR798"/>
      <c r="AS798"/>
      <c r="AT798"/>
      <c r="AU798"/>
      <c r="AV798"/>
      <c r="AW798"/>
      <c r="AX798"/>
      <c r="AY798"/>
      <c r="AZ798"/>
      <c r="BA798"/>
      <c r="BB798"/>
      <c r="BC798"/>
      <c r="BD798"/>
      <c r="BE798"/>
      <c r="BF798"/>
      <c r="BG798"/>
      <c r="BH798"/>
      <c r="BI798"/>
      <c r="BJ798"/>
      <c r="BK798"/>
      <c r="BL798"/>
      <c r="BM798"/>
      <c r="BN798"/>
      <c r="BO798"/>
      <c r="BP798"/>
      <c r="BQ798"/>
      <c r="BR798"/>
      <c r="BS798"/>
      <c r="BT798"/>
      <c r="BU798"/>
      <c r="BV798"/>
      <c r="BW798"/>
      <c r="BX798"/>
      <c r="BY798"/>
      <c r="BZ798"/>
      <c r="CA798"/>
      <c r="CB798"/>
      <c r="CC798"/>
      <c r="CD798"/>
      <c r="CE798"/>
      <c r="CF798"/>
      <c r="CG798"/>
      <c r="CH798"/>
      <c r="CI798"/>
      <c r="CJ798"/>
      <c r="CK798"/>
      <c r="CL798"/>
      <c r="CM798"/>
      <c r="CN798"/>
      <c r="CO798"/>
      <c r="CP798"/>
      <c r="CQ798"/>
      <c r="CR798"/>
      <c r="CS798"/>
      <c r="CT798"/>
      <c r="CU798"/>
      <c r="CV798"/>
      <c r="CW798"/>
      <c r="CX798"/>
      <c r="CY798"/>
      <c r="CZ798"/>
      <c r="DA798"/>
      <c r="DB798"/>
      <c r="DC798"/>
      <c r="DD798"/>
      <c r="DE798"/>
      <c r="DF798"/>
      <c r="DG798"/>
      <c r="DH798"/>
      <c r="DI798"/>
      <c r="DJ798"/>
      <c r="DK798"/>
      <c r="DL798"/>
      <c r="DM798"/>
      <c r="DN798"/>
      <c r="DO798"/>
      <c r="DP798"/>
      <c r="DQ798"/>
      <c r="DR798"/>
      <c r="DS798"/>
      <c r="DT798"/>
      <c r="DU798"/>
      <c r="DV798"/>
      <c r="DW798"/>
      <c r="DX798"/>
      <c r="DY798"/>
      <c r="DZ798"/>
      <c r="EA798"/>
      <c r="EB798"/>
      <c r="EC798"/>
      <c r="ED798"/>
      <c r="EE798"/>
      <c r="EF798"/>
      <c r="EG798"/>
      <c r="EH798"/>
      <c r="EI798"/>
      <c r="EJ798"/>
      <c r="EK798"/>
      <c r="EL798"/>
      <c r="EM798"/>
      <c r="EN798"/>
      <c r="EO798"/>
      <c r="EP798"/>
      <c r="EQ798"/>
      <c r="ER798"/>
      <c r="ES798"/>
      <c r="ET798"/>
      <c r="EU798"/>
      <c r="EV798"/>
      <c r="EW798"/>
      <c r="EX798"/>
      <c r="EY798"/>
      <c r="EZ798"/>
      <c r="FA798"/>
      <c r="FB798"/>
      <c r="FC798"/>
      <c r="FD798"/>
      <c r="FE798"/>
      <c r="FF798"/>
      <c r="FG798"/>
      <c r="FH798"/>
      <c r="FI798"/>
      <c r="FJ798"/>
      <c r="FK798"/>
      <c r="FL798"/>
      <c r="FM798"/>
      <c r="FN798"/>
      <c r="FO798"/>
      <c r="FP798"/>
      <c r="FQ798"/>
      <c r="FR798"/>
      <c r="FS798"/>
      <c r="FT798"/>
      <c r="FU798"/>
      <c r="FV798"/>
      <c r="FW798"/>
      <c r="FX798"/>
      <c r="FY798"/>
      <c r="FZ798"/>
      <c r="GA798"/>
      <c r="GB798"/>
      <c r="GC798"/>
      <c r="GD798"/>
      <c r="GE798"/>
      <c r="GF798"/>
      <c r="GG798"/>
      <c r="GH798"/>
      <c r="GI798"/>
      <c r="GJ798"/>
      <c r="GK798"/>
      <c r="GL798"/>
      <c r="GM798"/>
      <c r="GN798"/>
      <c r="GO798"/>
      <c r="GP798"/>
      <c r="GQ798"/>
      <c r="GR798"/>
      <c r="GS798"/>
      <c r="GT798"/>
      <c r="GU798"/>
      <c r="GV798"/>
      <c r="GW798"/>
      <c r="GX798"/>
      <c r="GY798"/>
      <c r="GZ798"/>
      <c r="HA798"/>
      <c r="HB798"/>
      <c r="HC798"/>
      <c r="HD798"/>
      <c r="HE798"/>
      <c r="HF798"/>
      <c r="HG798"/>
      <c r="HH798"/>
      <c r="HI798"/>
      <c r="HJ798"/>
      <c r="HK798"/>
      <c r="HL798"/>
      <c r="HM798"/>
      <c r="HN798"/>
      <c r="HO798"/>
      <c r="HP798"/>
      <c r="HQ798"/>
      <c r="HR798"/>
      <c r="HS798"/>
      <c r="HT798"/>
      <c r="HU798"/>
      <c r="HV798"/>
      <c r="HW798"/>
      <c r="HX798"/>
      <c r="HY798"/>
      <c r="HZ798"/>
      <c r="IA798"/>
      <c r="IB798"/>
      <c r="IC798"/>
      <c r="ID798"/>
      <c r="IE798"/>
      <c r="IF798"/>
      <c r="IG798"/>
      <c r="IH798"/>
      <c r="II798"/>
      <c r="IJ798"/>
      <c r="IK798"/>
      <c r="IL798"/>
      <c r="IM798"/>
      <c r="IN798"/>
      <c r="IO798"/>
      <c r="IP798"/>
      <c r="IQ798"/>
      <c r="IR798"/>
      <c r="IS798"/>
      <c r="IT798"/>
      <c r="IU798"/>
      <c r="IV798"/>
    </row>
    <row r="799" spans="1:256" ht="12.75" hidden="1" customHeight="1" x14ac:dyDescent="0.2">
      <c r="A799" s="551"/>
      <c r="B799" s="627" t="s">
        <v>896</v>
      </c>
      <c r="C799" s="610">
        <v>970000</v>
      </c>
      <c r="D799" s="562">
        <v>970000</v>
      </c>
      <c r="E799" s="564">
        <v>800000</v>
      </c>
      <c r="F799" s="611">
        <v>389232.65</v>
      </c>
      <c r="G799" s="560">
        <v>800000</v>
      </c>
      <c r="H799"/>
      <c r="I799"/>
      <c r="J799"/>
      <c r="K799"/>
      <c r="L799"/>
      <c r="M799"/>
      <c r="N799"/>
      <c r="O799"/>
      <c r="P799"/>
      <c r="Q799"/>
      <c r="R799"/>
      <c r="S799"/>
      <c r="T799"/>
      <c r="U799"/>
      <c r="V799"/>
      <c r="W799"/>
      <c r="X799"/>
      <c r="Y799"/>
      <c r="Z799"/>
      <c r="AA799"/>
      <c r="AB799"/>
      <c r="AC799"/>
      <c r="AD799"/>
      <c r="AE799"/>
      <c r="AF799"/>
      <c r="AG799"/>
      <c r="AH799"/>
      <c r="AI799"/>
      <c r="AJ799"/>
      <c r="AK799"/>
      <c r="AL799"/>
      <c r="AM799"/>
      <c r="AN799"/>
      <c r="AO799"/>
      <c r="AP799"/>
      <c r="AQ799"/>
      <c r="AR799"/>
      <c r="AS799"/>
      <c r="AT799"/>
      <c r="AU799"/>
      <c r="AV799"/>
      <c r="AW799"/>
      <c r="AX799"/>
      <c r="AY799"/>
      <c r="AZ799"/>
      <c r="BA799"/>
      <c r="BB799"/>
      <c r="BC799"/>
      <c r="BD799"/>
      <c r="BE799"/>
      <c r="BF799"/>
      <c r="BG799"/>
      <c r="BH799"/>
      <c r="BI799"/>
      <c r="BJ799"/>
      <c r="BK799"/>
      <c r="BL799"/>
      <c r="BM799"/>
      <c r="BN799"/>
      <c r="BO799"/>
      <c r="BP799"/>
      <c r="BQ799"/>
      <c r="BR799"/>
      <c r="BS799"/>
      <c r="BT799"/>
      <c r="BU799"/>
      <c r="BV799"/>
      <c r="BW799"/>
      <c r="BX799"/>
      <c r="BY799"/>
      <c r="BZ799"/>
      <c r="CA799"/>
      <c r="CB799"/>
      <c r="CC799"/>
      <c r="CD799"/>
      <c r="CE799"/>
      <c r="CF799"/>
      <c r="CG799"/>
      <c r="CH799"/>
      <c r="CI799"/>
      <c r="CJ799"/>
      <c r="CK799"/>
      <c r="CL799"/>
      <c r="CM799"/>
      <c r="CN799"/>
      <c r="CO799"/>
      <c r="CP799"/>
      <c r="CQ799"/>
      <c r="CR799"/>
      <c r="CS799"/>
      <c r="CT799"/>
      <c r="CU799"/>
      <c r="CV799"/>
      <c r="CW799"/>
      <c r="CX799"/>
      <c r="CY799"/>
      <c r="CZ799"/>
      <c r="DA799"/>
      <c r="DB799"/>
      <c r="DC799"/>
      <c r="DD799"/>
      <c r="DE799"/>
      <c r="DF799"/>
      <c r="DG799"/>
      <c r="DH799"/>
      <c r="DI799"/>
      <c r="DJ799"/>
      <c r="DK799"/>
      <c r="DL799"/>
      <c r="DM799"/>
      <c r="DN799"/>
      <c r="DO799"/>
      <c r="DP799"/>
      <c r="DQ799"/>
      <c r="DR799"/>
      <c r="DS799"/>
      <c r="DT799"/>
      <c r="DU799"/>
      <c r="DV799"/>
      <c r="DW799"/>
      <c r="DX799"/>
      <c r="DY799"/>
      <c r="DZ799"/>
      <c r="EA799"/>
      <c r="EB799"/>
      <c r="EC799"/>
      <c r="ED799"/>
      <c r="EE799"/>
      <c r="EF799"/>
      <c r="EG799"/>
      <c r="EH799"/>
      <c r="EI799"/>
      <c r="EJ799"/>
      <c r="EK799"/>
      <c r="EL799"/>
      <c r="EM799"/>
      <c r="EN799"/>
      <c r="EO799"/>
      <c r="EP799"/>
      <c r="EQ799"/>
      <c r="ER799"/>
      <c r="ES799"/>
      <c r="ET799"/>
      <c r="EU799"/>
      <c r="EV799"/>
      <c r="EW799"/>
      <c r="EX799"/>
      <c r="EY799"/>
      <c r="EZ799"/>
      <c r="FA799"/>
      <c r="FB799"/>
      <c r="FC799"/>
      <c r="FD799"/>
      <c r="FE799"/>
      <c r="FF799"/>
      <c r="FG799"/>
      <c r="FH799"/>
      <c r="FI799"/>
      <c r="FJ799"/>
      <c r="FK799"/>
      <c r="FL799"/>
      <c r="FM799"/>
      <c r="FN799"/>
      <c r="FO799"/>
      <c r="FP799"/>
      <c r="FQ799"/>
      <c r="FR799"/>
      <c r="FS799"/>
      <c r="FT799"/>
      <c r="FU799"/>
      <c r="FV799"/>
      <c r="FW799"/>
      <c r="FX799"/>
      <c r="FY799"/>
      <c r="FZ799"/>
      <c r="GA799"/>
      <c r="GB799"/>
      <c r="GC799"/>
      <c r="GD799"/>
      <c r="GE799"/>
      <c r="GF799"/>
      <c r="GG799"/>
      <c r="GH799"/>
      <c r="GI799"/>
      <c r="GJ799"/>
      <c r="GK799"/>
      <c r="GL799"/>
      <c r="GM799"/>
      <c r="GN799"/>
      <c r="GO799"/>
      <c r="GP799"/>
      <c r="GQ799"/>
      <c r="GR799"/>
      <c r="GS799"/>
      <c r="GT799"/>
      <c r="GU799"/>
      <c r="GV799"/>
      <c r="GW799"/>
      <c r="GX799"/>
      <c r="GY799"/>
      <c r="GZ799"/>
      <c r="HA799"/>
      <c r="HB799"/>
      <c r="HC799"/>
      <c r="HD799"/>
      <c r="HE799"/>
      <c r="HF799"/>
      <c r="HG799"/>
      <c r="HH799"/>
      <c r="HI799"/>
      <c r="HJ799"/>
      <c r="HK799"/>
      <c r="HL799"/>
      <c r="HM799"/>
      <c r="HN799"/>
      <c r="HO799"/>
      <c r="HP799"/>
      <c r="HQ799"/>
      <c r="HR799"/>
      <c r="HS799"/>
      <c r="HT799"/>
      <c r="HU799"/>
      <c r="HV799"/>
      <c r="HW799"/>
      <c r="HX799"/>
      <c r="HY799"/>
      <c r="HZ799"/>
      <c r="IA799"/>
      <c r="IB799"/>
      <c r="IC799"/>
      <c r="ID799"/>
      <c r="IE799"/>
      <c r="IF799"/>
      <c r="IG799"/>
      <c r="IH799"/>
      <c r="II799"/>
      <c r="IJ799"/>
      <c r="IK799"/>
      <c r="IL799"/>
      <c r="IM799"/>
      <c r="IN799"/>
      <c r="IO799"/>
      <c r="IP799"/>
      <c r="IQ799"/>
      <c r="IR799"/>
      <c r="IS799"/>
      <c r="IT799"/>
      <c r="IU799"/>
      <c r="IV799"/>
    </row>
    <row r="800" spans="1:256" ht="12.75" hidden="1" customHeight="1" x14ac:dyDescent="0.2">
      <c r="A800" s="551"/>
      <c r="B800" s="627" t="s">
        <v>897</v>
      </c>
      <c r="C800" s="602">
        <v>2000000</v>
      </c>
      <c r="D800" s="562">
        <v>2000000</v>
      </c>
      <c r="E800" s="579">
        <v>1500000</v>
      </c>
      <c r="F800" s="611">
        <v>624560.66</v>
      </c>
      <c r="G800" s="560">
        <v>1500000</v>
      </c>
      <c r="H800"/>
      <c r="I800"/>
      <c r="J800"/>
      <c r="K800"/>
      <c r="L800"/>
      <c r="M800"/>
      <c r="N800"/>
      <c r="O800"/>
      <c r="P800"/>
      <c r="Q800"/>
      <c r="R800"/>
      <c r="S800"/>
      <c r="T800"/>
      <c r="U800"/>
      <c r="V800"/>
      <c r="W800"/>
      <c r="X800"/>
      <c r="Y800"/>
      <c r="Z800"/>
      <c r="AA800"/>
      <c r="AB800"/>
      <c r="AC800"/>
      <c r="AD800"/>
      <c r="AE800"/>
      <c r="AF800"/>
      <c r="AG800"/>
      <c r="AH800"/>
      <c r="AI800"/>
      <c r="AJ800"/>
      <c r="AK800"/>
      <c r="AL800"/>
      <c r="AM800"/>
      <c r="AN800"/>
      <c r="AO800"/>
      <c r="AP800"/>
      <c r="AQ800"/>
      <c r="AR800"/>
      <c r="AS800"/>
      <c r="AT800"/>
      <c r="AU800"/>
      <c r="AV800"/>
      <c r="AW800"/>
      <c r="AX800"/>
      <c r="AY800"/>
      <c r="AZ800"/>
      <c r="BA800"/>
      <c r="BB800"/>
      <c r="BC800"/>
      <c r="BD800"/>
      <c r="BE800"/>
      <c r="BF800"/>
      <c r="BG800"/>
      <c r="BH800"/>
      <c r="BI800"/>
      <c r="BJ800"/>
      <c r="BK800"/>
      <c r="BL800"/>
      <c r="BM800"/>
      <c r="BN800"/>
      <c r="BO800"/>
      <c r="BP800"/>
      <c r="BQ800"/>
      <c r="BR800"/>
      <c r="BS800"/>
      <c r="BT800"/>
      <c r="BU800"/>
      <c r="BV800"/>
      <c r="BW800"/>
      <c r="BX800"/>
      <c r="BY800"/>
      <c r="BZ800"/>
      <c r="CA800"/>
      <c r="CB800"/>
      <c r="CC800"/>
      <c r="CD800"/>
      <c r="CE800"/>
      <c r="CF800"/>
      <c r="CG800"/>
      <c r="CH800"/>
      <c r="CI800"/>
      <c r="CJ800"/>
      <c r="CK800"/>
      <c r="CL800"/>
      <c r="CM800"/>
      <c r="CN800"/>
      <c r="CO800"/>
      <c r="CP800"/>
      <c r="CQ800"/>
      <c r="CR800"/>
      <c r="CS800"/>
      <c r="CT800"/>
      <c r="CU800"/>
      <c r="CV800"/>
      <c r="CW800"/>
      <c r="CX800"/>
      <c r="CY800"/>
      <c r="CZ800"/>
      <c r="DA800"/>
      <c r="DB800"/>
      <c r="DC800"/>
      <c r="DD800"/>
      <c r="DE800"/>
      <c r="DF800"/>
      <c r="DG800"/>
      <c r="DH800"/>
      <c r="DI800"/>
      <c r="DJ800"/>
      <c r="DK800"/>
      <c r="DL800"/>
      <c r="DM800"/>
      <c r="DN800"/>
      <c r="DO800"/>
      <c r="DP800"/>
      <c r="DQ800"/>
      <c r="DR800"/>
      <c r="DS800"/>
      <c r="DT800"/>
      <c r="DU800"/>
      <c r="DV800"/>
      <c r="DW800"/>
      <c r="DX800"/>
      <c r="DY800"/>
      <c r="DZ800"/>
      <c r="EA800"/>
      <c r="EB800"/>
      <c r="EC800"/>
      <c r="ED800"/>
      <c r="EE800"/>
      <c r="EF800"/>
      <c r="EG800"/>
      <c r="EH800"/>
      <c r="EI800"/>
      <c r="EJ800"/>
      <c r="EK800"/>
      <c r="EL800"/>
      <c r="EM800"/>
      <c r="EN800"/>
      <c r="EO800"/>
      <c r="EP800"/>
      <c r="EQ800"/>
      <c r="ER800"/>
      <c r="ES800"/>
      <c r="ET800"/>
      <c r="EU800"/>
      <c r="EV800"/>
      <c r="EW800"/>
      <c r="EX800"/>
      <c r="EY800"/>
      <c r="EZ800"/>
      <c r="FA800"/>
      <c r="FB800"/>
      <c r="FC800"/>
      <c r="FD800"/>
      <c r="FE800"/>
      <c r="FF800"/>
      <c r="FG800"/>
      <c r="FH800"/>
      <c r="FI800"/>
      <c r="FJ800"/>
      <c r="FK800"/>
      <c r="FL800"/>
      <c r="FM800"/>
      <c r="FN800"/>
      <c r="FO800"/>
      <c r="FP800"/>
      <c r="FQ800"/>
      <c r="FR800"/>
      <c r="FS800"/>
      <c r="FT800"/>
      <c r="FU800"/>
      <c r="FV800"/>
      <c r="FW800"/>
      <c r="FX800"/>
      <c r="FY800"/>
      <c r="FZ800"/>
      <c r="GA800"/>
      <c r="GB800"/>
      <c r="GC800"/>
      <c r="GD800"/>
      <c r="GE800"/>
      <c r="GF800"/>
      <c r="GG800"/>
      <c r="GH800"/>
      <c r="GI800"/>
      <c r="GJ800"/>
      <c r="GK800"/>
      <c r="GL800"/>
      <c r="GM800"/>
      <c r="GN800"/>
      <c r="GO800"/>
      <c r="GP800"/>
      <c r="GQ800"/>
      <c r="GR800"/>
      <c r="GS800"/>
      <c r="GT800"/>
      <c r="GU800"/>
      <c r="GV800"/>
      <c r="GW800"/>
      <c r="GX800"/>
      <c r="GY800"/>
      <c r="GZ800"/>
      <c r="HA800"/>
      <c r="HB800"/>
      <c r="HC800"/>
      <c r="HD800"/>
      <c r="HE800"/>
      <c r="HF800"/>
      <c r="HG800"/>
      <c r="HH800"/>
      <c r="HI800"/>
      <c r="HJ800"/>
      <c r="HK800"/>
      <c r="HL800"/>
      <c r="HM800"/>
      <c r="HN800"/>
      <c r="HO800"/>
      <c r="HP800"/>
      <c r="HQ800"/>
      <c r="HR800"/>
      <c r="HS800"/>
      <c r="HT800"/>
      <c r="HU800"/>
      <c r="HV800"/>
      <c r="HW800"/>
      <c r="HX800"/>
      <c r="HY800"/>
      <c r="HZ800"/>
      <c r="IA800"/>
      <c r="IB800"/>
      <c r="IC800"/>
      <c r="ID800"/>
      <c r="IE800"/>
      <c r="IF800"/>
      <c r="IG800"/>
      <c r="IH800"/>
      <c r="II800"/>
      <c r="IJ800"/>
      <c r="IK800"/>
      <c r="IL800"/>
      <c r="IM800"/>
      <c r="IN800"/>
      <c r="IO800"/>
      <c r="IP800"/>
      <c r="IQ800"/>
      <c r="IR800"/>
      <c r="IS800"/>
      <c r="IT800"/>
      <c r="IU800"/>
      <c r="IV800"/>
    </row>
    <row r="801" spans="1:256" ht="12.75" hidden="1" customHeight="1" x14ac:dyDescent="0.2">
      <c r="A801" s="551"/>
      <c r="B801" s="627" t="s">
        <v>898</v>
      </c>
      <c r="C801" s="610">
        <v>1200000</v>
      </c>
      <c r="D801" s="562">
        <v>1200000</v>
      </c>
      <c r="E801" s="579">
        <v>1100000</v>
      </c>
      <c r="F801" s="611">
        <v>522246.79</v>
      </c>
      <c r="G801" s="560">
        <v>1100000</v>
      </c>
      <c r="H801"/>
      <c r="I801"/>
      <c r="J801"/>
      <c r="K801"/>
      <c r="L801"/>
      <c r="M801"/>
      <c r="N801"/>
      <c r="O801"/>
      <c r="P801"/>
      <c r="Q801"/>
      <c r="R801"/>
      <c r="S801"/>
      <c r="T801"/>
      <c r="U801"/>
      <c r="V801"/>
      <c r="W801"/>
      <c r="X801"/>
      <c r="Y801"/>
      <c r="Z801"/>
      <c r="AA801"/>
      <c r="AB801"/>
      <c r="AC801"/>
      <c r="AD801"/>
      <c r="AE801"/>
      <c r="AF801"/>
      <c r="AG801"/>
      <c r="AH801"/>
      <c r="AI801"/>
      <c r="AJ801"/>
      <c r="AK801"/>
      <c r="AL801"/>
      <c r="AM801"/>
      <c r="AN801"/>
      <c r="AO801"/>
      <c r="AP801"/>
      <c r="AQ801"/>
      <c r="AR801"/>
      <c r="AS801"/>
      <c r="AT801"/>
      <c r="AU801"/>
      <c r="AV801"/>
      <c r="AW801"/>
      <c r="AX801"/>
      <c r="AY801"/>
      <c r="AZ801"/>
      <c r="BA801"/>
      <c r="BB801"/>
      <c r="BC801"/>
      <c r="BD801"/>
      <c r="BE801"/>
      <c r="BF801"/>
      <c r="BG801"/>
      <c r="BH801"/>
      <c r="BI801"/>
      <c r="BJ801"/>
      <c r="BK801"/>
      <c r="BL801"/>
      <c r="BM801"/>
      <c r="BN801"/>
      <c r="BO801"/>
      <c r="BP801"/>
      <c r="BQ801"/>
      <c r="BR801"/>
      <c r="BS801"/>
      <c r="BT801"/>
      <c r="BU801"/>
      <c r="BV801"/>
      <c r="BW801"/>
      <c r="BX801"/>
      <c r="BY801"/>
      <c r="BZ801"/>
      <c r="CA801"/>
      <c r="CB801"/>
      <c r="CC801"/>
      <c r="CD801"/>
      <c r="CE801"/>
      <c r="CF801"/>
      <c r="CG801"/>
      <c r="CH801"/>
      <c r="CI801"/>
      <c r="CJ801"/>
      <c r="CK801"/>
      <c r="CL801"/>
      <c r="CM801"/>
      <c r="CN801"/>
      <c r="CO801"/>
      <c r="CP801"/>
      <c r="CQ801"/>
      <c r="CR801"/>
      <c r="CS801"/>
      <c r="CT801"/>
      <c r="CU801"/>
      <c r="CV801"/>
      <c r="CW801"/>
      <c r="CX801"/>
      <c r="CY801"/>
      <c r="CZ801"/>
      <c r="DA801"/>
      <c r="DB801"/>
      <c r="DC801"/>
      <c r="DD801"/>
      <c r="DE801"/>
      <c r="DF801"/>
      <c r="DG801"/>
      <c r="DH801"/>
      <c r="DI801"/>
      <c r="DJ801"/>
      <c r="DK801"/>
      <c r="DL801"/>
      <c r="DM801"/>
      <c r="DN801"/>
      <c r="DO801"/>
      <c r="DP801"/>
      <c r="DQ801"/>
      <c r="DR801"/>
      <c r="DS801"/>
      <c r="DT801"/>
      <c r="DU801"/>
      <c r="DV801"/>
      <c r="DW801"/>
      <c r="DX801"/>
      <c r="DY801"/>
      <c r="DZ801"/>
      <c r="EA801"/>
      <c r="EB801"/>
      <c r="EC801"/>
      <c r="ED801"/>
      <c r="EE801"/>
      <c r="EF801"/>
      <c r="EG801"/>
      <c r="EH801"/>
      <c r="EI801"/>
      <c r="EJ801"/>
      <c r="EK801"/>
      <c r="EL801"/>
      <c r="EM801"/>
      <c r="EN801"/>
      <c r="EO801"/>
      <c r="EP801"/>
      <c r="EQ801"/>
      <c r="ER801"/>
      <c r="ES801"/>
      <c r="ET801"/>
      <c r="EU801"/>
      <c r="EV801"/>
      <c r="EW801"/>
      <c r="EX801"/>
      <c r="EY801"/>
      <c r="EZ801"/>
      <c r="FA801"/>
      <c r="FB801"/>
      <c r="FC801"/>
      <c r="FD801"/>
      <c r="FE801"/>
      <c r="FF801"/>
      <c r="FG801"/>
      <c r="FH801"/>
      <c r="FI801"/>
      <c r="FJ801"/>
      <c r="FK801"/>
      <c r="FL801"/>
      <c r="FM801"/>
      <c r="FN801"/>
      <c r="FO801"/>
      <c r="FP801"/>
      <c r="FQ801"/>
      <c r="FR801"/>
      <c r="FS801"/>
      <c r="FT801"/>
      <c r="FU801"/>
      <c r="FV801"/>
      <c r="FW801"/>
      <c r="FX801"/>
      <c r="FY801"/>
      <c r="FZ801"/>
      <c r="GA801"/>
      <c r="GB801"/>
      <c r="GC801"/>
      <c r="GD801"/>
      <c r="GE801"/>
      <c r="GF801"/>
      <c r="GG801"/>
      <c r="GH801"/>
      <c r="GI801"/>
      <c r="GJ801"/>
      <c r="GK801"/>
      <c r="GL801"/>
      <c r="GM801"/>
      <c r="GN801"/>
      <c r="GO801"/>
      <c r="GP801"/>
      <c r="GQ801"/>
      <c r="GR801"/>
      <c r="GS801"/>
      <c r="GT801"/>
      <c r="GU801"/>
      <c r="GV801"/>
      <c r="GW801"/>
      <c r="GX801"/>
      <c r="GY801"/>
      <c r="GZ801"/>
      <c r="HA801"/>
      <c r="HB801"/>
      <c r="HC801"/>
      <c r="HD801"/>
      <c r="HE801"/>
      <c r="HF801"/>
      <c r="HG801"/>
      <c r="HH801"/>
      <c r="HI801"/>
      <c r="HJ801"/>
      <c r="HK801"/>
      <c r="HL801"/>
      <c r="HM801"/>
      <c r="HN801"/>
      <c r="HO801"/>
      <c r="HP801"/>
      <c r="HQ801"/>
      <c r="HR801"/>
      <c r="HS801"/>
      <c r="HT801"/>
      <c r="HU801"/>
      <c r="HV801"/>
      <c r="HW801"/>
      <c r="HX801"/>
      <c r="HY801"/>
      <c r="HZ801"/>
      <c r="IA801"/>
      <c r="IB801"/>
      <c r="IC801"/>
      <c r="ID801"/>
      <c r="IE801"/>
      <c r="IF801"/>
      <c r="IG801"/>
      <c r="IH801"/>
      <c r="II801"/>
      <c r="IJ801"/>
      <c r="IK801"/>
      <c r="IL801"/>
      <c r="IM801"/>
      <c r="IN801"/>
      <c r="IO801"/>
      <c r="IP801"/>
      <c r="IQ801"/>
      <c r="IR801"/>
      <c r="IS801"/>
      <c r="IT801"/>
      <c r="IU801"/>
      <c r="IV801"/>
    </row>
    <row r="802" spans="1:256" ht="12.75" hidden="1" customHeight="1" x14ac:dyDescent="0.2">
      <c r="A802" s="551"/>
      <c r="B802" s="627" t="s">
        <v>899</v>
      </c>
      <c r="C802" s="558">
        <v>2100000</v>
      </c>
      <c r="D802" s="562">
        <v>2100000</v>
      </c>
      <c r="E802" s="579">
        <v>1700000</v>
      </c>
      <c r="F802" s="580">
        <v>1052717.54</v>
      </c>
      <c r="G802" s="127">
        <v>1700000</v>
      </c>
      <c r="H802"/>
      <c r="I802"/>
      <c r="J802"/>
      <c r="K802"/>
      <c r="L802"/>
      <c r="M802"/>
      <c r="N802"/>
      <c r="O802"/>
      <c r="P802"/>
      <c r="Q802"/>
      <c r="R802"/>
      <c r="S802"/>
      <c r="T802"/>
      <c r="U802"/>
      <c r="V802"/>
      <c r="W802"/>
      <c r="X802"/>
      <c r="Y802"/>
      <c r="Z802"/>
      <c r="AA802"/>
      <c r="AB802"/>
      <c r="AC802"/>
      <c r="AD802"/>
      <c r="AE802"/>
      <c r="AF802"/>
      <c r="AG802"/>
      <c r="AH802"/>
      <c r="AI802"/>
      <c r="AJ802"/>
      <c r="AK802"/>
      <c r="AL802"/>
      <c r="AM802"/>
      <c r="AN802"/>
      <c r="AO802"/>
      <c r="AP802"/>
      <c r="AQ802"/>
      <c r="AR802"/>
      <c r="AS802"/>
      <c r="AT802"/>
      <c r="AU802"/>
      <c r="AV802"/>
      <c r="AW802"/>
      <c r="AX802"/>
      <c r="AY802"/>
      <c r="AZ802"/>
      <c r="BA802"/>
      <c r="BB802"/>
      <c r="BC802"/>
      <c r="BD802"/>
      <c r="BE802"/>
      <c r="BF802"/>
      <c r="BG802"/>
      <c r="BH802"/>
      <c r="BI802"/>
      <c r="BJ802"/>
      <c r="BK802"/>
      <c r="BL802"/>
      <c r="BM802"/>
      <c r="BN802"/>
      <c r="BO802"/>
      <c r="BP802"/>
      <c r="BQ802"/>
      <c r="BR802"/>
      <c r="BS802"/>
      <c r="BT802"/>
      <c r="BU802"/>
      <c r="BV802"/>
      <c r="BW802"/>
      <c r="BX802"/>
      <c r="BY802"/>
      <c r="BZ802"/>
      <c r="CA802"/>
      <c r="CB802"/>
      <c r="CC802"/>
      <c r="CD802"/>
      <c r="CE802"/>
      <c r="CF802"/>
      <c r="CG802"/>
      <c r="CH802"/>
      <c r="CI802"/>
      <c r="CJ802"/>
      <c r="CK802"/>
      <c r="CL802"/>
      <c r="CM802"/>
      <c r="CN802"/>
      <c r="CO802"/>
      <c r="CP802"/>
      <c r="CQ802"/>
      <c r="CR802"/>
      <c r="CS802"/>
      <c r="CT802"/>
      <c r="CU802"/>
      <c r="CV802"/>
      <c r="CW802"/>
      <c r="CX802"/>
      <c r="CY802"/>
      <c r="CZ802"/>
      <c r="DA802"/>
      <c r="DB802"/>
      <c r="DC802"/>
      <c r="DD802"/>
      <c r="DE802"/>
      <c r="DF802"/>
      <c r="DG802"/>
      <c r="DH802"/>
      <c r="DI802"/>
      <c r="DJ802"/>
      <c r="DK802"/>
      <c r="DL802"/>
      <c r="DM802"/>
      <c r="DN802"/>
      <c r="DO802"/>
      <c r="DP802"/>
      <c r="DQ802"/>
      <c r="DR802"/>
      <c r="DS802"/>
      <c r="DT802"/>
      <c r="DU802"/>
      <c r="DV802"/>
      <c r="DW802"/>
      <c r="DX802"/>
      <c r="DY802"/>
      <c r="DZ802"/>
      <c r="EA802"/>
      <c r="EB802"/>
      <c r="EC802"/>
      <c r="ED802"/>
      <c r="EE802"/>
      <c r="EF802"/>
      <c r="EG802"/>
      <c r="EH802"/>
      <c r="EI802"/>
      <c r="EJ802"/>
      <c r="EK802"/>
      <c r="EL802"/>
      <c r="EM802"/>
      <c r="EN802"/>
      <c r="EO802"/>
      <c r="EP802"/>
      <c r="EQ802"/>
      <c r="ER802"/>
      <c r="ES802"/>
      <c r="ET802"/>
      <c r="EU802"/>
      <c r="EV802"/>
      <c r="EW802"/>
      <c r="EX802"/>
      <c r="EY802"/>
      <c r="EZ802"/>
      <c r="FA802"/>
      <c r="FB802"/>
      <c r="FC802"/>
      <c r="FD802"/>
      <c r="FE802"/>
      <c r="FF802"/>
      <c r="FG802"/>
      <c r="FH802"/>
      <c r="FI802"/>
      <c r="FJ802"/>
      <c r="FK802"/>
      <c r="FL802"/>
      <c r="FM802"/>
      <c r="FN802"/>
      <c r="FO802"/>
      <c r="FP802"/>
      <c r="FQ802"/>
      <c r="FR802"/>
      <c r="FS802"/>
      <c r="FT802"/>
      <c r="FU802"/>
      <c r="FV802"/>
      <c r="FW802"/>
      <c r="FX802"/>
      <c r="FY802"/>
      <c r="FZ802"/>
      <c r="GA802"/>
      <c r="GB802"/>
      <c r="GC802"/>
      <c r="GD802"/>
      <c r="GE802"/>
      <c r="GF802"/>
      <c r="GG802"/>
      <c r="GH802"/>
      <c r="GI802"/>
      <c r="GJ802"/>
      <c r="GK802"/>
      <c r="GL802"/>
      <c r="GM802"/>
      <c r="GN802"/>
      <c r="GO802"/>
      <c r="GP802"/>
      <c r="GQ802"/>
      <c r="GR802"/>
      <c r="GS802"/>
      <c r="GT802"/>
      <c r="GU802"/>
      <c r="GV802"/>
      <c r="GW802"/>
      <c r="GX802"/>
      <c r="GY802"/>
      <c r="GZ802"/>
      <c r="HA802"/>
      <c r="HB802"/>
      <c r="HC802"/>
      <c r="HD802"/>
      <c r="HE802"/>
      <c r="HF802"/>
      <c r="HG802"/>
      <c r="HH802"/>
      <c r="HI802"/>
      <c r="HJ802"/>
      <c r="HK802"/>
      <c r="HL802"/>
      <c r="HM802"/>
      <c r="HN802"/>
      <c r="HO802"/>
      <c r="HP802"/>
      <c r="HQ802"/>
      <c r="HR802"/>
      <c r="HS802"/>
      <c r="HT802"/>
      <c r="HU802"/>
      <c r="HV802"/>
      <c r="HW802"/>
      <c r="HX802"/>
      <c r="HY802"/>
      <c r="HZ802"/>
      <c r="IA802"/>
      <c r="IB802"/>
      <c r="IC802"/>
      <c r="ID802"/>
      <c r="IE802"/>
      <c r="IF802"/>
      <c r="IG802"/>
      <c r="IH802"/>
      <c r="II802"/>
      <c r="IJ802"/>
      <c r="IK802"/>
      <c r="IL802"/>
      <c r="IM802"/>
      <c r="IN802"/>
      <c r="IO802"/>
      <c r="IP802"/>
      <c r="IQ802"/>
      <c r="IR802"/>
      <c r="IS802"/>
      <c r="IT802"/>
      <c r="IU802"/>
      <c r="IV802"/>
    </row>
    <row r="803" spans="1:256" ht="12.75" hidden="1" customHeight="1" x14ac:dyDescent="0.2">
      <c r="A803" s="634"/>
      <c r="B803" s="640" t="s">
        <v>900</v>
      </c>
      <c r="C803" s="602">
        <f>SUM(C804:C815)</f>
        <v>4635000</v>
      </c>
      <c r="D803" s="603">
        <f>SUM(D804:D815)</f>
        <v>4093450</v>
      </c>
      <c r="E803" s="603">
        <f>SUM(E804:E815)</f>
        <v>3553450</v>
      </c>
      <c r="F803" s="633">
        <f>SUM(F804:F815)</f>
        <v>2181359.8199999998</v>
      </c>
      <c r="G803" s="127">
        <f>SUM(G804:G815)</f>
        <v>4250000</v>
      </c>
      <c r="H803"/>
      <c r="I803"/>
      <c r="J803"/>
      <c r="K803"/>
      <c r="L803"/>
      <c r="M803"/>
      <c r="N803"/>
      <c r="O803"/>
      <c r="P803"/>
      <c r="Q803"/>
      <c r="R803"/>
      <c r="S803"/>
      <c r="T803"/>
      <c r="U803"/>
      <c r="V803"/>
      <c r="W803"/>
      <c r="X803"/>
      <c r="Y803"/>
      <c r="Z803"/>
      <c r="AA803"/>
      <c r="AB803"/>
      <c r="AC803"/>
      <c r="AD803"/>
      <c r="AE803"/>
      <c r="AF803"/>
      <c r="AG803"/>
      <c r="AH803"/>
      <c r="AI803"/>
      <c r="AJ803"/>
      <c r="AK803"/>
      <c r="AL803"/>
      <c r="AM803"/>
      <c r="AN803"/>
      <c r="AO803"/>
      <c r="AP803"/>
      <c r="AQ803"/>
      <c r="AR803"/>
      <c r="AS803"/>
      <c r="AT803"/>
      <c r="AU803"/>
      <c r="AV803"/>
      <c r="AW803"/>
      <c r="AX803"/>
      <c r="AY803"/>
      <c r="AZ803"/>
      <c r="BA803"/>
      <c r="BB803"/>
      <c r="BC803"/>
      <c r="BD803"/>
      <c r="BE803"/>
      <c r="BF803"/>
      <c r="BG803"/>
      <c r="BH803"/>
      <c r="BI803"/>
      <c r="BJ803"/>
      <c r="BK803"/>
      <c r="BL803"/>
      <c r="BM803"/>
      <c r="BN803"/>
      <c r="BO803"/>
      <c r="BP803"/>
      <c r="BQ803"/>
      <c r="BR803"/>
      <c r="BS803"/>
      <c r="BT803"/>
      <c r="BU803"/>
      <c r="BV803"/>
      <c r="BW803"/>
      <c r="BX803"/>
      <c r="BY803"/>
      <c r="BZ803"/>
      <c r="CA803"/>
      <c r="CB803"/>
      <c r="CC803"/>
      <c r="CD803"/>
      <c r="CE803"/>
      <c r="CF803"/>
      <c r="CG803"/>
      <c r="CH803"/>
      <c r="CI803"/>
      <c r="CJ803"/>
      <c r="CK803"/>
      <c r="CL803"/>
      <c r="CM803"/>
      <c r="CN803"/>
      <c r="CO803"/>
      <c r="CP803"/>
      <c r="CQ803"/>
      <c r="CR803"/>
      <c r="CS803"/>
      <c r="CT803"/>
      <c r="CU803"/>
      <c r="CV803"/>
      <c r="CW803"/>
      <c r="CX803"/>
      <c r="CY803"/>
      <c r="CZ803"/>
      <c r="DA803"/>
      <c r="DB803"/>
      <c r="DC803"/>
      <c r="DD803"/>
      <c r="DE803"/>
      <c r="DF803"/>
      <c r="DG803"/>
      <c r="DH803"/>
      <c r="DI803"/>
      <c r="DJ803"/>
      <c r="DK803"/>
      <c r="DL803"/>
      <c r="DM803"/>
      <c r="DN803"/>
      <c r="DO803"/>
      <c r="DP803"/>
      <c r="DQ803"/>
      <c r="DR803"/>
      <c r="DS803"/>
      <c r="DT803"/>
      <c r="DU803"/>
      <c r="DV803"/>
      <c r="DW803"/>
      <c r="DX803"/>
      <c r="DY803"/>
      <c r="DZ803"/>
      <c r="EA803"/>
      <c r="EB803"/>
      <c r="EC803"/>
      <c r="ED803"/>
      <c r="EE803"/>
      <c r="EF803"/>
      <c r="EG803"/>
      <c r="EH803"/>
      <c r="EI803"/>
      <c r="EJ803"/>
      <c r="EK803"/>
      <c r="EL803"/>
      <c r="EM803"/>
      <c r="EN803"/>
      <c r="EO803"/>
      <c r="EP803"/>
      <c r="EQ803"/>
      <c r="ER803"/>
      <c r="ES803"/>
      <c r="ET803"/>
      <c r="EU803"/>
      <c r="EV803"/>
      <c r="EW803"/>
      <c r="EX803"/>
      <c r="EY803"/>
      <c r="EZ803"/>
      <c r="FA803"/>
      <c r="FB803"/>
      <c r="FC803"/>
      <c r="FD803"/>
      <c r="FE803"/>
      <c r="FF803"/>
      <c r="FG803"/>
      <c r="FH803"/>
      <c r="FI803"/>
      <c r="FJ803"/>
      <c r="FK803"/>
      <c r="FL803"/>
      <c r="FM803"/>
      <c r="FN803"/>
      <c r="FO803"/>
      <c r="FP803"/>
      <c r="FQ803"/>
      <c r="FR803"/>
      <c r="FS803"/>
      <c r="FT803"/>
      <c r="FU803"/>
      <c r="FV803"/>
      <c r="FW803"/>
      <c r="FX803"/>
      <c r="FY803"/>
      <c r="FZ803"/>
      <c r="GA803"/>
      <c r="GB803"/>
      <c r="GC803"/>
      <c r="GD803"/>
      <c r="GE803"/>
      <c r="GF803"/>
      <c r="GG803"/>
      <c r="GH803"/>
      <c r="GI803"/>
      <c r="GJ803"/>
      <c r="GK803"/>
      <c r="GL803"/>
      <c r="GM803"/>
      <c r="GN803"/>
      <c r="GO803"/>
      <c r="GP803"/>
      <c r="GQ803"/>
      <c r="GR803"/>
      <c r="GS803"/>
      <c r="GT803"/>
      <c r="GU803"/>
      <c r="GV803"/>
      <c r="GW803"/>
      <c r="GX803"/>
      <c r="GY803"/>
      <c r="GZ803"/>
      <c r="HA803"/>
      <c r="HB803"/>
      <c r="HC803"/>
      <c r="HD803"/>
      <c r="HE803"/>
      <c r="HF803"/>
      <c r="HG803"/>
      <c r="HH803"/>
      <c r="HI803"/>
      <c r="HJ803"/>
      <c r="HK803"/>
      <c r="HL803"/>
      <c r="HM803"/>
      <c r="HN803"/>
      <c r="HO803"/>
      <c r="HP803"/>
      <c r="HQ803"/>
      <c r="HR803"/>
      <c r="HS803"/>
      <c r="HT803"/>
      <c r="HU803"/>
      <c r="HV803"/>
      <c r="HW803"/>
      <c r="HX803"/>
      <c r="HY803"/>
      <c r="HZ803"/>
      <c r="IA803"/>
      <c r="IB803"/>
      <c r="IC803"/>
      <c r="ID803"/>
      <c r="IE803"/>
      <c r="IF803"/>
      <c r="IG803"/>
      <c r="IH803"/>
      <c r="II803"/>
      <c r="IJ803"/>
      <c r="IK803"/>
      <c r="IL803"/>
      <c r="IM803"/>
      <c r="IN803"/>
      <c r="IO803"/>
      <c r="IP803"/>
      <c r="IQ803"/>
      <c r="IR803"/>
      <c r="IS803"/>
      <c r="IT803"/>
      <c r="IU803"/>
      <c r="IV803"/>
    </row>
    <row r="804" spans="1:256" ht="12.75" hidden="1" customHeight="1" x14ac:dyDescent="0.2">
      <c r="A804" s="551"/>
      <c r="B804" s="641" t="s">
        <v>901</v>
      </c>
      <c r="C804" s="569">
        <v>100000</v>
      </c>
      <c r="D804" s="562">
        <v>100000</v>
      </c>
      <c r="E804" s="642">
        <v>60000</v>
      </c>
      <c r="F804" s="580">
        <v>0</v>
      </c>
      <c r="G804" s="162">
        <v>0</v>
      </c>
      <c r="H804"/>
      <c r="I804"/>
      <c r="J804"/>
      <c r="K804"/>
      <c r="L804"/>
      <c r="M804"/>
      <c r="N804"/>
      <c r="O804"/>
      <c r="P804"/>
      <c r="Q804"/>
      <c r="R804"/>
      <c r="S804"/>
      <c r="T804"/>
      <c r="U804"/>
      <c r="V804"/>
      <c r="W804"/>
      <c r="X804"/>
      <c r="Y804"/>
      <c r="Z804"/>
      <c r="AA804"/>
      <c r="AB804"/>
      <c r="AC804"/>
      <c r="AD804"/>
      <c r="AE804"/>
      <c r="AF804"/>
      <c r="AG804"/>
      <c r="AH804"/>
      <c r="AI804"/>
      <c r="AJ804"/>
      <c r="AK804"/>
      <c r="AL804"/>
      <c r="AM804"/>
      <c r="AN804"/>
      <c r="AO804"/>
      <c r="AP804"/>
      <c r="AQ804"/>
      <c r="AR804"/>
      <c r="AS804"/>
      <c r="AT804"/>
      <c r="AU804"/>
      <c r="AV804"/>
      <c r="AW804"/>
      <c r="AX804"/>
      <c r="AY804"/>
      <c r="AZ804"/>
      <c r="BA804"/>
      <c r="BB804"/>
      <c r="BC804"/>
      <c r="BD804"/>
      <c r="BE804"/>
      <c r="BF804"/>
      <c r="BG804"/>
      <c r="BH804"/>
      <c r="BI804"/>
      <c r="BJ804"/>
      <c r="BK804"/>
      <c r="BL804"/>
      <c r="BM804"/>
      <c r="BN804"/>
      <c r="BO804"/>
      <c r="BP804"/>
      <c r="BQ804"/>
      <c r="BR804"/>
      <c r="BS804"/>
      <c r="BT804"/>
      <c r="BU804"/>
      <c r="BV804"/>
      <c r="BW804"/>
      <c r="BX804"/>
      <c r="BY804"/>
      <c r="BZ804"/>
      <c r="CA804"/>
      <c r="CB804"/>
      <c r="CC804"/>
      <c r="CD804"/>
      <c r="CE804"/>
      <c r="CF804"/>
      <c r="CG804"/>
      <c r="CH804"/>
      <c r="CI804"/>
      <c r="CJ804"/>
      <c r="CK804"/>
      <c r="CL804"/>
      <c r="CM804"/>
      <c r="CN804"/>
      <c r="CO804"/>
      <c r="CP804"/>
      <c r="CQ804"/>
      <c r="CR804"/>
      <c r="CS804"/>
      <c r="CT804"/>
      <c r="CU804"/>
      <c r="CV804"/>
      <c r="CW804"/>
      <c r="CX804"/>
      <c r="CY804"/>
      <c r="CZ804"/>
      <c r="DA804"/>
      <c r="DB804"/>
      <c r="DC804"/>
      <c r="DD804"/>
      <c r="DE804"/>
      <c r="DF804"/>
      <c r="DG804"/>
      <c r="DH804"/>
      <c r="DI804"/>
      <c r="DJ804"/>
      <c r="DK804"/>
      <c r="DL804"/>
      <c r="DM804"/>
      <c r="DN804"/>
      <c r="DO804"/>
      <c r="DP804"/>
      <c r="DQ804"/>
      <c r="DR804"/>
      <c r="DS804"/>
      <c r="DT804"/>
      <c r="DU804"/>
      <c r="DV804"/>
      <c r="DW804"/>
      <c r="DX804"/>
      <c r="DY804"/>
      <c r="DZ804"/>
      <c r="EA804"/>
      <c r="EB804"/>
      <c r="EC804"/>
      <c r="ED804"/>
      <c r="EE804"/>
      <c r="EF804"/>
      <c r="EG804"/>
      <c r="EH804"/>
      <c r="EI804"/>
      <c r="EJ804"/>
      <c r="EK804"/>
      <c r="EL804"/>
      <c r="EM804"/>
      <c r="EN804"/>
      <c r="EO804"/>
      <c r="EP804"/>
      <c r="EQ804"/>
      <c r="ER804"/>
      <c r="ES804"/>
      <c r="ET804"/>
      <c r="EU804"/>
      <c r="EV804"/>
      <c r="EW804"/>
      <c r="EX804"/>
      <c r="EY804"/>
      <c r="EZ804"/>
      <c r="FA804"/>
      <c r="FB804"/>
      <c r="FC804"/>
      <c r="FD804"/>
      <c r="FE804"/>
      <c r="FF804"/>
      <c r="FG804"/>
      <c r="FH804"/>
      <c r="FI804"/>
      <c r="FJ804"/>
      <c r="FK804"/>
      <c r="FL804"/>
      <c r="FM804"/>
      <c r="FN804"/>
      <c r="FO804"/>
      <c r="FP804"/>
      <c r="FQ804"/>
      <c r="FR804"/>
      <c r="FS804"/>
      <c r="FT804"/>
      <c r="FU804"/>
      <c r="FV804"/>
      <c r="FW804"/>
      <c r="FX804"/>
      <c r="FY804"/>
      <c r="FZ804"/>
      <c r="GA804"/>
      <c r="GB804"/>
      <c r="GC804"/>
      <c r="GD804"/>
      <c r="GE804"/>
      <c r="GF804"/>
      <c r="GG804"/>
      <c r="GH804"/>
      <c r="GI804"/>
      <c r="GJ804"/>
      <c r="GK804"/>
      <c r="GL804"/>
      <c r="GM804"/>
      <c r="GN804"/>
      <c r="GO804"/>
      <c r="GP804"/>
      <c r="GQ804"/>
      <c r="GR804"/>
      <c r="GS804"/>
      <c r="GT804"/>
      <c r="GU804"/>
      <c r="GV804"/>
      <c r="GW804"/>
      <c r="GX804"/>
      <c r="GY804"/>
      <c r="GZ804"/>
      <c r="HA804"/>
      <c r="HB804"/>
      <c r="HC804"/>
      <c r="HD804"/>
      <c r="HE804"/>
      <c r="HF804"/>
      <c r="HG804"/>
      <c r="HH804"/>
      <c r="HI804"/>
      <c r="HJ804"/>
      <c r="HK804"/>
      <c r="HL804"/>
      <c r="HM804"/>
      <c r="HN804"/>
      <c r="HO804"/>
      <c r="HP804"/>
      <c r="HQ804"/>
      <c r="HR804"/>
      <c r="HS804"/>
      <c r="HT804"/>
      <c r="HU804"/>
      <c r="HV804"/>
      <c r="HW804"/>
      <c r="HX804"/>
      <c r="HY804"/>
      <c r="HZ804"/>
      <c r="IA804"/>
      <c r="IB804"/>
      <c r="IC804"/>
      <c r="ID804"/>
      <c r="IE804"/>
      <c r="IF804"/>
      <c r="IG804"/>
      <c r="IH804"/>
      <c r="II804"/>
      <c r="IJ804"/>
      <c r="IK804"/>
      <c r="IL804"/>
      <c r="IM804"/>
      <c r="IN804"/>
      <c r="IO804"/>
      <c r="IP804"/>
      <c r="IQ804"/>
      <c r="IR804"/>
      <c r="IS804"/>
      <c r="IT804"/>
      <c r="IU804"/>
      <c r="IV804"/>
    </row>
    <row r="805" spans="1:256" ht="12.75" hidden="1" customHeight="1" x14ac:dyDescent="0.2">
      <c r="A805" s="551"/>
      <c r="B805" s="621" t="s">
        <v>902</v>
      </c>
      <c r="C805" s="622">
        <v>700000</v>
      </c>
      <c r="D805" s="562">
        <f>700000-550000</f>
        <v>150000</v>
      </c>
      <c r="E805" s="643">
        <v>100000</v>
      </c>
      <c r="F805" s="580">
        <v>0</v>
      </c>
      <c r="G805" s="127">
        <v>200000</v>
      </c>
      <c r="H805"/>
      <c r="I805"/>
      <c r="J805"/>
      <c r="K805"/>
      <c r="L805"/>
      <c r="M805"/>
      <c r="N805"/>
      <c r="O805"/>
      <c r="P805"/>
      <c r="Q805"/>
      <c r="R805"/>
      <c r="S805"/>
      <c r="T805"/>
      <c r="U805"/>
      <c r="V805"/>
      <c r="W805"/>
      <c r="X805"/>
      <c r="Y805"/>
      <c r="Z805"/>
      <c r="AA805"/>
      <c r="AB805"/>
      <c r="AC805"/>
      <c r="AD805"/>
      <c r="AE805"/>
      <c r="AF805"/>
      <c r="AG805"/>
      <c r="AH805"/>
      <c r="AI805"/>
      <c r="AJ805"/>
      <c r="AK805"/>
      <c r="AL805"/>
      <c r="AM805"/>
      <c r="AN805"/>
      <c r="AO805"/>
      <c r="AP805"/>
      <c r="AQ805"/>
      <c r="AR805"/>
      <c r="AS805"/>
      <c r="AT805"/>
      <c r="AU805"/>
      <c r="AV805"/>
      <c r="AW805"/>
      <c r="AX805"/>
      <c r="AY805"/>
      <c r="AZ805"/>
      <c r="BA805"/>
      <c r="BB805"/>
      <c r="BC805"/>
      <c r="BD805"/>
      <c r="BE805"/>
      <c r="BF805"/>
      <c r="BG805"/>
      <c r="BH805"/>
      <c r="BI805"/>
      <c r="BJ805"/>
      <c r="BK805"/>
      <c r="BL805"/>
      <c r="BM805"/>
      <c r="BN805"/>
      <c r="BO805"/>
      <c r="BP805"/>
      <c r="BQ805"/>
      <c r="BR805"/>
      <c r="BS805"/>
      <c r="BT805"/>
      <c r="BU805"/>
      <c r="BV805"/>
      <c r="BW805"/>
      <c r="BX805"/>
      <c r="BY805"/>
      <c r="BZ805"/>
      <c r="CA805"/>
      <c r="CB805"/>
      <c r="CC805"/>
      <c r="CD805"/>
      <c r="CE805"/>
      <c r="CF805"/>
      <c r="CG805"/>
      <c r="CH805"/>
      <c r="CI805"/>
      <c r="CJ805"/>
      <c r="CK805"/>
      <c r="CL805"/>
      <c r="CM805"/>
      <c r="CN805"/>
      <c r="CO805"/>
      <c r="CP805"/>
      <c r="CQ805"/>
      <c r="CR805"/>
      <c r="CS805"/>
      <c r="CT805"/>
      <c r="CU805"/>
      <c r="CV805"/>
      <c r="CW805"/>
      <c r="CX805"/>
      <c r="CY805"/>
      <c r="CZ805"/>
      <c r="DA805"/>
      <c r="DB805"/>
      <c r="DC805"/>
      <c r="DD805"/>
      <c r="DE805"/>
      <c r="DF805"/>
      <c r="DG805"/>
      <c r="DH805"/>
      <c r="DI805"/>
      <c r="DJ805"/>
      <c r="DK805"/>
      <c r="DL805"/>
      <c r="DM805"/>
      <c r="DN805"/>
      <c r="DO805"/>
      <c r="DP805"/>
      <c r="DQ805"/>
      <c r="DR805"/>
      <c r="DS805"/>
      <c r="DT805"/>
      <c r="DU805"/>
      <c r="DV805"/>
      <c r="DW805"/>
      <c r="DX805"/>
      <c r="DY805"/>
      <c r="DZ805"/>
      <c r="EA805"/>
      <c r="EB805"/>
      <c r="EC805"/>
      <c r="ED805"/>
      <c r="EE805"/>
      <c r="EF805"/>
      <c r="EG805"/>
      <c r="EH805"/>
      <c r="EI805"/>
      <c r="EJ805"/>
      <c r="EK805"/>
      <c r="EL805"/>
      <c r="EM805"/>
      <c r="EN805"/>
      <c r="EO805"/>
      <c r="EP805"/>
      <c r="EQ805"/>
      <c r="ER805"/>
      <c r="ES805"/>
      <c r="ET805"/>
      <c r="EU805"/>
      <c r="EV805"/>
      <c r="EW805"/>
      <c r="EX805"/>
      <c r="EY805"/>
      <c r="EZ805"/>
      <c r="FA805"/>
      <c r="FB805"/>
      <c r="FC805"/>
      <c r="FD805"/>
      <c r="FE805"/>
      <c r="FF805"/>
      <c r="FG805"/>
      <c r="FH805"/>
      <c r="FI805"/>
      <c r="FJ805"/>
      <c r="FK805"/>
      <c r="FL805"/>
      <c r="FM805"/>
      <c r="FN805"/>
      <c r="FO805"/>
      <c r="FP805"/>
      <c r="FQ805"/>
      <c r="FR805"/>
      <c r="FS805"/>
      <c r="FT805"/>
      <c r="FU805"/>
      <c r="FV805"/>
      <c r="FW805"/>
      <c r="FX805"/>
      <c r="FY805"/>
      <c r="FZ805"/>
      <c r="GA805"/>
      <c r="GB805"/>
      <c r="GC805"/>
      <c r="GD805"/>
      <c r="GE805"/>
      <c r="GF805"/>
      <c r="GG805"/>
      <c r="GH805"/>
      <c r="GI805"/>
      <c r="GJ805"/>
      <c r="GK805"/>
      <c r="GL805"/>
      <c r="GM805"/>
      <c r="GN805"/>
      <c r="GO805"/>
      <c r="GP805"/>
      <c r="GQ805"/>
      <c r="GR805"/>
      <c r="GS805"/>
      <c r="GT805"/>
      <c r="GU805"/>
      <c r="GV805"/>
      <c r="GW805"/>
      <c r="GX805"/>
      <c r="GY805"/>
      <c r="GZ805"/>
      <c r="HA805"/>
      <c r="HB805"/>
      <c r="HC805"/>
      <c r="HD805"/>
      <c r="HE805"/>
      <c r="HF805"/>
      <c r="HG805"/>
      <c r="HH805"/>
      <c r="HI805"/>
      <c r="HJ805"/>
      <c r="HK805"/>
      <c r="HL805"/>
      <c r="HM805"/>
      <c r="HN805"/>
      <c r="HO805"/>
      <c r="HP805"/>
      <c r="HQ805"/>
      <c r="HR805"/>
      <c r="HS805"/>
      <c r="HT805"/>
      <c r="HU805"/>
      <c r="HV805"/>
      <c r="HW805"/>
      <c r="HX805"/>
      <c r="HY805"/>
      <c r="HZ805"/>
      <c r="IA805"/>
      <c r="IB805"/>
      <c r="IC805"/>
      <c r="ID805"/>
      <c r="IE805"/>
      <c r="IF805"/>
      <c r="IG805"/>
      <c r="IH805"/>
      <c r="II805"/>
      <c r="IJ805"/>
      <c r="IK805"/>
      <c r="IL805"/>
      <c r="IM805"/>
      <c r="IN805"/>
      <c r="IO805"/>
      <c r="IP805"/>
      <c r="IQ805"/>
      <c r="IR805"/>
      <c r="IS805"/>
      <c r="IT805"/>
      <c r="IU805"/>
      <c r="IV805"/>
    </row>
    <row r="806" spans="1:256" ht="12.75" hidden="1" customHeight="1" x14ac:dyDescent="0.2">
      <c r="A806" s="551"/>
      <c r="B806" s="557" t="s">
        <v>903</v>
      </c>
      <c r="C806" s="560">
        <v>50000</v>
      </c>
      <c r="D806" s="562">
        <v>50000</v>
      </c>
      <c r="E806" s="564">
        <v>0</v>
      </c>
      <c r="F806" s="580">
        <v>0</v>
      </c>
      <c r="G806" s="127">
        <v>50000</v>
      </c>
      <c r="H806"/>
      <c r="I806"/>
      <c r="J806"/>
      <c r="K806"/>
      <c r="L806"/>
      <c r="M806"/>
      <c r="N806"/>
      <c r="O806"/>
      <c r="P806"/>
      <c r="Q806"/>
      <c r="R806"/>
      <c r="S806"/>
      <c r="T806"/>
      <c r="U806"/>
      <c r="V806"/>
      <c r="W806"/>
      <c r="X806"/>
      <c r="Y806"/>
      <c r="Z806"/>
      <c r="AA806"/>
      <c r="AB806"/>
      <c r="AC806"/>
      <c r="AD806"/>
      <c r="AE806"/>
      <c r="AF806"/>
      <c r="AG806"/>
      <c r="AH806"/>
      <c r="AI806"/>
      <c r="AJ806"/>
      <c r="AK806"/>
      <c r="AL806"/>
      <c r="AM806"/>
      <c r="AN806"/>
      <c r="AO806"/>
      <c r="AP806"/>
      <c r="AQ806"/>
      <c r="AR806"/>
      <c r="AS806"/>
      <c r="AT806"/>
      <c r="AU806"/>
      <c r="AV806"/>
      <c r="AW806"/>
      <c r="AX806"/>
      <c r="AY806"/>
      <c r="AZ806"/>
      <c r="BA806"/>
      <c r="BB806"/>
      <c r="BC806"/>
      <c r="BD806"/>
      <c r="BE806"/>
      <c r="BF806"/>
      <c r="BG806"/>
      <c r="BH806"/>
      <c r="BI806"/>
      <c r="BJ806"/>
      <c r="BK806"/>
      <c r="BL806"/>
      <c r="BM806"/>
      <c r="BN806"/>
      <c r="BO806"/>
      <c r="BP806"/>
      <c r="BQ806"/>
      <c r="BR806"/>
      <c r="BS806"/>
      <c r="BT806"/>
      <c r="BU806"/>
      <c r="BV806"/>
      <c r="BW806"/>
      <c r="BX806"/>
      <c r="BY806"/>
      <c r="BZ806"/>
      <c r="CA806"/>
      <c r="CB806"/>
      <c r="CC806"/>
      <c r="CD806"/>
      <c r="CE806"/>
      <c r="CF806"/>
      <c r="CG806"/>
      <c r="CH806"/>
      <c r="CI806"/>
      <c r="CJ806"/>
      <c r="CK806"/>
      <c r="CL806"/>
      <c r="CM806"/>
      <c r="CN806"/>
      <c r="CO806"/>
      <c r="CP806"/>
      <c r="CQ806"/>
      <c r="CR806"/>
      <c r="CS806"/>
      <c r="CT806"/>
      <c r="CU806"/>
      <c r="CV806"/>
      <c r="CW806"/>
      <c r="CX806"/>
      <c r="CY806"/>
      <c r="CZ806"/>
      <c r="DA806"/>
      <c r="DB806"/>
      <c r="DC806"/>
      <c r="DD806"/>
      <c r="DE806"/>
      <c r="DF806"/>
      <c r="DG806"/>
      <c r="DH806"/>
      <c r="DI806"/>
      <c r="DJ806"/>
      <c r="DK806"/>
      <c r="DL806"/>
      <c r="DM806"/>
      <c r="DN806"/>
      <c r="DO806"/>
      <c r="DP806"/>
      <c r="DQ806"/>
      <c r="DR806"/>
      <c r="DS806"/>
      <c r="DT806"/>
      <c r="DU806"/>
      <c r="DV806"/>
      <c r="DW806"/>
      <c r="DX806"/>
      <c r="DY806"/>
      <c r="DZ806"/>
      <c r="EA806"/>
      <c r="EB806"/>
      <c r="EC806"/>
      <c r="ED806"/>
      <c r="EE806"/>
      <c r="EF806"/>
      <c r="EG806"/>
      <c r="EH806"/>
      <c r="EI806"/>
      <c r="EJ806"/>
      <c r="EK806"/>
      <c r="EL806"/>
      <c r="EM806"/>
      <c r="EN806"/>
      <c r="EO806"/>
      <c r="EP806"/>
      <c r="EQ806"/>
      <c r="ER806"/>
      <c r="ES806"/>
      <c r="ET806"/>
      <c r="EU806"/>
      <c r="EV806"/>
      <c r="EW806"/>
      <c r="EX806"/>
      <c r="EY806"/>
      <c r="EZ806"/>
      <c r="FA806"/>
      <c r="FB806"/>
      <c r="FC806"/>
      <c r="FD806"/>
      <c r="FE806"/>
      <c r="FF806"/>
      <c r="FG806"/>
      <c r="FH806"/>
      <c r="FI806"/>
      <c r="FJ806"/>
      <c r="FK806"/>
      <c r="FL806"/>
      <c r="FM806"/>
      <c r="FN806"/>
      <c r="FO806"/>
      <c r="FP806"/>
      <c r="FQ806"/>
      <c r="FR806"/>
      <c r="FS806"/>
      <c r="FT806"/>
      <c r="FU806"/>
      <c r="FV806"/>
      <c r="FW806"/>
      <c r="FX806"/>
      <c r="FY806"/>
      <c r="FZ806"/>
      <c r="GA806"/>
      <c r="GB806"/>
      <c r="GC806"/>
      <c r="GD806"/>
      <c r="GE806"/>
      <c r="GF806"/>
      <c r="GG806"/>
      <c r="GH806"/>
      <c r="GI806"/>
      <c r="GJ806"/>
      <c r="GK806"/>
      <c r="GL806"/>
      <c r="GM806"/>
      <c r="GN806"/>
      <c r="GO806"/>
      <c r="GP806"/>
      <c r="GQ806"/>
      <c r="GR806"/>
      <c r="GS806"/>
      <c r="GT806"/>
      <c r="GU806"/>
      <c r="GV806"/>
      <c r="GW806"/>
      <c r="GX806"/>
      <c r="GY806"/>
      <c r="GZ806"/>
      <c r="HA806"/>
      <c r="HB806"/>
      <c r="HC806"/>
      <c r="HD806"/>
      <c r="HE806"/>
      <c r="HF806"/>
      <c r="HG806"/>
      <c r="HH806"/>
      <c r="HI806"/>
      <c r="HJ806"/>
      <c r="HK806"/>
      <c r="HL806"/>
      <c r="HM806"/>
      <c r="HN806"/>
      <c r="HO806"/>
      <c r="HP806"/>
      <c r="HQ806"/>
      <c r="HR806"/>
      <c r="HS806"/>
      <c r="HT806"/>
      <c r="HU806"/>
      <c r="HV806"/>
      <c r="HW806"/>
      <c r="HX806"/>
      <c r="HY806"/>
      <c r="HZ806"/>
      <c r="IA806"/>
      <c r="IB806"/>
      <c r="IC806"/>
      <c r="ID806"/>
      <c r="IE806"/>
      <c r="IF806"/>
      <c r="IG806"/>
      <c r="IH806"/>
      <c r="II806"/>
      <c r="IJ806"/>
      <c r="IK806"/>
      <c r="IL806"/>
      <c r="IM806"/>
      <c r="IN806"/>
      <c r="IO806"/>
      <c r="IP806"/>
      <c r="IQ806"/>
      <c r="IR806"/>
      <c r="IS806"/>
      <c r="IT806"/>
      <c r="IU806"/>
      <c r="IV806"/>
    </row>
    <row r="807" spans="1:256" ht="12.75" hidden="1" customHeight="1" x14ac:dyDescent="0.2">
      <c r="A807" s="551"/>
      <c r="B807" s="627" t="s">
        <v>904</v>
      </c>
      <c r="C807" s="560">
        <v>1200000</v>
      </c>
      <c r="D807" s="562">
        <v>1200000</v>
      </c>
      <c r="E807" s="579">
        <v>1200000</v>
      </c>
      <c r="F807" s="580">
        <v>829202.6</v>
      </c>
      <c r="G807" s="127">
        <v>1300000</v>
      </c>
      <c r="H807"/>
      <c r="I807"/>
      <c r="J807"/>
      <c r="K807"/>
      <c r="L807"/>
      <c r="M807"/>
      <c r="N807"/>
      <c r="O807"/>
      <c r="P807"/>
      <c r="Q807"/>
      <c r="R807"/>
      <c r="S807"/>
      <c r="T807"/>
      <c r="U807"/>
      <c r="V807"/>
      <c r="W807"/>
      <c r="X807"/>
      <c r="Y807"/>
      <c r="Z807"/>
      <c r="AA807"/>
      <c r="AB807"/>
      <c r="AC807"/>
      <c r="AD807"/>
      <c r="AE807"/>
      <c r="AF807"/>
      <c r="AG807"/>
      <c r="AH807"/>
      <c r="AI807"/>
      <c r="AJ807"/>
      <c r="AK807"/>
      <c r="AL807"/>
      <c r="AM807"/>
      <c r="AN807"/>
      <c r="AO807"/>
      <c r="AP807"/>
      <c r="AQ807"/>
      <c r="AR807"/>
      <c r="AS807"/>
      <c r="AT807"/>
      <c r="AU807"/>
      <c r="AV807"/>
      <c r="AW807"/>
      <c r="AX807"/>
      <c r="AY807"/>
      <c r="AZ807"/>
      <c r="BA807"/>
      <c r="BB807"/>
      <c r="BC807"/>
      <c r="BD807"/>
      <c r="BE807"/>
      <c r="BF807"/>
      <c r="BG807"/>
      <c r="BH807"/>
      <c r="BI807"/>
      <c r="BJ807"/>
      <c r="BK807"/>
      <c r="BL807"/>
      <c r="BM807"/>
      <c r="BN807"/>
      <c r="BO807"/>
      <c r="BP807"/>
      <c r="BQ807"/>
      <c r="BR807"/>
      <c r="BS807"/>
      <c r="BT807"/>
      <c r="BU807"/>
      <c r="BV807"/>
      <c r="BW807"/>
      <c r="BX807"/>
      <c r="BY807"/>
      <c r="BZ807"/>
      <c r="CA807"/>
      <c r="CB807"/>
      <c r="CC807"/>
      <c r="CD807"/>
      <c r="CE807"/>
      <c r="CF807"/>
      <c r="CG807"/>
      <c r="CH807"/>
      <c r="CI807"/>
      <c r="CJ807"/>
      <c r="CK807"/>
      <c r="CL807"/>
      <c r="CM807"/>
      <c r="CN807"/>
      <c r="CO807"/>
      <c r="CP807"/>
      <c r="CQ807"/>
      <c r="CR807"/>
      <c r="CS807"/>
      <c r="CT807"/>
      <c r="CU807"/>
      <c r="CV807"/>
      <c r="CW807"/>
      <c r="CX807"/>
      <c r="CY807"/>
      <c r="CZ807"/>
      <c r="DA807"/>
      <c r="DB807"/>
      <c r="DC807"/>
      <c r="DD807"/>
      <c r="DE807"/>
      <c r="DF807"/>
      <c r="DG807"/>
      <c r="DH807"/>
      <c r="DI807"/>
      <c r="DJ807"/>
      <c r="DK807"/>
      <c r="DL807"/>
      <c r="DM807"/>
      <c r="DN807"/>
      <c r="DO807"/>
      <c r="DP807"/>
      <c r="DQ807"/>
      <c r="DR807"/>
      <c r="DS807"/>
      <c r="DT807"/>
      <c r="DU807"/>
      <c r="DV807"/>
      <c r="DW807"/>
      <c r="DX807"/>
      <c r="DY807"/>
      <c r="DZ807"/>
      <c r="EA807"/>
      <c r="EB807"/>
      <c r="EC807"/>
      <c r="ED807"/>
      <c r="EE807"/>
      <c r="EF807"/>
      <c r="EG807"/>
      <c r="EH807"/>
      <c r="EI807"/>
      <c r="EJ807"/>
      <c r="EK807"/>
      <c r="EL807"/>
      <c r="EM807"/>
      <c r="EN807"/>
      <c r="EO807"/>
      <c r="EP807"/>
      <c r="EQ807"/>
      <c r="ER807"/>
      <c r="ES807"/>
      <c r="ET807"/>
      <c r="EU807"/>
      <c r="EV807"/>
      <c r="EW807"/>
      <c r="EX807"/>
      <c r="EY807"/>
      <c r="EZ807"/>
      <c r="FA807"/>
      <c r="FB807"/>
      <c r="FC807"/>
      <c r="FD807"/>
      <c r="FE807"/>
      <c r="FF807"/>
      <c r="FG807"/>
      <c r="FH807"/>
      <c r="FI807"/>
      <c r="FJ807"/>
      <c r="FK807"/>
      <c r="FL807"/>
      <c r="FM807"/>
      <c r="FN807"/>
      <c r="FO807"/>
      <c r="FP807"/>
      <c r="FQ807"/>
      <c r="FR807"/>
      <c r="FS807"/>
      <c r="FT807"/>
      <c r="FU807"/>
      <c r="FV807"/>
      <c r="FW807"/>
      <c r="FX807"/>
      <c r="FY807"/>
      <c r="FZ807"/>
      <c r="GA807"/>
      <c r="GB807"/>
      <c r="GC807"/>
      <c r="GD807"/>
      <c r="GE807"/>
      <c r="GF807"/>
      <c r="GG807"/>
      <c r="GH807"/>
      <c r="GI807"/>
      <c r="GJ807"/>
      <c r="GK807"/>
      <c r="GL807"/>
      <c r="GM807"/>
      <c r="GN807"/>
      <c r="GO807"/>
      <c r="GP807"/>
      <c r="GQ807"/>
      <c r="GR807"/>
      <c r="GS807"/>
      <c r="GT807"/>
      <c r="GU807"/>
      <c r="GV807"/>
      <c r="GW807"/>
      <c r="GX807"/>
      <c r="GY807"/>
      <c r="GZ807"/>
      <c r="HA807"/>
      <c r="HB807"/>
      <c r="HC807"/>
      <c r="HD807"/>
      <c r="HE807"/>
      <c r="HF807"/>
      <c r="HG807"/>
      <c r="HH807"/>
      <c r="HI807"/>
      <c r="HJ807"/>
      <c r="HK807"/>
      <c r="HL807"/>
      <c r="HM807"/>
      <c r="HN807"/>
      <c r="HO807"/>
      <c r="HP807"/>
      <c r="HQ807"/>
      <c r="HR807"/>
      <c r="HS807"/>
      <c r="HT807"/>
      <c r="HU807"/>
      <c r="HV807"/>
      <c r="HW807"/>
      <c r="HX807"/>
      <c r="HY807"/>
      <c r="HZ807"/>
      <c r="IA807"/>
      <c r="IB807"/>
      <c r="IC807"/>
      <c r="ID807"/>
      <c r="IE807"/>
      <c r="IF807"/>
      <c r="IG807"/>
      <c r="IH807"/>
      <c r="II807"/>
      <c r="IJ807"/>
      <c r="IK807"/>
      <c r="IL807"/>
      <c r="IM807"/>
      <c r="IN807"/>
      <c r="IO807"/>
      <c r="IP807"/>
      <c r="IQ807"/>
      <c r="IR807"/>
      <c r="IS807"/>
      <c r="IT807"/>
      <c r="IU807"/>
      <c r="IV807"/>
    </row>
    <row r="808" spans="1:256" ht="12.75" hidden="1" customHeight="1" x14ac:dyDescent="0.2">
      <c r="A808" s="551"/>
      <c r="B808" s="639" t="s">
        <v>905</v>
      </c>
      <c r="C808" s="560">
        <f>100000+200000</f>
        <v>300000</v>
      </c>
      <c r="D808" s="562">
        <f>100000+200000</f>
        <v>300000</v>
      </c>
      <c r="E808" s="564">
        <v>0</v>
      </c>
      <c r="F808" s="580">
        <v>45548.22</v>
      </c>
      <c r="G808" s="127">
        <v>0</v>
      </c>
      <c r="H808"/>
      <c r="I808"/>
      <c r="J808"/>
      <c r="K808"/>
      <c r="L808"/>
      <c r="M808"/>
      <c r="N808"/>
      <c r="O808"/>
      <c r="P808"/>
      <c r="Q808"/>
      <c r="R808"/>
      <c r="S808"/>
      <c r="T808"/>
      <c r="U808"/>
      <c r="V808"/>
      <c r="W808"/>
      <c r="X808"/>
      <c r="Y808"/>
      <c r="Z808"/>
      <c r="AA808"/>
      <c r="AB808"/>
      <c r="AC808"/>
      <c r="AD808"/>
      <c r="AE808"/>
      <c r="AF808"/>
      <c r="AG808"/>
      <c r="AH808"/>
      <c r="AI808"/>
      <c r="AJ808"/>
      <c r="AK808"/>
      <c r="AL808"/>
      <c r="AM808"/>
      <c r="AN808"/>
      <c r="AO808"/>
      <c r="AP808"/>
      <c r="AQ808"/>
      <c r="AR808"/>
      <c r="AS808"/>
      <c r="AT808"/>
      <c r="AU808"/>
      <c r="AV808"/>
      <c r="AW808"/>
      <c r="AX808"/>
      <c r="AY808"/>
      <c r="AZ808"/>
      <c r="BA808"/>
      <c r="BB808"/>
      <c r="BC808"/>
      <c r="BD808"/>
      <c r="BE808"/>
      <c r="BF808"/>
      <c r="BG808"/>
      <c r="BH808"/>
      <c r="BI808"/>
      <c r="BJ808"/>
      <c r="BK808"/>
      <c r="BL808"/>
      <c r="BM808"/>
      <c r="BN808"/>
      <c r="BO808"/>
      <c r="BP808"/>
      <c r="BQ808"/>
      <c r="BR808"/>
      <c r="BS808"/>
      <c r="BT808"/>
      <c r="BU808"/>
      <c r="BV808"/>
      <c r="BW808"/>
      <c r="BX808"/>
      <c r="BY808"/>
      <c r="BZ808"/>
      <c r="CA808"/>
      <c r="CB808"/>
      <c r="CC808"/>
      <c r="CD808"/>
      <c r="CE808"/>
      <c r="CF808"/>
      <c r="CG808"/>
      <c r="CH808"/>
      <c r="CI808"/>
      <c r="CJ808"/>
      <c r="CK808"/>
      <c r="CL808"/>
      <c r="CM808"/>
      <c r="CN808"/>
      <c r="CO808"/>
      <c r="CP808"/>
      <c r="CQ808"/>
      <c r="CR808"/>
      <c r="CS808"/>
      <c r="CT808"/>
      <c r="CU808"/>
      <c r="CV808"/>
      <c r="CW808"/>
      <c r="CX808"/>
      <c r="CY808"/>
      <c r="CZ808"/>
      <c r="DA808"/>
      <c r="DB808"/>
      <c r="DC808"/>
      <c r="DD808"/>
      <c r="DE808"/>
      <c r="DF808"/>
      <c r="DG808"/>
      <c r="DH808"/>
      <c r="DI808"/>
      <c r="DJ808"/>
      <c r="DK808"/>
      <c r="DL808"/>
      <c r="DM808"/>
      <c r="DN808"/>
      <c r="DO808"/>
      <c r="DP808"/>
      <c r="DQ808"/>
      <c r="DR808"/>
      <c r="DS808"/>
      <c r="DT808"/>
      <c r="DU808"/>
      <c r="DV808"/>
      <c r="DW808"/>
      <c r="DX808"/>
      <c r="DY808"/>
      <c r="DZ808"/>
      <c r="EA808"/>
      <c r="EB808"/>
      <c r="EC808"/>
      <c r="ED808"/>
      <c r="EE808"/>
      <c r="EF808"/>
      <c r="EG808"/>
      <c r="EH808"/>
      <c r="EI808"/>
      <c r="EJ808"/>
      <c r="EK808"/>
      <c r="EL808"/>
      <c r="EM808"/>
      <c r="EN808"/>
      <c r="EO808"/>
      <c r="EP808"/>
      <c r="EQ808"/>
      <c r="ER808"/>
      <c r="ES808"/>
      <c r="ET808"/>
      <c r="EU808"/>
      <c r="EV808"/>
      <c r="EW808"/>
      <c r="EX808"/>
      <c r="EY808"/>
      <c r="EZ808"/>
      <c r="FA808"/>
      <c r="FB808"/>
      <c r="FC808"/>
      <c r="FD808"/>
      <c r="FE808"/>
      <c r="FF808"/>
      <c r="FG808"/>
      <c r="FH808"/>
      <c r="FI808"/>
      <c r="FJ808"/>
      <c r="FK808"/>
      <c r="FL808"/>
      <c r="FM808"/>
      <c r="FN808"/>
      <c r="FO808"/>
      <c r="FP808"/>
      <c r="FQ808"/>
      <c r="FR808"/>
      <c r="FS808"/>
      <c r="FT808"/>
      <c r="FU808"/>
      <c r="FV808"/>
      <c r="FW808"/>
      <c r="FX808"/>
      <c r="FY808"/>
      <c r="FZ808"/>
      <c r="GA808"/>
      <c r="GB808"/>
      <c r="GC808"/>
      <c r="GD808"/>
      <c r="GE808"/>
      <c r="GF808"/>
      <c r="GG808"/>
      <c r="GH808"/>
      <c r="GI808"/>
      <c r="GJ808"/>
      <c r="GK808"/>
      <c r="GL808"/>
      <c r="GM808"/>
      <c r="GN808"/>
      <c r="GO808"/>
      <c r="GP808"/>
      <c r="GQ808"/>
      <c r="GR808"/>
      <c r="GS808"/>
      <c r="GT808"/>
      <c r="GU808"/>
      <c r="GV808"/>
      <c r="GW808"/>
      <c r="GX808"/>
      <c r="GY808"/>
      <c r="GZ808"/>
      <c r="HA808"/>
      <c r="HB808"/>
      <c r="HC808"/>
      <c r="HD808"/>
      <c r="HE808"/>
      <c r="HF808"/>
      <c r="HG808"/>
      <c r="HH808"/>
      <c r="HI808"/>
      <c r="HJ808"/>
      <c r="HK808"/>
      <c r="HL808"/>
      <c r="HM808"/>
      <c r="HN808"/>
      <c r="HO808"/>
      <c r="HP808"/>
      <c r="HQ808"/>
      <c r="HR808"/>
      <c r="HS808"/>
      <c r="HT808"/>
      <c r="HU808"/>
      <c r="HV808"/>
      <c r="HW808"/>
      <c r="HX808"/>
      <c r="HY808"/>
      <c r="HZ808"/>
      <c r="IA808"/>
      <c r="IB808"/>
      <c r="IC808"/>
      <c r="ID808"/>
      <c r="IE808"/>
      <c r="IF808"/>
      <c r="IG808"/>
      <c r="IH808"/>
      <c r="II808"/>
      <c r="IJ808"/>
      <c r="IK808"/>
      <c r="IL808"/>
      <c r="IM808"/>
      <c r="IN808"/>
      <c r="IO808"/>
      <c r="IP808"/>
      <c r="IQ808"/>
      <c r="IR808"/>
      <c r="IS808"/>
      <c r="IT808"/>
      <c r="IU808"/>
      <c r="IV808"/>
    </row>
    <row r="809" spans="1:256" ht="12.75" hidden="1" customHeight="1" x14ac:dyDescent="0.2">
      <c r="A809" s="551"/>
      <c r="B809" s="584" t="s">
        <v>906</v>
      </c>
      <c r="C809" s="558">
        <v>100000</v>
      </c>
      <c r="D809" s="562">
        <v>100000</v>
      </c>
      <c r="E809" s="564">
        <v>0</v>
      </c>
      <c r="F809" s="580">
        <v>8712</v>
      </c>
      <c r="G809" s="127">
        <v>100000</v>
      </c>
      <c r="H809"/>
      <c r="I809"/>
      <c r="J809"/>
      <c r="K809"/>
      <c r="L809"/>
      <c r="M809"/>
      <c r="N809"/>
      <c r="O809"/>
      <c r="P809"/>
      <c r="Q809"/>
      <c r="R809"/>
      <c r="S809"/>
      <c r="T809"/>
      <c r="U809"/>
      <c r="V809"/>
      <c r="W809"/>
      <c r="X809"/>
      <c r="Y809"/>
      <c r="Z809"/>
      <c r="AA809"/>
      <c r="AB809"/>
      <c r="AC809"/>
      <c r="AD809"/>
      <c r="AE809"/>
      <c r="AF809"/>
      <c r="AG809"/>
      <c r="AH809"/>
      <c r="AI809"/>
      <c r="AJ809"/>
      <c r="AK809"/>
      <c r="AL809"/>
      <c r="AM809"/>
      <c r="AN809"/>
      <c r="AO809"/>
      <c r="AP809"/>
      <c r="AQ809"/>
      <c r="AR809"/>
      <c r="AS809"/>
      <c r="AT809"/>
      <c r="AU809"/>
      <c r="AV809"/>
      <c r="AW809"/>
      <c r="AX809"/>
      <c r="AY809"/>
      <c r="AZ809"/>
      <c r="BA809"/>
      <c r="BB809"/>
      <c r="BC809"/>
      <c r="BD809"/>
      <c r="BE809"/>
      <c r="BF809"/>
      <c r="BG809"/>
      <c r="BH809"/>
      <c r="BI809"/>
      <c r="BJ809"/>
      <c r="BK809"/>
      <c r="BL809"/>
      <c r="BM809"/>
      <c r="BN809"/>
      <c r="BO809"/>
      <c r="BP809"/>
      <c r="BQ809"/>
      <c r="BR809"/>
      <c r="BS809"/>
      <c r="BT809"/>
      <c r="BU809"/>
      <c r="BV809"/>
      <c r="BW809"/>
      <c r="BX809"/>
      <c r="BY809"/>
      <c r="BZ809"/>
      <c r="CA809"/>
      <c r="CB809"/>
      <c r="CC809"/>
      <c r="CD809"/>
      <c r="CE809"/>
      <c r="CF809"/>
      <c r="CG809"/>
      <c r="CH809"/>
      <c r="CI809"/>
      <c r="CJ809"/>
      <c r="CK809"/>
      <c r="CL809"/>
      <c r="CM809"/>
      <c r="CN809"/>
      <c r="CO809"/>
      <c r="CP809"/>
      <c r="CQ809"/>
      <c r="CR809"/>
      <c r="CS809"/>
      <c r="CT809"/>
      <c r="CU809"/>
      <c r="CV809"/>
      <c r="CW809"/>
      <c r="CX809"/>
      <c r="CY809"/>
      <c r="CZ809"/>
      <c r="DA809"/>
      <c r="DB809"/>
      <c r="DC809"/>
      <c r="DD809"/>
      <c r="DE809"/>
      <c r="DF809"/>
      <c r="DG809"/>
      <c r="DH809"/>
      <c r="DI809"/>
      <c r="DJ809"/>
      <c r="DK809"/>
      <c r="DL809"/>
      <c r="DM809"/>
      <c r="DN809"/>
      <c r="DO809"/>
      <c r="DP809"/>
      <c r="DQ809"/>
      <c r="DR809"/>
      <c r="DS809"/>
      <c r="DT809"/>
      <c r="DU809"/>
      <c r="DV809"/>
      <c r="DW809"/>
      <c r="DX809"/>
      <c r="DY809"/>
      <c r="DZ809"/>
      <c r="EA809"/>
      <c r="EB809"/>
      <c r="EC809"/>
      <c r="ED809"/>
      <c r="EE809"/>
      <c r="EF809"/>
      <c r="EG809"/>
      <c r="EH809"/>
      <c r="EI809"/>
      <c r="EJ809"/>
      <c r="EK809"/>
      <c r="EL809"/>
      <c r="EM809"/>
      <c r="EN809"/>
      <c r="EO809"/>
      <c r="EP809"/>
      <c r="EQ809"/>
      <c r="ER809"/>
      <c r="ES809"/>
      <c r="ET809"/>
      <c r="EU809"/>
      <c r="EV809"/>
      <c r="EW809"/>
      <c r="EX809"/>
      <c r="EY809"/>
      <c r="EZ809"/>
      <c r="FA809"/>
      <c r="FB809"/>
      <c r="FC809"/>
      <c r="FD809"/>
      <c r="FE809"/>
      <c r="FF809"/>
      <c r="FG809"/>
      <c r="FH809"/>
      <c r="FI809"/>
      <c r="FJ809"/>
      <c r="FK809"/>
      <c r="FL809"/>
      <c r="FM809"/>
      <c r="FN809"/>
      <c r="FO809"/>
      <c r="FP809"/>
      <c r="FQ809"/>
      <c r="FR809"/>
      <c r="FS809"/>
      <c r="FT809"/>
      <c r="FU809"/>
      <c r="FV809"/>
      <c r="FW809"/>
      <c r="FX809"/>
      <c r="FY809"/>
      <c r="FZ809"/>
      <c r="GA809"/>
      <c r="GB809"/>
      <c r="GC809"/>
      <c r="GD809"/>
      <c r="GE809"/>
      <c r="GF809"/>
      <c r="GG809"/>
      <c r="GH809"/>
      <c r="GI809"/>
      <c r="GJ809"/>
      <c r="GK809"/>
      <c r="GL809"/>
      <c r="GM809"/>
      <c r="GN809"/>
      <c r="GO809"/>
      <c r="GP809"/>
      <c r="GQ809"/>
      <c r="GR809"/>
      <c r="GS809"/>
      <c r="GT809"/>
      <c r="GU809"/>
      <c r="GV809"/>
      <c r="GW809"/>
      <c r="GX809"/>
      <c r="GY809"/>
      <c r="GZ809"/>
      <c r="HA809"/>
      <c r="HB809"/>
      <c r="HC809"/>
      <c r="HD809"/>
      <c r="HE809"/>
      <c r="HF809"/>
      <c r="HG809"/>
      <c r="HH809"/>
      <c r="HI809"/>
      <c r="HJ809"/>
      <c r="HK809"/>
      <c r="HL809"/>
      <c r="HM809"/>
      <c r="HN809"/>
      <c r="HO809"/>
      <c r="HP809"/>
      <c r="HQ809"/>
      <c r="HR809"/>
      <c r="HS809"/>
      <c r="HT809"/>
      <c r="HU809"/>
      <c r="HV809"/>
      <c r="HW809"/>
      <c r="HX809"/>
      <c r="HY809"/>
      <c r="HZ809"/>
      <c r="IA809"/>
      <c r="IB809"/>
      <c r="IC809"/>
      <c r="ID809"/>
      <c r="IE809"/>
      <c r="IF809"/>
      <c r="IG809"/>
      <c r="IH809"/>
      <c r="II809"/>
      <c r="IJ809"/>
      <c r="IK809"/>
      <c r="IL809"/>
      <c r="IM809"/>
      <c r="IN809"/>
      <c r="IO809"/>
      <c r="IP809"/>
      <c r="IQ809"/>
      <c r="IR809"/>
      <c r="IS809"/>
      <c r="IT809"/>
      <c r="IU809"/>
      <c r="IV809"/>
    </row>
    <row r="810" spans="1:256" ht="12.75" hidden="1" customHeight="1" x14ac:dyDescent="0.2">
      <c r="A810" s="551"/>
      <c r="B810" s="639" t="s">
        <v>907</v>
      </c>
      <c r="C810" s="560">
        <v>100000</v>
      </c>
      <c r="D810" s="562">
        <v>100000</v>
      </c>
      <c r="E810" s="564">
        <v>100000</v>
      </c>
      <c r="F810" s="580">
        <v>0</v>
      </c>
      <c r="G810" s="127">
        <v>250000</v>
      </c>
      <c r="H810"/>
      <c r="I810"/>
      <c r="J810"/>
      <c r="K810"/>
      <c r="L810"/>
      <c r="M810"/>
      <c r="N810"/>
      <c r="O810"/>
      <c r="P810"/>
      <c r="Q810"/>
      <c r="R810"/>
      <c r="S810"/>
      <c r="T810"/>
      <c r="U810"/>
      <c r="V810"/>
      <c r="W810"/>
      <c r="X810"/>
      <c r="Y810"/>
      <c r="Z810"/>
      <c r="AA810"/>
      <c r="AB810"/>
      <c r="AC810"/>
      <c r="AD810"/>
      <c r="AE810"/>
      <c r="AF810"/>
      <c r="AG810"/>
      <c r="AH810"/>
      <c r="AI810"/>
      <c r="AJ810"/>
      <c r="AK810"/>
      <c r="AL810"/>
      <c r="AM810"/>
      <c r="AN810"/>
      <c r="AO810"/>
      <c r="AP810"/>
      <c r="AQ810"/>
      <c r="AR810"/>
      <c r="AS810"/>
      <c r="AT810"/>
      <c r="AU810"/>
      <c r="AV810"/>
      <c r="AW810"/>
      <c r="AX810"/>
      <c r="AY810"/>
      <c r="AZ810"/>
      <c r="BA810"/>
      <c r="BB810"/>
      <c r="BC810"/>
      <c r="BD810"/>
      <c r="BE810"/>
      <c r="BF810"/>
      <c r="BG810"/>
      <c r="BH810"/>
      <c r="BI810"/>
      <c r="BJ810"/>
      <c r="BK810"/>
      <c r="BL810"/>
      <c r="BM810"/>
      <c r="BN810"/>
      <c r="BO810"/>
      <c r="BP810"/>
      <c r="BQ810"/>
      <c r="BR810"/>
      <c r="BS810"/>
      <c r="BT810"/>
      <c r="BU810"/>
      <c r="BV810"/>
      <c r="BW810"/>
      <c r="BX810"/>
      <c r="BY810"/>
      <c r="BZ810"/>
      <c r="CA810"/>
      <c r="CB810"/>
      <c r="CC810"/>
      <c r="CD810"/>
      <c r="CE810"/>
      <c r="CF810"/>
      <c r="CG810"/>
      <c r="CH810"/>
      <c r="CI810"/>
      <c r="CJ810"/>
      <c r="CK810"/>
      <c r="CL810"/>
      <c r="CM810"/>
      <c r="CN810"/>
      <c r="CO810"/>
      <c r="CP810"/>
      <c r="CQ810"/>
      <c r="CR810"/>
      <c r="CS810"/>
      <c r="CT810"/>
      <c r="CU810"/>
      <c r="CV810"/>
      <c r="CW810"/>
      <c r="CX810"/>
      <c r="CY810"/>
      <c r="CZ810"/>
      <c r="DA810"/>
      <c r="DB810"/>
      <c r="DC810"/>
      <c r="DD810"/>
      <c r="DE810"/>
      <c r="DF810"/>
      <c r="DG810"/>
      <c r="DH810"/>
      <c r="DI810"/>
      <c r="DJ810"/>
      <c r="DK810"/>
      <c r="DL810"/>
      <c r="DM810"/>
      <c r="DN810"/>
      <c r="DO810"/>
      <c r="DP810"/>
      <c r="DQ810"/>
      <c r="DR810"/>
      <c r="DS810"/>
      <c r="DT810"/>
      <c r="DU810"/>
      <c r="DV810"/>
      <c r="DW810"/>
      <c r="DX810"/>
      <c r="DY810"/>
      <c r="DZ810"/>
      <c r="EA810"/>
      <c r="EB810"/>
      <c r="EC810"/>
      <c r="ED810"/>
      <c r="EE810"/>
      <c r="EF810"/>
      <c r="EG810"/>
      <c r="EH810"/>
      <c r="EI810"/>
      <c r="EJ810"/>
      <c r="EK810"/>
      <c r="EL810"/>
      <c r="EM810"/>
      <c r="EN810"/>
      <c r="EO810"/>
      <c r="EP810"/>
      <c r="EQ810"/>
      <c r="ER810"/>
      <c r="ES810"/>
      <c r="ET810"/>
      <c r="EU810"/>
      <c r="EV810"/>
      <c r="EW810"/>
      <c r="EX810"/>
      <c r="EY810"/>
      <c r="EZ810"/>
      <c r="FA810"/>
      <c r="FB810"/>
      <c r="FC810"/>
      <c r="FD810"/>
      <c r="FE810"/>
      <c r="FF810"/>
      <c r="FG810"/>
      <c r="FH810"/>
      <c r="FI810"/>
      <c r="FJ810"/>
      <c r="FK810"/>
      <c r="FL810"/>
      <c r="FM810"/>
      <c r="FN810"/>
      <c r="FO810"/>
      <c r="FP810"/>
      <c r="FQ810"/>
      <c r="FR810"/>
      <c r="FS810"/>
      <c r="FT810"/>
      <c r="FU810"/>
      <c r="FV810"/>
      <c r="FW810"/>
      <c r="FX810"/>
      <c r="FY810"/>
      <c r="FZ810"/>
      <c r="GA810"/>
      <c r="GB810"/>
      <c r="GC810"/>
      <c r="GD810"/>
      <c r="GE810"/>
      <c r="GF810"/>
      <c r="GG810"/>
      <c r="GH810"/>
      <c r="GI810"/>
      <c r="GJ810"/>
      <c r="GK810"/>
      <c r="GL810"/>
      <c r="GM810"/>
      <c r="GN810"/>
      <c r="GO810"/>
      <c r="GP810"/>
      <c r="GQ810"/>
      <c r="GR810"/>
      <c r="GS810"/>
      <c r="GT810"/>
      <c r="GU810"/>
      <c r="GV810"/>
      <c r="GW810"/>
      <c r="GX810"/>
      <c r="GY810"/>
      <c r="GZ810"/>
      <c r="HA810"/>
      <c r="HB810"/>
      <c r="HC810"/>
      <c r="HD810"/>
      <c r="HE810"/>
      <c r="HF810"/>
      <c r="HG810"/>
      <c r="HH810"/>
      <c r="HI810"/>
      <c r="HJ810"/>
      <c r="HK810"/>
      <c r="HL810"/>
      <c r="HM810"/>
      <c r="HN810"/>
      <c r="HO810"/>
      <c r="HP810"/>
      <c r="HQ810"/>
      <c r="HR810"/>
      <c r="HS810"/>
      <c r="HT810"/>
      <c r="HU810"/>
      <c r="HV810"/>
      <c r="HW810"/>
      <c r="HX810"/>
      <c r="HY810"/>
      <c r="HZ810"/>
      <c r="IA810"/>
      <c r="IB810"/>
      <c r="IC810"/>
      <c r="ID810"/>
      <c r="IE810"/>
      <c r="IF810"/>
      <c r="IG810"/>
      <c r="IH810"/>
      <c r="II810"/>
      <c r="IJ810"/>
      <c r="IK810"/>
      <c r="IL810"/>
      <c r="IM810"/>
      <c r="IN810"/>
      <c r="IO810"/>
      <c r="IP810"/>
      <c r="IQ810"/>
      <c r="IR810"/>
      <c r="IS810"/>
      <c r="IT810"/>
      <c r="IU810"/>
      <c r="IV810"/>
    </row>
    <row r="811" spans="1:256" ht="12.75" hidden="1" customHeight="1" x14ac:dyDescent="0.2">
      <c r="A811" s="551"/>
      <c r="B811" s="557" t="s">
        <v>908</v>
      </c>
      <c r="C811" s="558">
        <v>600000</v>
      </c>
      <c r="D811" s="562">
        <f>600000-2000</f>
        <v>598000</v>
      </c>
      <c r="E811" s="564">
        <v>598000</v>
      </c>
      <c r="F811" s="580">
        <f>30660+256090+11017</f>
        <v>297767</v>
      </c>
      <c r="G811" s="127">
        <v>700000</v>
      </c>
      <c r="H811"/>
      <c r="I811"/>
      <c r="J811"/>
      <c r="K811"/>
      <c r="L811"/>
      <c r="M811"/>
      <c r="N811"/>
      <c r="O811"/>
      <c r="P811"/>
      <c r="Q811"/>
      <c r="R811"/>
      <c r="S811"/>
      <c r="T811"/>
      <c r="U811"/>
      <c r="V811"/>
      <c r="W811"/>
      <c r="X811"/>
      <c r="Y811"/>
      <c r="Z811"/>
      <c r="AA811"/>
      <c r="AB811"/>
      <c r="AC811"/>
      <c r="AD811"/>
      <c r="AE811"/>
      <c r="AF811"/>
      <c r="AG811"/>
      <c r="AH811"/>
      <c r="AI811"/>
      <c r="AJ811"/>
      <c r="AK811"/>
      <c r="AL811"/>
      <c r="AM811"/>
      <c r="AN811"/>
      <c r="AO811"/>
      <c r="AP811"/>
      <c r="AQ811"/>
      <c r="AR811"/>
      <c r="AS811"/>
      <c r="AT811"/>
      <c r="AU811"/>
      <c r="AV811"/>
      <c r="AW811"/>
      <c r="AX811"/>
      <c r="AY811"/>
      <c r="AZ811"/>
      <c r="BA811"/>
      <c r="BB811"/>
      <c r="BC811"/>
      <c r="BD811"/>
      <c r="BE811"/>
      <c r="BF811"/>
      <c r="BG811"/>
      <c r="BH811"/>
      <c r="BI811"/>
      <c r="BJ811"/>
      <c r="BK811"/>
      <c r="BL811"/>
      <c r="BM811"/>
      <c r="BN811"/>
      <c r="BO811"/>
      <c r="BP811"/>
      <c r="BQ811"/>
      <c r="BR811"/>
      <c r="BS811"/>
      <c r="BT811"/>
      <c r="BU811"/>
      <c r="BV811"/>
      <c r="BW811"/>
      <c r="BX811"/>
      <c r="BY811"/>
      <c r="BZ811"/>
      <c r="CA811"/>
      <c r="CB811"/>
      <c r="CC811"/>
      <c r="CD811"/>
      <c r="CE811"/>
      <c r="CF811"/>
      <c r="CG811"/>
      <c r="CH811"/>
      <c r="CI811"/>
      <c r="CJ811"/>
      <c r="CK811"/>
      <c r="CL811"/>
      <c r="CM811"/>
      <c r="CN811"/>
      <c r="CO811"/>
      <c r="CP811"/>
      <c r="CQ811"/>
      <c r="CR811"/>
      <c r="CS811"/>
      <c r="CT811"/>
      <c r="CU811"/>
      <c r="CV811"/>
      <c r="CW811"/>
      <c r="CX811"/>
      <c r="CY811"/>
      <c r="CZ811"/>
      <c r="DA811"/>
      <c r="DB811"/>
      <c r="DC811"/>
      <c r="DD811"/>
      <c r="DE811"/>
      <c r="DF811"/>
      <c r="DG811"/>
      <c r="DH811"/>
      <c r="DI811"/>
      <c r="DJ811"/>
      <c r="DK811"/>
      <c r="DL811"/>
      <c r="DM811"/>
      <c r="DN811"/>
      <c r="DO811"/>
      <c r="DP811"/>
      <c r="DQ811"/>
      <c r="DR811"/>
      <c r="DS811"/>
      <c r="DT811"/>
      <c r="DU811"/>
      <c r="DV811"/>
      <c r="DW811"/>
      <c r="DX811"/>
      <c r="DY811"/>
      <c r="DZ811"/>
      <c r="EA811"/>
      <c r="EB811"/>
      <c r="EC811"/>
      <c r="ED811"/>
      <c r="EE811"/>
      <c r="EF811"/>
      <c r="EG811"/>
      <c r="EH811"/>
      <c r="EI811"/>
      <c r="EJ811"/>
      <c r="EK811"/>
      <c r="EL811"/>
      <c r="EM811"/>
      <c r="EN811"/>
      <c r="EO811"/>
      <c r="EP811"/>
      <c r="EQ811"/>
      <c r="ER811"/>
      <c r="ES811"/>
      <c r="ET811"/>
      <c r="EU811"/>
      <c r="EV811"/>
      <c r="EW811"/>
      <c r="EX811"/>
      <c r="EY811"/>
      <c r="EZ811"/>
      <c r="FA811"/>
      <c r="FB811"/>
      <c r="FC811"/>
      <c r="FD811"/>
      <c r="FE811"/>
      <c r="FF811"/>
      <c r="FG811"/>
      <c r="FH811"/>
      <c r="FI811"/>
      <c r="FJ811"/>
      <c r="FK811"/>
      <c r="FL811"/>
      <c r="FM811"/>
      <c r="FN811"/>
      <c r="FO811"/>
      <c r="FP811"/>
      <c r="FQ811"/>
      <c r="FR811"/>
      <c r="FS811"/>
      <c r="FT811"/>
      <c r="FU811"/>
      <c r="FV811"/>
      <c r="FW811"/>
      <c r="FX811"/>
      <c r="FY811"/>
      <c r="FZ811"/>
      <c r="GA811"/>
      <c r="GB811"/>
      <c r="GC811"/>
      <c r="GD811"/>
      <c r="GE811"/>
      <c r="GF811"/>
      <c r="GG811"/>
      <c r="GH811"/>
      <c r="GI811"/>
      <c r="GJ811"/>
      <c r="GK811"/>
      <c r="GL811"/>
      <c r="GM811"/>
      <c r="GN811"/>
      <c r="GO811"/>
      <c r="GP811"/>
      <c r="GQ811"/>
      <c r="GR811"/>
      <c r="GS811"/>
      <c r="GT811"/>
      <c r="GU811"/>
      <c r="GV811"/>
      <c r="GW811"/>
      <c r="GX811"/>
      <c r="GY811"/>
      <c r="GZ811"/>
      <c r="HA811"/>
      <c r="HB811"/>
      <c r="HC811"/>
      <c r="HD811"/>
      <c r="HE811"/>
      <c r="HF811"/>
      <c r="HG811"/>
      <c r="HH811"/>
      <c r="HI811"/>
      <c r="HJ811"/>
      <c r="HK811"/>
      <c r="HL811"/>
      <c r="HM811"/>
      <c r="HN811"/>
      <c r="HO811"/>
      <c r="HP811"/>
      <c r="HQ811"/>
      <c r="HR811"/>
      <c r="HS811"/>
      <c r="HT811"/>
      <c r="HU811"/>
      <c r="HV811"/>
      <c r="HW811"/>
      <c r="HX811"/>
      <c r="HY811"/>
      <c r="HZ811"/>
      <c r="IA811"/>
      <c r="IB811"/>
      <c r="IC811"/>
      <c r="ID811"/>
      <c r="IE811"/>
      <c r="IF811"/>
      <c r="IG811"/>
      <c r="IH811"/>
      <c r="II811"/>
      <c r="IJ811"/>
      <c r="IK811"/>
      <c r="IL811"/>
      <c r="IM811"/>
      <c r="IN811"/>
      <c r="IO811"/>
      <c r="IP811"/>
      <c r="IQ811"/>
      <c r="IR811"/>
      <c r="IS811"/>
      <c r="IT811"/>
      <c r="IU811"/>
      <c r="IV811"/>
    </row>
    <row r="812" spans="1:256" ht="12.75" hidden="1" customHeight="1" x14ac:dyDescent="0.2">
      <c r="A812" s="551"/>
      <c r="B812" s="639" t="s">
        <v>909</v>
      </c>
      <c r="C812" s="560">
        <v>1470000</v>
      </c>
      <c r="D812" s="562">
        <v>1480450</v>
      </c>
      <c r="E812" s="564">
        <v>1480450</v>
      </c>
      <c r="F812" s="580">
        <v>990450</v>
      </c>
      <c r="G812" s="127">
        <v>1550000</v>
      </c>
      <c r="H812"/>
      <c r="I812"/>
      <c r="J812"/>
      <c r="K812"/>
      <c r="L812"/>
      <c r="M812"/>
      <c r="N812"/>
      <c r="O812"/>
      <c r="P812"/>
      <c r="Q812"/>
      <c r="R812"/>
      <c r="S812"/>
      <c r="T812"/>
      <c r="U812"/>
      <c r="V812"/>
      <c r="W812"/>
      <c r="X812"/>
      <c r="Y812"/>
      <c r="Z812"/>
      <c r="AA812"/>
      <c r="AB812"/>
      <c r="AC812"/>
      <c r="AD812"/>
      <c r="AE812"/>
      <c r="AF812"/>
      <c r="AG812"/>
      <c r="AH812"/>
      <c r="AI812"/>
      <c r="AJ812"/>
      <c r="AK812"/>
      <c r="AL812"/>
      <c r="AM812"/>
      <c r="AN812"/>
      <c r="AO812"/>
      <c r="AP812"/>
      <c r="AQ812"/>
      <c r="AR812"/>
      <c r="AS812"/>
      <c r="AT812"/>
      <c r="AU812"/>
      <c r="AV812"/>
      <c r="AW812"/>
      <c r="AX812"/>
      <c r="AY812"/>
      <c r="AZ812"/>
      <c r="BA812"/>
      <c r="BB812"/>
      <c r="BC812"/>
      <c r="BD812"/>
      <c r="BE812"/>
      <c r="BF812"/>
      <c r="BG812"/>
      <c r="BH812"/>
      <c r="BI812"/>
      <c r="BJ812"/>
      <c r="BK812"/>
      <c r="BL812"/>
      <c r="BM812"/>
      <c r="BN812"/>
      <c r="BO812"/>
      <c r="BP812"/>
      <c r="BQ812"/>
      <c r="BR812"/>
      <c r="BS812"/>
      <c r="BT812"/>
      <c r="BU812"/>
      <c r="BV812"/>
      <c r="BW812"/>
      <c r="BX812"/>
      <c r="BY812"/>
      <c r="BZ812"/>
      <c r="CA812"/>
      <c r="CB812"/>
      <c r="CC812"/>
      <c r="CD812"/>
      <c r="CE812"/>
      <c r="CF812"/>
      <c r="CG812"/>
      <c r="CH812"/>
      <c r="CI812"/>
      <c r="CJ812"/>
      <c r="CK812"/>
      <c r="CL812"/>
      <c r="CM812"/>
      <c r="CN812"/>
      <c r="CO812"/>
      <c r="CP812"/>
      <c r="CQ812"/>
      <c r="CR812"/>
      <c r="CS812"/>
      <c r="CT812"/>
      <c r="CU812"/>
      <c r="CV812"/>
      <c r="CW812"/>
      <c r="CX812"/>
      <c r="CY812"/>
      <c r="CZ812"/>
      <c r="DA812"/>
      <c r="DB812"/>
      <c r="DC812"/>
      <c r="DD812"/>
      <c r="DE812"/>
      <c r="DF812"/>
      <c r="DG812"/>
      <c r="DH812"/>
      <c r="DI812"/>
      <c r="DJ812"/>
      <c r="DK812"/>
      <c r="DL812"/>
      <c r="DM812"/>
      <c r="DN812"/>
      <c r="DO812"/>
      <c r="DP812"/>
      <c r="DQ812"/>
      <c r="DR812"/>
      <c r="DS812"/>
      <c r="DT812"/>
      <c r="DU812"/>
      <c r="DV812"/>
      <c r="DW812"/>
      <c r="DX812"/>
      <c r="DY812"/>
      <c r="DZ812"/>
      <c r="EA812"/>
      <c r="EB812"/>
      <c r="EC812"/>
      <c r="ED812"/>
      <c r="EE812"/>
      <c r="EF812"/>
      <c r="EG812"/>
      <c r="EH812"/>
      <c r="EI812"/>
      <c r="EJ812"/>
      <c r="EK812"/>
      <c r="EL812"/>
      <c r="EM812"/>
      <c r="EN812"/>
      <c r="EO812"/>
      <c r="EP812"/>
      <c r="EQ812"/>
      <c r="ER812"/>
      <c r="ES812"/>
      <c r="ET812"/>
      <c r="EU812"/>
      <c r="EV812"/>
      <c r="EW812"/>
      <c r="EX812"/>
      <c r="EY812"/>
      <c r="EZ812"/>
      <c r="FA812"/>
      <c r="FB812"/>
      <c r="FC812"/>
      <c r="FD812"/>
      <c r="FE812"/>
      <c r="FF812"/>
      <c r="FG812"/>
      <c r="FH812"/>
      <c r="FI812"/>
      <c r="FJ812"/>
      <c r="FK812"/>
      <c r="FL812"/>
      <c r="FM812"/>
      <c r="FN812"/>
      <c r="FO812"/>
      <c r="FP812"/>
      <c r="FQ812"/>
      <c r="FR812"/>
      <c r="FS812"/>
      <c r="FT812"/>
      <c r="FU812"/>
      <c r="FV812"/>
      <c r="FW812"/>
      <c r="FX812"/>
      <c r="FY812"/>
      <c r="FZ812"/>
      <c r="GA812"/>
      <c r="GB812"/>
      <c r="GC812"/>
      <c r="GD812"/>
      <c r="GE812"/>
      <c r="GF812"/>
      <c r="GG812"/>
      <c r="GH812"/>
      <c r="GI812"/>
      <c r="GJ812"/>
      <c r="GK812"/>
      <c r="GL812"/>
      <c r="GM812"/>
      <c r="GN812"/>
      <c r="GO812"/>
      <c r="GP812"/>
      <c r="GQ812"/>
      <c r="GR812"/>
      <c r="GS812"/>
      <c r="GT812"/>
      <c r="GU812"/>
      <c r="GV812"/>
      <c r="GW812"/>
      <c r="GX812"/>
      <c r="GY812"/>
      <c r="GZ812"/>
      <c r="HA812"/>
      <c r="HB812"/>
      <c r="HC812"/>
      <c r="HD812"/>
      <c r="HE812"/>
      <c r="HF812"/>
      <c r="HG812"/>
      <c r="HH812"/>
      <c r="HI812"/>
      <c r="HJ812"/>
      <c r="HK812"/>
      <c r="HL812"/>
      <c r="HM812"/>
      <c r="HN812"/>
      <c r="HO812"/>
      <c r="HP812"/>
      <c r="HQ812"/>
      <c r="HR812"/>
      <c r="HS812"/>
      <c r="HT812"/>
      <c r="HU812"/>
      <c r="HV812"/>
      <c r="HW812"/>
      <c r="HX812"/>
      <c r="HY812"/>
      <c r="HZ812"/>
      <c r="IA812"/>
      <c r="IB812"/>
      <c r="IC812"/>
      <c r="ID812"/>
      <c r="IE812"/>
      <c r="IF812"/>
      <c r="IG812"/>
      <c r="IH812"/>
      <c r="II812"/>
      <c r="IJ812"/>
      <c r="IK812"/>
      <c r="IL812"/>
      <c r="IM812"/>
      <c r="IN812"/>
      <c r="IO812"/>
      <c r="IP812"/>
      <c r="IQ812"/>
      <c r="IR812"/>
      <c r="IS812"/>
      <c r="IT812"/>
      <c r="IU812"/>
      <c r="IV812"/>
    </row>
    <row r="813" spans="1:256" ht="12.75" hidden="1" customHeight="1" x14ac:dyDescent="0.2">
      <c r="A813" s="594"/>
      <c r="B813" s="627" t="s">
        <v>910</v>
      </c>
      <c r="C813" s="558"/>
      <c r="D813" s="562"/>
      <c r="E813" s="564"/>
      <c r="F813" s="580"/>
      <c r="G813" s="127">
        <v>50000</v>
      </c>
      <c r="H813"/>
      <c r="I813"/>
      <c r="J813"/>
      <c r="K813"/>
      <c r="L813"/>
      <c r="M813"/>
      <c r="N813"/>
      <c r="O813"/>
      <c r="P813"/>
      <c r="Q813"/>
      <c r="R813"/>
      <c r="S813"/>
      <c r="T813"/>
      <c r="U813"/>
      <c r="V813"/>
      <c r="W813"/>
      <c r="X813"/>
      <c r="Y813"/>
      <c r="Z813"/>
      <c r="AA813"/>
      <c r="AB813"/>
      <c r="AC813"/>
      <c r="AD813"/>
      <c r="AE813"/>
      <c r="AF813"/>
      <c r="AG813"/>
      <c r="AH813"/>
      <c r="AI813"/>
      <c r="AJ813"/>
      <c r="AK813"/>
      <c r="AL813"/>
      <c r="AM813"/>
      <c r="AN813"/>
      <c r="AO813"/>
      <c r="AP813"/>
      <c r="AQ813"/>
      <c r="AR813"/>
      <c r="AS813"/>
      <c r="AT813"/>
      <c r="AU813"/>
      <c r="AV813"/>
      <c r="AW813"/>
      <c r="AX813"/>
      <c r="AY813"/>
      <c r="AZ813"/>
      <c r="BA813"/>
      <c r="BB813"/>
      <c r="BC813"/>
      <c r="BD813"/>
      <c r="BE813"/>
      <c r="BF813"/>
      <c r="BG813"/>
      <c r="BH813"/>
      <c r="BI813"/>
      <c r="BJ813"/>
      <c r="BK813"/>
      <c r="BL813"/>
      <c r="BM813"/>
      <c r="BN813"/>
      <c r="BO813"/>
      <c r="BP813"/>
      <c r="BQ813"/>
      <c r="BR813"/>
      <c r="BS813"/>
      <c r="BT813"/>
      <c r="BU813"/>
      <c r="BV813"/>
      <c r="BW813"/>
      <c r="BX813"/>
      <c r="BY813"/>
      <c r="BZ813"/>
      <c r="CA813"/>
      <c r="CB813"/>
      <c r="CC813"/>
      <c r="CD813"/>
      <c r="CE813"/>
      <c r="CF813"/>
      <c r="CG813"/>
      <c r="CH813"/>
      <c r="CI813"/>
      <c r="CJ813"/>
      <c r="CK813"/>
      <c r="CL813"/>
      <c r="CM813"/>
      <c r="CN813"/>
      <c r="CO813"/>
      <c r="CP813"/>
      <c r="CQ813"/>
      <c r="CR813"/>
      <c r="CS813"/>
      <c r="CT813"/>
      <c r="CU813"/>
      <c r="CV813"/>
      <c r="CW813"/>
      <c r="CX813"/>
      <c r="CY813"/>
      <c r="CZ813"/>
      <c r="DA813"/>
      <c r="DB813"/>
      <c r="DC813"/>
      <c r="DD813"/>
      <c r="DE813"/>
      <c r="DF813"/>
      <c r="DG813"/>
      <c r="DH813"/>
      <c r="DI813"/>
      <c r="DJ813"/>
      <c r="DK813"/>
      <c r="DL813"/>
      <c r="DM813"/>
      <c r="DN813"/>
      <c r="DO813"/>
      <c r="DP813"/>
      <c r="DQ813"/>
      <c r="DR813"/>
      <c r="DS813"/>
      <c r="DT813"/>
      <c r="DU813"/>
      <c r="DV813"/>
      <c r="DW813"/>
      <c r="DX813"/>
      <c r="DY813"/>
      <c r="DZ813"/>
      <c r="EA813"/>
      <c r="EB813"/>
      <c r="EC813"/>
      <c r="ED813"/>
      <c r="EE813"/>
      <c r="EF813"/>
      <c r="EG813"/>
      <c r="EH813"/>
      <c r="EI813"/>
      <c r="EJ813"/>
      <c r="EK813"/>
      <c r="EL813"/>
      <c r="EM813"/>
      <c r="EN813"/>
      <c r="EO813"/>
      <c r="EP813"/>
      <c r="EQ813"/>
      <c r="ER813"/>
      <c r="ES813"/>
      <c r="ET813"/>
      <c r="EU813"/>
      <c r="EV813"/>
      <c r="EW813"/>
      <c r="EX813"/>
      <c r="EY813"/>
      <c r="EZ813"/>
      <c r="FA813"/>
      <c r="FB813"/>
      <c r="FC813"/>
      <c r="FD813"/>
      <c r="FE813"/>
      <c r="FF813"/>
      <c r="FG813"/>
      <c r="FH813"/>
      <c r="FI813"/>
      <c r="FJ813"/>
      <c r="FK813"/>
      <c r="FL813"/>
      <c r="FM813"/>
      <c r="FN813"/>
      <c r="FO813"/>
      <c r="FP813"/>
      <c r="FQ813"/>
      <c r="FR813"/>
      <c r="FS813"/>
      <c r="FT813"/>
      <c r="FU813"/>
      <c r="FV813"/>
      <c r="FW813"/>
      <c r="FX813"/>
      <c r="FY813"/>
      <c r="FZ813"/>
      <c r="GA813"/>
      <c r="GB813"/>
      <c r="GC813"/>
      <c r="GD813"/>
      <c r="GE813"/>
      <c r="GF813"/>
      <c r="GG813"/>
      <c r="GH813"/>
      <c r="GI813"/>
      <c r="GJ813"/>
      <c r="GK813"/>
      <c r="GL813"/>
      <c r="GM813"/>
      <c r="GN813"/>
      <c r="GO813"/>
      <c r="GP813"/>
      <c r="GQ813"/>
      <c r="GR813"/>
      <c r="GS813"/>
      <c r="GT813"/>
      <c r="GU813"/>
      <c r="GV813"/>
      <c r="GW813"/>
      <c r="GX813"/>
      <c r="GY813"/>
      <c r="GZ813"/>
      <c r="HA813"/>
      <c r="HB813"/>
      <c r="HC813"/>
      <c r="HD813"/>
      <c r="HE813"/>
      <c r="HF813"/>
      <c r="HG813"/>
      <c r="HH813"/>
      <c r="HI813"/>
      <c r="HJ813"/>
      <c r="HK813"/>
      <c r="HL813"/>
      <c r="HM813"/>
      <c r="HN813"/>
      <c r="HO813"/>
      <c r="HP813"/>
      <c r="HQ813"/>
      <c r="HR813"/>
      <c r="HS813"/>
      <c r="HT813"/>
      <c r="HU813"/>
      <c r="HV813"/>
      <c r="HW813"/>
      <c r="HX813"/>
      <c r="HY813"/>
      <c r="HZ813"/>
      <c r="IA813"/>
      <c r="IB813"/>
      <c r="IC813"/>
      <c r="ID813"/>
      <c r="IE813"/>
      <c r="IF813"/>
      <c r="IG813"/>
      <c r="IH813"/>
      <c r="II813"/>
      <c r="IJ813"/>
      <c r="IK813"/>
      <c r="IL813"/>
      <c r="IM813"/>
      <c r="IN813"/>
      <c r="IO813"/>
      <c r="IP813"/>
      <c r="IQ813"/>
      <c r="IR813"/>
      <c r="IS813"/>
      <c r="IT813"/>
      <c r="IU813"/>
      <c r="IV813"/>
    </row>
    <row r="814" spans="1:256" ht="12.75" hidden="1" customHeight="1" x14ac:dyDescent="0.2">
      <c r="A814" s="634"/>
      <c r="B814" s="557" t="s">
        <v>911</v>
      </c>
      <c r="C814" s="610">
        <v>15000</v>
      </c>
      <c r="D814" s="603">
        <v>15000</v>
      </c>
      <c r="E814" s="603">
        <v>15000</v>
      </c>
      <c r="F814" s="580">
        <v>9680</v>
      </c>
      <c r="G814" s="127">
        <v>15000</v>
      </c>
      <c r="H814"/>
      <c r="I814"/>
      <c r="J814"/>
      <c r="K814"/>
      <c r="L814"/>
      <c r="M814"/>
      <c r="N814"/>
      <c r="O814"/>
      <c r="P814"/>
      <c r="Q814"/>
      <c r="R814"/>
      <c r="S814"/>
      <c r="T814"/>
      <c r="U814"/>
      <c r="V814"/>
      <c r="W814"/>
      <c r="X814"/>
      <c r="Y814"/>
      <c r="Z814"/>
      <c r="AA814"/>
      <c r="AB814"/>
      <c r="AC814"/>
      <c r="AD814"/>
      <c r="AE814"/>
      <c r="AF814"/>
      <c r="AG814"/>
      <c r="AH814"/>
      <c r="AI814"/>
      <c r="AJ814"/>
      <c r="AK814"/>
      <c r="AL814"/>
      <c r="AM814"/>
      <c r="AN814"/>
      <c r="AO814"/>
      <c r="AP814"/>
      <c r="AQ814"/>
      <c r="AR814"/>
      <c r="AS814"/>
      <c r="AT814"/>
      <c r="AU814"/>
      <c r="AV814"/>
      <c r="AW814"/>
      <c r="AX814"/>
      <c r="AY814"/>
      <c r="AZ814"/>
      <c r="BA814"/>
      <c r="BB814"/>
      <c r="BC814"/>
      <c r="BD814"/>
      <c r="BE814"/>
      <c r="BF814"/>
      <c r="BG814"/>
      <c r="BH814"/>
      <c r="BI814"/>
      <c r="BJ814"/>
      <c r="BK814"/>
      <c r="BL814"/>
      <c r="BM814"/>
      <c r="BN814"/>
      <c r="BO814"/>
      <c r="BP814"/>
      <c r="BQ814"/>
      <c r="BR814"/>
      <c r="BS814"/>
      <c r="BT814"/>
      <c r="BU814"/>
      <c r="BV814"/>
      <c r="BW814"/>
      <c r="BX814"/>
      <c r="BY814"/>
      <c r="BZ814"/>
      <c r="CA814"/>
      <c r="CB814"/>
      <c r="CC814"/>
      <c r="CD814"/>
      <c r="CE814"/>
      <c r="CF814"/>
      <c r="CG814"/>
      <c r="CH814"/>
      <c r="CI814"/>
      <c r="CJ814"/>
      <c r="CK814"/>
      <c r="CL814"/>
      <c r="CM814"/>
      <c r="CN814"/>
      <c r="CO814"/>
      <c r="CP814"/>
      <c r="CQ814"/>
      <c r="CR814"/>
      <c r="CS814"/>
      <c r="CT814"/>
      <c r="CU814"/>
      <c r="CV814"/>
      <c r="CW814"/>
      <c r="CX814"/>
      <c r="CY814"/>
      <c r="CZ814"/>
      <c r="DA814"/>
      <c r="DB814"/>
      <c r="DC814"/>
      <c r="DD814"/>
      <c r="DE814"/>
      <c r="DF814"/>
      <c r="DG814"/>
      <c r="DH814"/>
      <c r="DI814"/>
      <c r="DJ814"/>
      <c r="DK814"/>
      <c r="DL814"/>
      <c r="DM814"/>
      <c r="DN814"/>
      <c r="DO814"/>
      <c r="DP814"/>
      <c r="DQ814"/>
      <c r="DR814"/>
      <c r="DS814"/>
      <c r="DT814"/>
      <c r="DU814"/>
      <c r="DV814"/>
      <c r="DW814"/>
      <c r="DX814"/>
      <c r="DY814"/>
      <c r="DZ814"/>
      <c r="EA814"/>
      <c r="EB814"/>
      <c r="EC814"/>
      <c r="ED814"/>
      <c r="EE814"/>
      <c r="EF814"/>
      <c r="EG814"/>
      <c r="EH814"/>
      <c r="EI814"/>
      <c r="EJ814"/>
      <c r="EK814"/>
      <c r="EL814"/>
      <c r="EM814"/>
      <c r="EN814"/>
      <c r="EO814"/>
      <c r="EP814"/>
      <c r="EQ814"/>
      <c r="ER814"/>
      <c r="ES814"/>
      <c r="ET814"/>
      <c r="EU814"/>
      <c r="EV814"/>
      <c r="EW814"/>
      <c r="EX814"/>
      <c r="EY814"/>
      <c r="EZ814"/>
      <c r="FA814"/>
      <c r="FB814"/>
      <c r="FC814"/>
      <c r="FD814"/>
      <c r="FE814"/>
      <c r="FF814"/>
      <c r="FG814"/>
      <c r="FH814"/>
      <c r="FI814"/>
      <c r="FJ814"/>
      <c r="FK814"/>
      <c r="FL814"/>
      <c r="FM814"/>
      <c r="FN814"/>
      <c r="FO814"/>
      <c r="FP814"/>
      <c r="FQ814"/>
      <c r="FR814"/>
      <c r="FS814"/>
      <c r="FT814"/>
      <c r="FU814"/>
      <c r="FV814"/>
      <c r="FW814"/>
      <c r="FX814"/>
      <c r="FY814"/>
      <c r="FZ814"/>
      <c r="GA814"/>
      <c r="GB814"/>
      <c r="GC814"/>
      <c r="GD814"/>
      <c r="GE814"/>
      <c r="GF814"/>
      <c r="GG814"/>
      <c r="GH814"/>
      <c r="GI814"/>
      <c r="GJ814"/>
      <c r="GK814"/>
      <c r="GL814"/>
      <c r="GM814"/>
      <c r="GN814"/>
      <c r="GO814"/>
      <c r="GP814"/>
      <c r="GQ814"/>
      <c r="GR814"/>
      <c r="GS814"/>
      <c r="GT814"/>
      <c r="GU814"/>
      <c r="GV814"/>
      <c r="GW814"/>
      <c r="GX814"/>
      <c r="GY814"/>
      <c r="GZ814"/>
      <c r="HA814"/>
      <c r="HB814"/>
      <c r="HC814"/>
      <c r="HD814"/>
      <c r="HE814"/>
      <c r="HF814"/>
      <c r="HG814"/>
      <c r="HH814"/>
      <c r="HI814"/>
      <c r="HJ814"/>
      <c r="HK814"/>
      <c r="HL814"/>
      <c r="HM814"/>
      <c r="HN814"/>
      <c r="HO814"/>
      <c r="HP814"/>
      <c r="HQ814"/>
      <c r="HR814"/>
      <c r="HS814"/>
      <c r="HT814"/>
      <c r="HU814"/>
      <c r="HV814"/>
      <c r="HW814"/>
      <c r="HX814"/>
      <c r="HY814"/>
      <c r="HZ814"/>
      <c r="IA814"/>
      <c r="IB814"/>
      <c r="IC814"/>
      <c r="ID814"/>
      <c r="IE814"/>
      <c r="IF814"/>
      <c r="IG814"/>
      <c r="IH814"/>
      <c r="II814"/>
      <c r="IJ814"/>
      <c r="IK814"/>
      <c r="IL814"/>
      <c r="IM814"/>
      <c r="IN814"/>
      <c r="IO814"/>
      <c r="IP814"/>
      <c r="IQ814"/>
      <c r="IR814"/>
      <c r="IS814"/>
      <c r="IT814"/>
      <c r="IU814"/>
      <c r="IV814"/>
    </row>
    <row r="815" spans="1:256" ht="12.75" hidden="1" customHeight="1" x14ac:dyDescent="0.2">
      <c r="A815" s="634"/>
      <c r="B815" s="561" t="s">
        <v>912</v>
      </c>
      <c r="C815" s="610">
        <v>0</v>
      </c>
      <c r="D815" s="603">
        <v>0</v>
      </c>
      <c r="E815" s="613">
        <v>0</v>
      </c>
      <c r="F815" s="580">
        <v>0</v>
      </c>
      <c r="G815" s="127">
        <v>35000</v>
      </c>
      <c r="H815"/>
      <c r="I815"/>
      <c r="J815"/>
      <c r="K815"/>
      <c r="L815"/>
      <c r="M815"/>
      <c r="N815"/>
      <c r="O815"/>
      <c r="P815"/>
      <c r="Q815"/>
      <c r="R815"/>
      <c r="S815"/>
      <c r="T815"/>
      <c r="U815"/>
      <c r="V815"/>
      <c r="W815"/>
      <c r="X815"/>
      <c r="Y815"/>
      <c r="Z815"/>
      <c r="AA815"/>
      <c r="AB815"/>
      <c r="AC815"/>
      <c r="AD815"/>
      <c r="AE815"/>
      <c r="AF815"/>
      <c r="AG815"/>
      <c r="AH815"/>
      <c r="AI815"/>
      <c r="AJ815"/>
      <c r="AK815"/>
      <c r="AL815"/>
      <c r="AM815"/>
      <c r="AN815"/>
      <c r="AO815"/>
      <c r="AP815"/>
      <c r="AQ815"/>
      <c r="AR815"/>
      <c r="AS815"/>
      <c r="AT815"/>
      <c r="AU815"/>
      <c r="AV815"/>
      <c r="AW815"/>
      <c r="AX815"/>
      <c r="AY815"/>
      <c r="AZ815"/>
      <c r="BA815"/>
      <c r="BB815"/>
      <c r="BC815"/>
      <c r="BD815"/>
      <c r="BE815"/>
      <c r="BF815"/>
      <c r="BG815"/>
      <c r="BH815"/>
      <c r="BI815"/>
      <c r="BJ815"/>
      <c r="BK815"/>
      <c r="BL815"/>
      <c r="BM815"/>
      <c r="BN815"/>
      <c r="BO815"/>
      <c r="BP815"/>
      <c r="BQ815"/>
      <c r="BR815"/>
      <c r="BS815"/>
      <c r="BT815"/>
      <c r="BU815"/>
      <c r="BV815"/>
      <c r="BW815"/>
      <c r="BX815"/>
      <c r="BY815"/>
      <c r="BZ815"/>
      <c r="CA815"/>
      <c r="CB815"/>
      <c r="CC815"/>
      <c r="CD815"/>
      <c r="CE815"/>
      <c r="CF815"/>
      <c r="CG815"/>
      <c r="CH815"/>
      <c r="CI815"/>
      <c r="CJ815"/>
      <c r="CK815"/>
      <c r="CL815"/>
      <c r="CM815"/>
      <c r="CN815"/>
      <c r="CO815"/>
      <c r="CP815"/>
      <c r="CQ815"/>
      <c r="CR815"/>
      <c r="CS815"/>
      <c r="CT815"/>
      <c r="CU815"/>
      <c r="CV815"/>
      <c r="CW815"/>
      <c r="CX815"/>
      <c r="CY815"/>
      <c r="CZ815"/>
      <c r="DA815"/>
      <c r="DB815"/>
      <c r="DC815"/>
      <c r="DD815"/>
      <c r="DE815"/>
      <c r="DF815"/>
      <c r="DG815"/>
      <c r="DH815"/>
      <c r="DI815"/>
      <c r="DJ815"/>
      <c r="DK815"/>
      <c r="DL815"/>
      <c r="DM815"/>
      <c r="DN815"/>
      <c r="DO815"/>
      <c r="DP815"/>
      <c r="DQ815"/>
      <c r="DR815"/>
      <c r="DS815"/>
      <c r="DT815"/>
      <c r="DU815"/>
      <c r="DV815"/>
      <c r="DW815"/>
      <c r="DX815"/>
      <c r="DY815"/>
      <c r="DZ815"/>
      <c r="EA815"/>
      <c r="EB815"/>
      <c r="EC815"/>
      <c r="ED815"/>
      <c r="EE815"/>
      <c r="EF815"/>
      <c r="EG815"/>
      <c r="EH815"/>
      <c r="EI815"/>
      <c r="EJ815"/>
      <c r="EK815"/>
      <c r="EL815"/>
      <c r="EM815"/>
      <c r="EN815"/>
      <c r="EO815"/>
      <c r="EP815"/>
      <c r="EQ815"/>
      <c r="ER815"/>
      <c r="ES815"/>
      <c r="ET815"/>
      <c r="EU815"/>
      <c r="EV815"/>
      <c r="EW815"/>
      <c r="EX815"/>
      <c r="EY815"/>
      <c r="EZ815"/>
      <c r="FA815"/>
      <c r="FB815"/>
      <c r="FC815"/>
      <c r="FD815"/>
      <c r="FE815"/>
      <c r="FF815"/>
      <c r="FG815"/>
      <c r="FH815"/>
      <c r="FI815"/>
      <c r="FJ815"/>
      <c r="FK815"/>
      <c r="FL815"/>
      <c r="FM815"/>
      <c r="FN815"/>
      <c r="FO815"/>
      <c r="FP815"/>
      <c r="FQ815"/>
      <c r="FR815"/>
      <c r="FS815"/>
      <c r="FT815"/>
      <c r="FU815"/>
      <c r="FV815"/>
      <c r="FW815"/>
      <c r="FX815"/>
      <c r="FY815"/>
      <c r="FZ815"/>
      <c r="GA815"/>
      <c r="GB815"/>
      <c r="GC815"/>
      <c r="GD815"/>
      <c r="GE815"/>
      <c r="GF815"/>
      <c r="GG815"/>
      <c r="GH815"/>
      <c r="GI815"/>
      <c r="GJ815"/>
      <c r="GK815"/>
      <c r="GL815"/>
      <c r="GM815"/>
      <c r="GN815"/>
      <c r="GO815"/>
      <c r="GP815"/>
      <c r="GQ815"/>
      <c r="GR815"/>
      <c r="GS815"/>
      <c r="GT815"/>
      <c r="GU815"/>
      <c r="GV815"/>
      <c r="GW815"/>
      <c r="GX815"/>
      <c r="GY815"/>
      <c r="GZ815"/>
      <c r="HA815"/>
      <c r="HB815"/>
      <c r="HC815"/>
      <c r="HD815"/>
      <c r="HE815"/>
      <c r="HF815"/>
      <c r="HG815"/>
      <c r="HH815"/>
      <c r="HI815"/>
      <c r="HJ815"/>
      <c r="HK815"/>
      <c r="HL815"/>
      <c r="HM815"/>
      <c r="HN815"/>
      <c r="HO815"/>
      <c r="HP815"/>
      <c r="HQ815"/>
      <c r="HR815"/>
      <c r="HS815"/>
      <c r="HT815"/>
      <c r="HU815"/>
      <c r="HV815"/>
      <c r="HW815"/>
      <c r="HX815"/>
      <c r="HY815"/>
      <c r="HZ815"/>
      <c r="IA815"/>
      <c r="IB815"/>
      <c r="IC815"/>
      <c r="ID815"/>
      <c r="IE815"/>
      <c r="IF815"/>
      <c r="IG815"/>
      <c r="IH815"/>
      <c r="II815"/>
      <c r="IJ815"/>
      <c r="IK815"/>
      <c r="IL815"/>
      <c r="IM815"/>
      <c r="IN815"/>
      <c r="IO815"/>
      <c r="IP815"/>
      <c r="IQ815"/>
      <c r="IR815"/>
      <c r="IS815"/>
      <c r="IT815"/>
      <c r="IU815"/>
      <c r="IV815"/>
    </row>
    <row r="816" spans="1:256" ht="12.75" hidden="1" customHeight="1" x14ac:dyDescent="0.2">
      <c r="A816" s="634"/>
      <c r="B816" s="557" t="s">
        <v>913</v>
      </c>
      <c r="C816" s="610">
        <f>SUM(C818,C829)</f>
        <v>10400000</v>
      </c>
      <c r="D816" s="603">
        <f>SUM(D818,D829)</f>
        <v>9600000</v>
      </c>
      <c r="E816" s="603">
        <f>SUM(E818,E829)</f>
        <v>9060000</v>
      </c>
      <c r="F816" s="580">
        <f>SUM(F818,F829)</f>
        <v>1527768.88</v>
      </c>
      <c r="G816" s="127">
        <f>G818+G829+G843</f>
        <v>6050000</v>
      </c>
      <c r="H816"/>
      <c r="I816"/>
      <c r="J816"/>
      <c r="K816"/>
      <c r="L816"/>
      <c r="M816"/>
      <c r="N816"/>
      <c r="O816"/>
      <c r="P816"/>
      <c r="Q816"/>
      <c r="R816"/>
      <c r="S816"/>
      <c r="T816"/>
      <c r="U816"/>
      <c r="V816"/>
      <c r="W816"/>
      <c r="X816"/>
      <c r="Y816"/>
      <c r="Z816"/>
      <c r="AA816"/>
      <c r="AB816"/>
      <c r="AC816"/>
      <c r="AD816"/>
      <c r="AE816"/>
      <c r="AF816"/>
      <c r="AG816"/>
      <c r="AH816"/>
      <c r="AI816"/>
      <c r="AJ816"/>
      <c r="AK816"/>
      <c r="AL816"/>
      <c r="AM816"/>
      <c r="AN816"/>
      <c r="AO816"/>
      <c r="AP816"/>
      <c r="AQ816"/>
      <c r="AR816"/>
      <c r="AS816"/>
      <c r="AT816"/>
      <c r="AU816"/>
      <c r="AV816"/>
      <c r="AW816"/>
      <c r="AX816"/>
      <c r="AY816"/>
      <c r="AZ816"/>
      <c r="BA816"/>
      <c r="BB816"/>
      <c r="BC816"/>
      <c r="BD816"/>
      <c r="BE816"/>
      <c r="BF816"/>
      <c r="BG816"/>
      <c r="BH816"/>
      <c r="BI816"/>
      <c r="BJ816"/>
      <c r="BK816"/>
      <c r="BL816"/>
      <c r="BM816"/>
      <c r="BN816"/>
      <c r="BO816"/>
      <c r="BP816"/>
      <c r="BQ816"/>
      <c r="BR816"/>
      <c r="BS816"/>
      <c r="BT816"/>
      <c r="BU816"/>
      <c r="BV816"/>
      <c r="BW816"/>
      <c r="BX816"/>
      <c r="BY816"/>
      <c r="BZ816"/>
      <c r="CA816"/>
      <c r="CB816"/>
      <c r="CC816"/>
      <c r="CD816"/>
      <c r="CE816"/>
      <c r="CF816"/>
      <c r="CG816"/>
      <c r="CH816"/>
      <c r="CI816"/>
      <c r="CJ816"/>
      <c r="CK816"/>
      <c r="CL816"/>
      <c r="CM816"/>
      <c r="CN816"/>
      <c r="CO816"/>
      <c r="CP816"/>
      <c r="CQ816"/>
      <c r="CR816"/>
      <c r="CS816"/>
      <c r="CT816"/>
      <c r="CU816"/>
      <c r="CV816"/>
      <c r="CW816"/>
      <c r="CX816"/>
      <c r="CY816"/>
      <c r="CZ816"/>
      <c r="DA816"/>
      <c r="DB816"/>
      <c r="DC816"/>
      <c r="DD816"/>
      <c r="DE816"/>
      <c r="DF816"/>
      <c r="DG816"/>
      <c r="DH816"/>
      <c r="DI816"/>
      <c r="DJ816"/>
      <c r="DK816"/>
      <c r="DL816"/>
      <c r="DM816"/>
      <c r="DN816"/>
      <c r="DO816"/>
      <c r="DP816"/>
      <c r="DQ816"/>
      <c r="DR816"/>
      <c r="DS816"/>
      <c r="DT816"/>
      <c r="DU816"/>
      <c r="DV816"/>
      <c r="DW816"/>
      <c r="DX816"/>
      <c r="DY816"/>
      <c r="DZ816"/>
      <c r="EA816"/>
      <c r="EB816"/>
      <c r="EC816"/>
      <c r="ED816"/>
      <c r="EE816"/>
      <c r="EF816"/>
      <c r="EG816"/>
      <c r="EH816"/>
      <c r="EI816"/>
      <c r="EJ816"/>
      <c r="EK816"/>
      <c r="EL816"/>
      <c r="EM816"/>
      <c r="EN816"/>
      <c r="EO816"/>
      <c r="EP816"/>
      <c r="EQ816"/>
      <c r="ER816"/>
      <c r="ES816"/>
      <c r="ET816"/>
      <c r="EU816"/>
      <c r="EV816"/>
      <c r="EW816"/>
      <c r="EX816"/>
      <c r="EY816"/>
      <c r="EZ816"/>
      <c r="FA816"/>
      <c r="FB816"/>
      <c r="FC816"/>
      <c r="FD816"/>
      <c r="FE816"/>
      <c r="FF816"/>
      <c r="FG816"/>
      <c r="FH816"/>
      <c r="FI816"/>
      <c r="FJ816"/>
      <c r="FK816"/>
      <c r="FL816"/>
      <c r="FM816"/>
      <c r="FN816"/>
      <c r="FO816"/>
      <c r="FP816"/>
      <c r="FQ816"/>
      <c r="FR816"/>
      <c r="FS816"/>
      <c r="FT816"/>
      <c r="FU816"/>
      <c r="FV816"/>
      <c r="FW816"/>
      <c r="FX816"/>
      <c r="FY816"/>
      <c r="FZ816"/>
      <c r="GA816"/>
      <c r="GB816"/>
      <c r="GC816"/>
      <c r="GD816"/>
      <c r="GE816"/>
      <c r="GF816"/>
      <c r="GG816"/>
      <c r="GH816"/>
      <c r="GI816"/>
      <c r="GJ816"/>
      <c r="GK816"/>
      <c r="GL816"/>
      <c r="GM816"/>
      <c r="GN816"/>
      <c r="GO816"/>
      <c r="GP816"/>
      <c r="GQ816"/>
      <c r="GR816"/>
      <c r="GS816"/>
      <c r="GT816"/>
      <c r="GU816"/>
      <c r="GV816"/>
      <c r="GW816"/>
      <c r="GX816"/>
      <c r="GY816"/>
      <c r="GZ816"/>
      <c r="HA816"/>
      <c r="HB816"/>
      <c r="HC816"/>
      <c r="HD816"/>
      <c r="HE816"/>
      <c r="HF816"/>
      <c r="HG816"/>
      <c r="HH816"/>
      <c r="HI816"/>
      <c r="HJ816"/>
      <c r="HK816"/>
      <c r="HL816"/>
      <c r="HM816"/>
      <c r="HN816"/>
      <c r="HO816"/>
      <c r="HP816"/>
      <c r="HQ816"/>
      <c r="HR816"/>
      <c r="HS816"/>
      <c r="HT816"/>
      <c r="HU816"/>
      <c r="HV816"/>
      <c r="HW816"/>
      <c r="HX816"/>
      <c r="HY816"/>
      <c r="HZ816"/>
      <c r="IA816"/>
      <c r="IB816"/>
      <c r="IC816"/>
      <c r="ID816"/>
      <c r="IE816"/>
      <c r="IF816"/>
      <c r="IG816"/>
      <c r="IH816"/>
      <c r="II816"/>
      <c r="IJ816"/>
      <c r="IK816"/>
      <c r="IL816"/>
      <c r="IM816"/>
      <c r="IN816"/>
      <c r="IO816"/>
      <c r="IP816"/>
      <c r="IQ816"/>
      <c r="IR816"/>
      <c r="IS816"/>
      <c r="IT816"/>
      <c r="IU816"/>
      <c r="IV816"/>
    </row>
    <row r="817" spans="1:256" ht="12.75" hidden="1" customHeight="1" x14ac:dyDescent="0.2">
      <c r="A817" s="634"/>
      <c r="B817" s="639" t="s">
        <v>914</v>
      </c>
      <c r="C817" s="558">
        <v>0</v>
      </c>
      <c r="D817" s="562">
        <v>0</v>
      </c>
      <c r="E817" s="564">
        <v>0</v>
      </c>
      <c r="F817" s="580">
        <v>0</v>
      </c>
      <c r="G817" s="127">
        <v>486000</v>
      </c>
      <c r="H817"/>
      <c r="I817"/>
      <c r="J817"/>
      <c r="K817"/>
      <c r="L817"/>
      <c r="M817"/>
      <c r="N817"/>
      <c r="O817"/>
      <c r="P817"/>
      <c r="Q817"/>
      <c r="R817"/>
      <c r="S817"/>
      <c r="T817"/>
      <c r="U817"/>
      <c r="V817"/>
      <c r="W817"/>
      <c r="X817"/>
      <c r="Y817"/>
      <c r="Z817"/>
      <c r="AA817"/>
      <c r="AB817"/>
      <c r="AC817"/>
      <c r="AD817"/>
      <c r="AE817"/>
      <c r="AF817"/>
      <c r="AG817"/>
      <c r="AH817"/>
      <c r="AI817"/>
      <c r="AJ817"/>
      <c r="AK817"/>
      <c r="AL817"/>
      <c r="AM817"/>
      <c r="AN817"/>
      <c r="AO817"/>
      <c r="AP817"/>
      <c r="AQ817"/>
      <c r="AR817"/>
      <c r="AS817"/>
      <c r="AT817"/>
      <c r="AU817"/>
      <c r="AV817"/>
      <c r="AW817"/>
      <c r="AX817"/>
      <c r="AY817"/>
      <c r="AZ817"/>
      <c r="BA817"/>
      <c r="BB817"/>
      <c r="BC817"/>
      <c r="BD817"/>
      <c r="BE817"/>
      <c r="BF817"/>
      <c r="BG817"/>
      <c r="BH817"/>
      <c r="BI817"/>
      <c r="BJ817"/>
      <c r="BK817"/>
      <c r="BL817"/>
      <c r="BM817"/>
      <c r="BN817"/>
      <c r="BO817"/>
      <c r="BP817"/>
      <c r="BQ817"/>
      <c r="BR817"/>
      <c r="BS817"/>
      <c r="BT817"/>
      <c r="BU817"/>
      <c r="BV817"/>
      <c r="BW817"/>
      <c r="BX817"/>
      <c r="BY817"/>
      <c r="BZ817"/>
      <c r="CA817"/>
      <c r="CB817"/>
      <c r="CC817"/>
      <c r="CD817"/>
      <c r="CE817"/>
      <c r="CF817"/>
      <c r="CG817"/>
      <c r="CH817"/>
      <c r="CI817"/>
      <c r="CJ817"/>
      <c r="CK817"/>
      <c r="CL817"/>
      <c r="CM817"/>
      <c r="CN817"/>
      <c r="CO817"/>
      <c r="CP817"/>
      <c r="CQ817"/>
      <c r="CR817"/>
      <c r="CS817"/>
      <c r="CT817"/>
      <c r="CU817"/>
      <c r="CV817"/>
      <c r="CW817"/>
      <c r="CX817"/>
      <c r="CY817"/>
      <c r="CZ817"/>
      <c r="DA817"/>
      <c r="DB817"/>
      <c r="DC817"/>
      <c r="DD817"/>
      <c r="DE817"/>
      <c r="DF817"/>
      <c r="DG817"/>
      <c r="DH817"/>
      <c r="DI817"/>
      <c r="DJ817"/>
      <c r="DK817"/>
      <c r="DL817"/>
      <c r="DM817"/>
      <c r="DN817"/>
      <c r="DO817"/>
      <c r="DP817"/>
      <c r="DQ817"/>
      <c r="DR817"/>
      <c r="DS817"/>
      <c r="DT817"/>
      <c r="DU817"/>
      <c r="DV817"/>
      <c r="DW817"/>
      <c r="DX817"/>
      <c r="DY817"/>
      <c r="DZ817"/>
      <c r="EA817"/>
      <c r="EB817"/>
      <c r="EC817"/>
      <c r="ED817"/>
      <c r="EE817"/>
      <c r="EF817"/>
      <c r="EG817"/>
      <c r="EH817"/>
      <c r="EI817"/>
      <c r="EJ817"/>
      <c r="EK817"/>
      <c r="EL817"/>
      <c r="EM817"/>
      <c r="EN817"/>
      <c r="EO817"/>
      <c r="EP817"/>
      <c r="EQ817"/>
      <c r="ER817"/>
      <c r="ES817"/>
      <c r="ET817"/>
      <c r="EU817"/>
      <c r="EV817"/>
      <c r="EW817"/>
      <c r="EX817"/>
      <c r="EY817"/>
      <c r="EZ817"/>
      <c r="FA817"/>
      <c r="FB817"/>
      <c r="FC817"/>
      <c r="FD817"/>
      <c r="FE817"/>
      <c r="FF817"/>
      <c r="FG817"/>
      <c r="FH817"/>
      <c r="FI817"/>
      <c r="FJ817"/>
      <c r="FK817"/>
      <c r="FL817"/>
      <c r="FM817"/>
      <c r="FN817"/>
      <c r="FO817"/>
      <c r="FP817"/>
      <c r="FQ817"/>
      <c r="FR817"/>
      <c r="FS817"/>
      <c r="FT817"/>
      <c r="FU817"/>
      <c r="FV817"/>
      <c r="FW817"/>
      <c r="FX817"/>
      <c r="FY817"/>
      <c r="FZ817"/>
      <c r="GA817"/>
      <c r="GB817"/>
      <c r="GC817"/>
      <c r="GD817"/>
      <c r="GE817"/>
      <c r="GF817"/>
      <c r="GG817"/>
      <c r="GH817"/>
      <c r="GI817"/>
      <c r="GJ817"/>
      <c r="GK817"/>
      <c r="GL817"/>
      <c r="GM817"/>
      <c r="GN817"/>
      <c r="GO817"/>
      <c r="GP817"/>
      <c r="GQ817"/>
      <c r="GR817"/>
      <c r="GS817"/>
      <c r="GT817"/>
      <c r="GU817"/>
      <c r="GV817"/>
      <c r="GW817"/>
      <c r="GX817"/>
      <c r="GY817"/>
      <c r="GZ817"/>
      <c r="HA817"/>
      <c r="HB817"/>
      <c r="HC817"/>
      <c r="HD817"/>
      <c r="HE817"/>
      <c r="HF817"/>
      <c r="HG817"/>
      <c r="HH817"/>
      <c r="HI817"/>
      <c r="HJ817"/>
      <c r="HK817"/>
      <c r="HL817"/>
      <c r="HM817"/>
      <c r="HN817"/>
      <c r="HO817"/>
      <c r="HP817"/>
      <c r="HQ817"/>
      <c r="HR817"/>
      <c r="HS817"/>
      <c r="HT817"/>
      <c r="HU817"/>
      <c r="HV817"/>
      <c r="HW817"/>
      <c r="HX817"/>
      <c r="HY817"/>
      <c r="HZ817"/>
      <c r="IA817"/>
      <c r="IB817"/>
      <c r="IC817"/>
      <c r="ID817"/>
      <c r="IE817"/>
      <c r="IF817"/>
      <c r="IG817"/>
      <c r="IH817"/>
      <c r="II817"/>
      <c r="IJ817"/>
      <c r="IK817"/>
      <c r="IL817"/>
      <c r="IM817"/>
      <c r="IN817"/>
      <c r="IO817"/>
      <c r="IP817"/>
      <c r="IQ817"/>
      <c r="IR817"/>
      <c r="IS817"/>
      <c r="IT817"/>
      <c r="IU817"/>
      <c r="IV817"/>
    </row>
    <row r="818" spans="1:256" ht="12.75" hidden="1" customHeight="1" x14ac:dyDescent="0.2">
      <c r="A818" s="551"/>
      <c r="B818" s="585" t="s">
        <v>915</v>
      </c>
      <c r="C818" s="644">
        <f>C819+C820</f>
        <v>6500000</v>
      </c>
      <c r="D818" s="645">
        <f>D819+D820</f>
        <v>6500000</v>
      </c>
      <c r="E818" s="645">
        <f>E819+E820</f>
        <v>6200000</v>
      </c>
      <c r="F818" s="625">
        <f>F819+F820</f>
        <v>1288855.94</v>
      </c>
      <c r="G818" s="644">
        <f>G819+G820</f>
        <v>2550000</v>
      </c>
      <c r="H818"/>
      <c r="I818"/>
      <c r="J818"/>
      <c r="K818"/>
      <c r="L818"/>
      <c r="M818"/>
      <c r="N818"/>
      <c r="O818"/>
      <c r="P818"/>
      <c r="Q818"/>
      <c r="R818"/>
      <c r="S818"/>
      <c r="T818"/>
      <c r="U818"/>
      <c r="V818"/>
      <c r="W818"/>
      <c r="X818"/>
      <c r="Y818"/>
      <c r="Z818"/>
      <c r="AA818"/>
      <c r="AB818"/>
      <c r="AC818"/>
      <c r="AD818"/>
      <c r="AE818"/>
      <c r="AF818"/>
      <c r="AG818"/>
      <c r="AH818"/>
      <c r="AI818"/>
      <c r="AJ818"/>
      <c r="AK818"/>
      <c r="AL818"/>
      <c r="AM818"/>
      <c r="AN818"/>
      <c r="AO818"/>
      <c r="AP818"/>
      <c r="AQ818"/>
      <c r="AR818"/>
      <c r="AS818"/>
      <c r="AT818"/>
      <c r="AU818"/>
      <c r="AV818"/>
      <c r="AW818"/>
      <c r="AX818"/>
      <c r="AY818"/>
      <c r="AZ818"/>
      <c r="BA818"/>
      <c r="BB818"/>
      <c r="BC818"/>
      <c r="BD818"/>
      <c r="BE818"/>
      <c r="BF818"/>
      <c r="BG818"/>
      <c r="BH818"/>
      <c r="BI818"/>
      <c r="BJ818"/>
      <c r="BK818"/>
      <c r="BL818"/>
      <c r="BM818"/>
      <c r="BN818"/>
      <c r="BO818"/>
      <c r="BP818"/>
      <c r="BQ818"/>
      <c r="BR818"/>
      <c r="BS818"/>
      <c r="BT818"/>
      <c r="BU818"/>
      <c r="BV818"/>
      <c r="BW818"/>
      <c r="BX818"/>
      <c r="BY818"/>
      <c r="BZ818"/>
      <c r="CA818"/>
      <c r="CB818"/>
      <c r="CC818"/>
      <c r="CD818"/>
      <c r="CE818"/>
      <c r="CF818"/>
      <c r="CG818"/>
      <c r="CH818"/>
      <c r="CI818"/>
      <c r="CJ818"/>
      <c r="CK818"/>
      <c r="CL818"/>
      <c r="CM818"/>
      <c r="CN818"/>
      <c r="CO818"/>
      <c r="CP818"/>
      <c r="CQ818"/>
      <c r="CR818"/>
      <c r="CS818"/>
      <c r="CT818"/>
      <c r="CU818"/>
      <c r="CV818"/>
      <c r="CW818"/>
      <c r="CX818"/>
      <c r="CY818"/>
      <c r="CZ818"/>
      <c r="DA818"/>
      <c r="DB818"/>
      <c r="DC818"/>
      <c r="DD818"/>
      <c r="DE818"/>
      <c r="DF818"/>
      <c r="DG818"/>
      <c r="DH818"/>
      <c r="DI818"/>
      <c r="DJ818"/>
      <c r="DK818"/>
      <c r="DL818"/>
      <c r="DM818"/>
      <c r="DN818"/>
      <c r="DO818"/>
      <c r="DP818"/>
      <c r="DQ818"/>
      <c r="DR818"/>
      <c r="DS818"/>
      <c r="DT818"/>
      <c r="DU818"/>
      <c r="DV818"/>
      <c r="DW818"/>
      <c r="DX818"/>
      <c r="DY818"/>
      <c r="DZ818"/>
      <c r="EA818"/>
      <c r="EB818"/>
      <c r="EC818"/>
      <c r="ED818"/>
      <c r="EE818"/>
      <c r="EF818"/>
      <c r="EG818"/>
      <c r="EH818"/>
      <c r="EI818"/>
      <c r="EJ818"/>
      <c r="EK818"/>
      <c r="EL818"/>
      <c r="EM818"/>
      <c r="EN818"/>
      <c r="EO818"/>
      <c r="EP818"/>
      <c r="EQ818"/>
      <c r="ER818"/>
      <c r="ES818"/>
      <c r="ET818"/>
      <c r="EU818"/>
      <c r="EV818"/>
      <c r="EW818"/>
      <c r="EX818"/>
      <c r="EY818"/>
      <c r="EZ818"/>
      <c r="FA818"/>
      <c r="FB818"/>
      <c r="FC818"/>
      <c r="FD818"/>
      <c r="FE818"/>
      <c r="FF818"/>
      <c r="FG818"/>
      <c r="FH818"/>
      <c r="FI818"/>
      <c r="FJ818"/>
      <c r="FK818"/>
      <c r="FL818"/>
      <c r="FM818"/>
      <c r="FN818"/>
      <c r="FO818"/>
      <c r="FP818"/>
      <c r="FQ818"/>
      <c r="FR818"/>
      <c r="FS818"/>
      <c r="FT818"/>
      <c r="FU818"/>
      <c r="FV818"/>
      <c r="FW818"/>
      <c r="FX818"/>
      <c r="FY818"/>
      <c r="FZ818"/>
      <c r="GA818"/>
      <c r="GB818"/>
      <c r="GC818"/>
      <c r="GD818"/>
      <c r="GE818"/>
      <c r="GF818"/>
      <c r="GG818"/>
      <c r="GH818"/>
      <c r="GI818"/>
      <c r="GJ818"/>
      <c r="GK818"/>
      <c r="GL818"/>
      <c r="GM818"/>
      <c r="GN818"/>
      <c r="GO818"/>
      <c r="GP818"/>
      <c r="GQ818"/>
      <c r="GR818"/>
      <c r="GS818"/>
      <c r="GT818"/>
      <c r="GU818"/>
      <c r="GV818"/>
      <c r="GW818"/>
      <c r="GX818"/>
      <c r="GY818"/>
      <c r="GZ818"/>
      <c r="HA818"/>
      <c r="HB818"/>
      <c r="HC818"/>
      <c r="HD818"/>
      <c r="HE818"/>
      <c r="HF818"/>
      <c r="HG818"/>
      <c r="HH818"/>
      <c r="HI818"/>
      <c r="HJ818"/>
      <c r="HK818"/>
      <c r="HL818"/>
      <c r="HM818"/>
      <c r="HN818"/>
      <c r="HO818"/>
      <c r="HP818"/>
      <c r="HQ818"/>
      <c r="HR818"/>
      <c r="HS818"/>
      <c r="HT818"/>
      <c r="HU818"/>
      <c r="HV818"/>
      <c r="HW818"/>
      <c r="HX818"/>
      <c r="HY818"/>
      <c r="HZ818"/>
      <c r="IA818"/>
      <c r="IB818"/>
      <c r="IC818"/>
      <c r="ID818"/>
      <c r="IE818"/>
      <c r="IF818"/>
      <c r="IG818"/>
      <c r="IH818"/>
      <c r="II818"/>
      <c r="IJ818"/>
      <c r="IK818"/>
      <c r="IL818"/>
      <c r="IM818"/>
      <c r="IN818"/>
      <c r="IO818"/>
      <c r="IP818"/>
      <c r="IQ818"/>
      <c r="IR818"/>
      <c r="IS818"/>
      <c r="IT818"/>
      <c r="IU818"/>
      <c r="IV818"/>
    </row>
    <row r="819" spans="1:256" ht="12.75" hidden="1" customHeight="1" x14ac:dyDescent="0.2">
      <c r="A819" s="551"/>
      <c r="B819" s="557" t="s">
        <v>916</v>
      </c>
      <c r="C819" s="560">
        <v>1500000</v>
      </c>
      <c r="D819" s="562">
        <v>1500000</v>
      </c>
      <c r="E819" s="579">
        <v>1500000</v>
      </c>
      <c r="F819" s="580">
        <v>1288855.94</v>
      </c>
      <c r="G819" s="127">
        <v>1500000</v>
      </c>
      <c r="H819"/>
      <c r="I819"/>
      <c r="J819"/>
      <c r="K819"/>
      <c r="L819"/>
      <c r="M819"/>
      <c r="N819"/>
      <c r="O819"/>
      <c r="P819"/>
      <c r="Q819"/>
      <c r="R819"/>
      <c r="S819"/>
      <c r="T819"/>
      <c r="U819"/>
      <c r="V819"/>
      <c r="W819"/>
      <c r="X819"/>
      <c r="Y819"/>
      <c r="Z819"/>
      <c r="AA819"/>
      <c r="AB819"/>
      <c r="AC819"/>
      <c r="AD819"/>
      <c r="AE819"/>
      <c r="AF819"/>
      <c r="AG819"/>
      <c r="AH819"/>
      <c r="AI819"/>
      <c r="AJ819"/>
      <c r="AK819"/>
      <c r="AL819"/>
      <c r="AM819"/>
      <c r="AN819"/>
      <c r="AO819"/>
      <c r="AP819"/>
      <c r="AQ819"/>
      <c r="AR819"/>
      <c r="AS819"/>
      <c r="AT819"/>
      <c r="AU819"/>
      <c r="AV819"/>
      <c r="AW819"/>
      <c r="AX819"/>
      <c r="AY819"/>
      <c r="AZ819"/>
      <c r="BA819"/>
      <c r="BB819"/>
      <c r="BC819"/>
      <c r="BD819"/>
      <c r="BE819"/>
      <c r="BF819"/>
      <c r="BG819"/>
      <c r="BH819"/>
      <c r="BI819"/>
      <c r="BJ819"/>
      <c r="BK819"/>
      <c r="BL819"/>
      <c r="BM819"/>
      <c r="BN819"/>
      <c r="BO819"/>
      <c r="BP819"/>
      <c r="BQ819"/>
      <c r="BR819"/>
      <c r="BS819"/>
      <c r="BT819"/>
      <c r="BU819"/>
      <c r="BV819"/>
      <c r="BW819"/>
      <c r="BX819"/>
      <c r="BY819"/>
      <c r="BZ819"/>
      <c r="CA819"/>
      <c r="CB819"/>
      <c r="CC819"/>
      <c r="CD819"/>
      <c r="CE819"/>
      <c r="CF819"/>
      <c r="CG819"/>
      <c r="CH819"/>
      <c r="CI819"/>
      <c r="CJ819"/>
      <c r="CK819"/>
      <c r="CL819"/>
      <c r="CM819"/>
      <c r="CN819"/>
      <c r="CO819"/>
      <c r="CP819"/>
      <c r="CQ819"/>
      <c r="CR819"/>
      <c r="CS819"/>
      <c r="CT819"/>
      <c r="CU819"/>
      <c r="CV819"/>
      <c r="CW819"/>
      <c r="CX819"/>
      <c r="CY819"/>
      <c r="CZ819"/>
      <c r="DA819"/>
      <c r="DB819"/>
      <c r="DC819"/>
      <c r="DD819"/>
      <c r="DE819"/>
      <c r="DF819"/>
      <c r="DG819"/>
      <c r="DH819"/>
      <c r="DI819"/>
      <c r="DJ819"/>
      <c r="DK819"/>
      <c r="DL819"/>
      <c r="DM819"/>
      <c r="DN819"/>
      <c r="DO819"/>
      <c r="DP819"/>
      <c r="DQ819"/>
      <c r="DR819"/>
      <c r="DS819"/>
      <c r="DT819"/>
      <c r="DU819"/>
      <c r="DV819"/>
      <c r="DW819"/>
      <c r="DX819"/>
      <c r="DY819"/>
      <c r="DZ819"/>
      <c r="EA819"/>
      <c r="EB819"/>
      <c r="EC819"/>
      <c r="ED819"/>
      <c r="EE819"/>
      <c r="EF819"/>
      <c r="EG819"/>
      <c r="EH819"/>
      <c r="EI819"/>
      <c r="EJ819"/>
      <c r="EK819"/>
      <c r="EL819"/>
      <c r="EM819"/>
      <c r="EN819"/>
      <c r="EO819"/>
      <c r="EP819"/>
      <c r="EQ819"/>
      <c r="ER819"/>
      <c r="ES819"/>
      <c r="ET819"/>
      <c r="EU819"/>
      <c r="EV819"/>
      <c r="EW819"/>
      <c r="EX819"/>
      <c r="EY819"/>
      <c r="EZ819"/>
      <c r="FA819"/>
      <c r="FB819"/>
      <c r="FC819"/>
      <c r="FD819"/>
      <c r="FE819"/>
      <c r="FF819"/>
      <c r="FG819"/>
      <c r="FH819"/>
      <c r="FI819"/>
      <c r="FJ819"/>
      <c r="FK819"/>
      <c r="FL819"/>
      <c r="FM819"/>
      <c r="FN819"/>
      <c r="FO819"/>
      <c r="FP819"/>
      <c r="FQ819"/>
      <c r="FR819"/>
      <c r="FS819"/>
      <c r="FT819"/>
      <c r="FU819"/>
      <c r="FV819"/>
      <c r="FW819"/>
      <c r="FX819"/>
      <c r="FY819"/>
      <c r="FZ819"/>
      <c r="GA819"/>
      <c r="GB819"/>
      <c r="GC819"/>
      <c r="GD819"/>
      <c r="GE819"/>
      <c r="GF819"/>
      <c r="GG819"/>
      <c r="GH819"/>
      <c r="GI819"/>
      <c r="GJ819"/>
      <c r="GK819"/>
      <c r="GL819"/>
      <c r="GM819"/>
      <c r="GN819"/>
      <c r="GO819"/>
      <c r="GP819"/>
      <c r="GQ819"/>
      <c r="GR819"/>
      <c r="GS819"/>
      <c r="GT819"/>
      <c r="GU819"/>
      <c r="GV819"/>
      <c r="GW819"/>
      <c r="GX819"/>
      <c r="GY819"/>
      <c r="GZ819"/>
      <c r="HA819"/>
      <c r="HB819"/>
      <c r="HC819"/>
      <c r="HD819"/>
      <c r="HE819"/>
      <c r="HF819"/>
      <c r="HG819"/>
      <c r="HH819"/>
      <c r="HI819"/>
      <c r="HJ819"/>
      <c r="HK819"/>
      <c r="HL819"/>
      <c r="HM819"/>
      <c r="HN819"/>
      <c r="HO819"/>
      <c r="HP819"/>
      <c r="HQ819"/>
      <c r="HR819"/>
      <c r="HS819"/>
      <c r="HT819"/>
      <c r="HU819"/>
      <c r="HV819"/>
      <c r="HW819"/>
      <c r="HX819"/>
      <c r="HY819"/>
      <c r="HZ819"/>
      <c r="IA819"/>
      <c r="IB819"/>
      <c r="IC819"/>
      <c r="ID819"/>
      <c r="IE819"/>
      <c r="IF819"/>
      <c r="IG819"/>
      <c r="IH819"/>
      <c r="II819"/>
      <c r="IJ819"/>
      <c r="IK819"/>
      <c r="IL819"/>
      <c r="IM819"/>
      <c r="IN819"/>
      <c r="IO819"/>
      <c r="IP819"/>
      <c r="IQ819"/>
      <c r="IR819"/>
      <c r="IS819"/>
      <c r="IT819"/>
      <c r="IU819"/>
      <c r="IV819"/>
    </row>
    <row r="820" spans="1:256" ht="12.75" hidden="1" customHeight="1" x14ac:dyDescent="0.2">
      <c r="A820" s="551"/>
      <c r="B820" s="557" t="s">
        <v>917</v>
      </c>
      <c r="C820" s="127">
        <f>SUM(C821:C828)</f>
        <v>5000000</v>
      </c>
      <c r="D820" s="608">
        <f>SUM(D821:D828)</f>
        <v>5000000</v>
      </c>
      <c r="E820" s="608">
        <f>SUM(E821:E828)</f>
        <v>4700000</v>
      </c>
      <c r="F820" s="580">
        <f>SUM(F821:F828)</f>
        <v>0</v>
      </c>
      <c r="G820" s="127">
        <f>SUM(G821:G828)</f>
        <v>1050000</v>
      </c>
      <c r="H820"/>
      <c r="I820"/>
      <c r="J820"/>
      <c r="K820"/>
      <c r="L820"/>
      <c r="M820"/>
      <c r="N820"/>
      <c r="O820"/>
      <c r="P820"/>
      <c r="Q820"/>
      <c r="R820"/>
      <c r="S820"/>
      <c r="T820"/>
      <c r="U820"/>
      <c r="V820"/>
      <c r="W820"/>
      <c r="X820"/>
      <c r="Y820"/>
      <c r="Z820"/>
      <c r="AA820"/>
      <c r="AB820"/>
      <c r="AC820"/>
      <c r="AD820"/>
      <c r="AE820"/>
      <c r="AF820"/>
      <c r="AG820"/>
      <c r="AH820"/>
      <c r="AI820"/>
      <c r="AJ820"/>
      <c r="AK820"/>
      <c r="AL820"/>
      <c r="AM820"/>
      <c r="AN820"/>
      <c r="AO820"/>
      <c r="AP820"/>
      <c r="AQ820"/>
      <c r="AR820"/>
      <c r="AS820"/>
      <c r="AT820"/>
      <c r="AU820"/>
      <c r="AV820"/>
      <c r="AW820"/>
      <c r="AX820"/>
      <c r="AY820"/>
      <c r="AZ820"/>
      <c r="BA820"/>
      <c r="BB820"/>
      <c r="BC820"/>
      <c r="BD820"/>
      <c r="BE820"/>
      <c r="BF820"/>
      <c r="BG820"/>
      <c r="BH820"/>
      <c r="BI820"/>
      <c r="BJ820"/>
      <c r="BK820"/>
      <c r="BL820"/>
      <c r="BM820"/>
      <c r="BN820"/>
      <c r="BO820"/>
      <c r="BP820"/>
      <c r="BQ820"/>
      <c r="BR820"/>
      <c r="BS820"/>
      <c r="BT820"/>
      <c r="BU820"/>
      <c r="BV820"/>
      <c r="BW820"/>
      <c r="BX820"/>
      <c r="BY820"/>
      <c r="BZ820"/>
      <c r="CA820"/>
      <c r="CB820"/>
      <c r="CC820"/>
      <c r="CD820"/>
      <c r="CE820"/>
      <c r="CF820"/>
      <c r="CG820"/>
      <c r="CH820"/>
      <c r="CI820"/>
      <c r="CJ820"/>
      <c r="CK820"/>
      <c r="CL820"/>
      <c r="CM820"/>
      <c r="CN820"/>
      <c r="CO820"/>
      <c r="CP820"/>
      <c r="CQ820"/>
      <c r="CR820"/>
      <c r="CS820"/>
      <c r="CT820"/>
      <c r="CU820"/>
      <c r="CV820"/>
      <c r="CW820"/>
      <c r="CX820"/>
      <c r="CY820"/>
      <c r="CZ820"/>
      <c r="DA820"/>
      <c r="DB820"/>
      <c r="DC820"/>
      <c r="DD820"/>
      <c r="DE820"/>
      <c r="DF820"/>
      <c r="DG820"/>
      <c r="DH820"/>
      <c r="DI820"/>
      <c r="DJ820"/>
      <c r="DK820"/>
      <c r="DL820"/>
      <c r="DM820"/>
      <c r="DN820"/>
      <c r="DO820"/>
      <c r="DP820"/>
      <c r="DQ820"/>
      <c r="DR820"/>
      <c r="DS820"/>
      <c r="DT820"/>
      <c r="DU820"/>
      <c r="DV820"/>
      <c r="DW820"/>
      <c r="DX820"/>
      <c r="DY820"/>
      <c r="DZ820"/>
      <c r="EA820"/>
      <c r="EB820"/>
      <c r="EC820"/>
      <c r="ED820"/>
      <c r="EE820"/>
      <c r="EF820"/>
      <c r="EG820"/>
      <c r="EH820"/>
      <c r="EI820"/>
      <c r="EJ820"/>
      <c r="EK820"/>
      <c r="EL820"/>
      <c r="EM820"/>
      <c r="EN820"/>
      <c r="EO820"/>
      <c r="EP820"/>
      <c r="EQ820"/>
      <c r="ER820"/>
      <c r="ES820"/>
      <c r="ET820"/>
      <c r="EU820"/>
      <c r="EV820"/>
      <c r="EW820"/>
      <c r="EX820"/>
      <c r="EY820"/>
      <c r="EZ820"/>
      <c r="FA820"/>
      <c r="FB820"/>
      <c r="FC820"/>
      <c r="FD820"/>
      <c r="FE820"/>
      <c r="FF820"/>
      <c r="FG820"/>
      <c r="FH820"/>
      <c r="FI820"/>
      <c r="FJ820"/>
      <c r="FK820"/>
      <c r="FL820"/>
      <c r="FM820"/>
      <c r="FN820"/>
      <c r="FO820"/>
      <c r="FP820"/>
      <c r="FQ820"/>
      <c r="FR820"/>
      <c r="FS820"/>
      <c r="FT820"/>
      <c r="FU820"/>
      <c r="FV820"/>
      <c r="FW820"/>
      <c r="FX820"/>
      <c r="FY820"/>
      <c r="FZ820"/>
      <c r="GA820"/>
      <c r="GB820"/>
      <c r="GC820"/>
      <c r="GD820"/>
      <c r="GE820"/>
      <c r="GF820"/>
      <c r="GG820"/>
      <c r="GH820"/>
      <c r="GI820"/>
      <c r="GJ820"/>
      <c r="GK820"/>
      <c r="GL820"/>
      <c r="GM820"/>
      <c r="GN820"/>
      <c r="GO820"/>
      <c r="GP820"/>
      <c r="GQ820"/>
      <c r="GR820"/>
      <c r="GS820"/>
      <c r="GT820"/>
      <c r="GU820"/>
      <c r="GV820"/>
      <c r="GW820"/>
      <c r="GX820"/>
      <c r="GY820"/>
      <c r="GZ820"/>
      <c r="HA820"/>
      <c r="HB820"/>
      <c r="HC820"/>
      <c r="HD820"/>
      <c r="HE820"/>
      <c r="HF820"/>
      <c r="HG820"/>
      <c r="HH820"/>
      <c r="HI820"/>
      <c r="HJ820"/>
      <c r="HK820"/>
      <c r="HL820"/>
      <c r="HM820"/>
      <c r="HN820"/>
      <c r="HO820"/>
      <c r="HP820"/>
      <c r="HQ820"/>
      <c r="HR820"/>
      <c r="HS820"/>
      <c r="HT820"/>
      <c r="HU820"/>
      <c r="HV820"/>
      <c r="HW820"/>
      <c r="HX820"/>
      <c r="HY820"/>
      <c r="HZ820"/>
      <c r="IA820"/>
      <c r="IB820"/>
      <c r="IC820"/>
      <c r="ID820"/>
      <c r="IE820"/>
      <c r="IF820"/>
      <c r="IG820"/>
      <c r="IH820"/>
      <c r="II820"/>
      <c r="IJ820"/>
      <c r="IK820"/>
      <c r="IL820"/>
      <c r="IM820"/>
      <c r="IN820"/>
      <c r="IO820"/>
      <c r="IP820"/>
      <c r="IQ820"/>
      <c r="IR820"/>
      <c r="IS820"/>
      <c r="IT820"/>
      <c r="IU820"/>
      <c r="IV820"/>
    </row>
    <row r="821" spans="1:256" ht="12.75" hidden="1" customHeight="1" x14ac:dyDescent="0.2">
      <c r="A821" s="634"/>
      <c r="B821" s="639" t="s">
        <v>918</v>
      </c>
      <c r="C821" s="602">
        <f>1500000-500000</f>
        <v>1000000</v>
      </c>
      <c r="D821" s="603">
        <f>1500000-500000</f>
        <v>1000000</v>
      </c>
      <c r="E821" s="604">
        <v>1000000</v>
      </c>
      <c r="F821" s="625">
        <v>0</v>
      </c>
      <c r="G821" s="644">
        <v>0</v>
      </c>
      <c r="H821"/>
      <c r="I821"/>
      <c r="J821"/>
      <c r="K821"/>
      <c r="L821"/>
      <c r="M821"/>
      <c r="N821"/>
      <c r="O821"/>
      <c r="P821"/>
      <c r="Q821"/>
      <c r="R821"/>
      <c r="S821"/>
      <c r="T821"/>
      <c r="U821"/>
      <c r="V821"/>
      <c r="W821"/>
      <c r="X821"/>
      <c r="Y821"/>
      <c r="Z821"/>
      <c r="AA821"/>
      <c r="AB821"/>
      <c r="AC821"/>
      <c r="AD821"/>
      <c r="AE821"/>
      <c r="AF821"/>
      <c r="AG821"/>
      <c r="AH821"/>
      <c r="AI821"/>
      <c r="AJ821"/>
      <c r="AK821"/>
      <c r="AL821"/>
      <c r="AM821"/>
      <c r="AN821"/>
      <c r="AO821"/>
      <c r="AP821"/>
      <c r="AQ821"/>
      <c r="AR821"/>
      <c r="AS821"/>
      <c r="AT821"/>
      <c r="AU821"/>
      <c r="AV821"/>
      <c r="AW821"/>
      <c r="AX821"/>
      <c r="AY821"/>
      <c r="AZ821"/>
      <c r="BA821"/>
      <c r="BB821"/>
      <c r="BC821"/>
      <c r="BD821"/>
      <c r="BE821"/>
      <c r="BF821"/>
      <c r="BG821"/>
      <c r="BH821"/>
      <c r="BI821"/>
      <c r="BJ821"/>
      <c r="BK821"/>
      <c r="BL821"/>
      <c r="BM821"/>
      <c r="BN821"/>
      <c r="BO821"/>
      <c r="BP821"/>
      <c r="BQ821"/>
      <c r="BR821"/>
      <c r="BS821"/>
      <c r="BT821"/>
      <c r="BU821"/>
      <c r="BV821"/>
      <c r="BW821"/>
      <c r="BX821"/>
      <c r="BY821"/>
      <c r="BZ821"/>
      <c r="CA821"/>
      <c r="CB821"/>
      <c r="CC821"/>
      <c r="CD821"/>
      <c r="CE821"/>
      <c r="CF821"/>
      <c r="CG821"/>
      <c r="CH821"/>
      <c r="CI821"/>
      <c r="CJ821"/>
      <c r="CK821"/>
      <c r="CL821"/>
      <c r="CM821"/>
      <c r="CN821"/>
      <c r="CO821"/>
      <c r="CP821"/>
      <c r="CQ821"/>
      <c r="CR821"/>
      <c r="CS821"/>
      <c r="CT821"/>
      <c r="CU821"/>
      <c r="CV821"/>
      <c r="CW821"/>
      <c r="CX821"/>
      <c r="CY821"/>
      <c r="CZ821"/>
      <c r="DA821"/>
      <c r="DB821"/>
      <c r="DC821"/>
      <c r="DD821"/>
      <c r="DE821"/>
      <c r="DF821"/>
      <c r="DG821"/>
      <c r="DH821"/>
      <c r="DI821"/>
      <c r="DJ821"/>
      <c r="DK821"/>
      <c r="DL821"/>
      <c r="DM821"/>
      <c r="DN821"/>
      <c r="DO821"/>
      <c r="DP821"/>
      <c r="DQ821"/>
      <c r="DR821"/>
      <c r="DS821"/>
      <c r="DT821"/>
      <c r="DU821"/>
      <c r="DV821"/>
      <c r="DW821"/>
      <c r="DX821"/>
      <c r="DY821"/>
      <c r="DZ821"/>
      <c r="EA821"/>
      <c r="EB821"/>
      <c r="EC821"/>
      <c r="ED821"/>
      <c r="EE821"/>
      <c r="EF821"/>
      <c r="EG821"/>
      <c r="EH821"/>
      <c r="EI821"/>
      <c r="EJ821"/>
      <c r="EK821"/>
      <c r="EL821"/>
      <c r="EM821"/>
      <c r="EN821"/>
      <c r="EO821"/>
      <c r="EP821"/>
      <c r="EQ821"/>
      <c r="ER821"/>
      <c r="ES821"/>
      <c r="ET821"/>
      <c r="EU821"/>
      <c r="EV821"/>
      <c r="EW821"/>
      <c r="EX821"/>
      <c r="EY821"/>
      <c r="EZ821"/>
      <c r="FA821"/>
      <c r="FB821"/>
      <c r="FC821"/>
      <c r="FD821"/>
      <c r="FE821"/>
      <c r="FF821"/>
      <c r="FG821"/>
      <c r="FH821"/>
      <c r="FI821"/>
      <c r="FJ821"/>
      <c r="FK821"/>
      <c r="FL821"/>
      <c r="FM821"/>
      <c r="FN821"/>
      <c r="FO821"/>
      <c r="FP821"/>
      <c r="FQ821"/>
      <c r="FR821"/>
      <c r="FS821"/>
      <c r="FT821"/>
      <c r="FU821"/>
      <c r="FV821"/>
      <c r="FW821"/>
      <c r="FX821"/>
      <c r="FY821"/>
      <c r="FZ821"/>
      <c r="GA821"/>
      <c r="GB821"/>
      <c r="GC821"/>
      <c r="GD821"/>
      <c r="GE821"/>
      <c r="GF821"/>
      <c r="GG821"/>
      <c r="GH821"/>
      <c r="GI821"/>
      <c r="GJ821"/>
      <c r="GK821"/>
      <c r="GL821"/>
      <c r="GM821"/>
      <c r="GN821"/>
      <c r="GO821"/>
      <c r="GP821"/>
      <c r="GQ821"/>
      <c r="GR821"/>
      <c r="GS821"/>
      <c r="GT821"/>
      <c r="GU821"/>
      <c r="GV821"/>
      <c r="GW821"/>
      <c r="GX821"/>
      <c r="GY821"/>
      <c r="GZ821"/>
      <c r="HA821"/>
      <c r="HB821"/>
      <c r="HC821"/>
      <c r="HD821"/>
      <c r="HE821"/>
      <c r="HF821"/>
      <c r="HG821"/>
      <c r="HH821"/>
      <c r="HI821"/>
      <c r="HJ821"/>
      <c r="HK821"/>
      <c r="HL821"/>
      <c r="HM821"/>
      <c r="HN821"/>
      <c r="HO821"/>
      <c r="HP821"/>
      <c r="HQ821"/>
      <c r="HR821"/>
      <c r="HS821"/>
      <c r="HT821"/>
      <c r="HU821"/>
      <c r="HV821"/>
      <c r="HW821"/>
      <c r="HX821"/>
      <c r="HY821"/>
      <c r="HZ821"/>
      <c r="IA821"/>
      <c r="IB821"/>
      <c r="IC821"/>
      <c r="ID821"/>
      <c r="IE821"/>
      <c r="IF821"/>
      <c r="IG821"/>
      <c r="IH821"/>
      <c r="II821"/>
      <c r="IJ821"/>
      <c r="IK821"/>
      <c r="IL821"/>
      <c r="IM821"/>
      <c r="IN821"/>
      <c r="IO821"/>
      <c r="IP821"/>
      <c r="IQ821"/>
      <c r="IR821"/>
      <c r="IS821"/>
      <c r="IT821"/>
      <c r="IU821"/>
      <c r="IV821"/>
    </row>
    <row r="822" spans="1:256" s="607" customFormat="1" ht="12.75" hidden="1" customHeight="1" x14ac:dyDescent="0.2">
      <c r="A822" s="634"/>
      <c r="B822" s="639" t="s">
        <v>919</v>
      </c>
      <c r="C822" s="602">
        <v>500000</v>
      </c>
      <c r="D822" s="603">
        <v>500000</v>
      </c>
      <c r="E822" s="604">
        <v>500000</v>
      </c>
      <c r="F822" s="625">
        <v>0</v>
      </c>
      <c r="G822" s="127">
        <v>0</v>
      </c>
    </row>
    <row r="823" spans="1:256" s="607" customFormat="1" ht="12.75" hidden="1" customHeight="1" x14ac:dyDescent="0.2">
      <c r="A823" s="634"/>
      <c r="B823" s="628" t="s">
        <v>920</v>
      </c>
      <c r="C823" s="610">
        <v>3500000</v>
      </c>
      <c r="D823" s="603">
        <v>3500000</v>
      </c>
      <c r="E823" s="604">
        <v>3200000</v>
      </c>
      <c r="F823" s="625">
        <v>0</v>
      </c>
      <c r="G823" s="127">
        <v>0</v>
      </c>
    </row>
    <row r="824" spans="1:256" s="607" customFormat="1" ht="12.75" hidden="1" customHeight="1" x14ac:dyDescent="0.2">
      <c r="A824" s="634"/>
      <c r="B824" s="646" t="s">
        <v>921</v>
      </c>
      <c r="C824" s="610"/>
      <c r="D824" s="603"/>
      <c r="E824" s="613"/>
      <c r="F824" s="614"/>
      <c r="G824" s="456">
        <v>600000</v>
      </c>
    </row>
    <row r="825" spans="1:256" s="607" customFormat="1" ht="12.75" hidden="1" customHeight="1" x14ac:dyDescent="0.2">
      <c r="A825" s="634"/>
      <c r="B825" s="646" t="s">
        <v>922</v>
      </c>
      <c r="C825" s="610"/>
      <c r="D825" s="603"/>
      <c r="E825" s="613"/>
      <c r="F825" s="614"/>
      <c r="G825" s="456">
        <v>0</v>
      </c>
    </row>
    <row r="826" spans="1:256" s="607" customFormat="1" ht="12.75" hidden="1" customHeight="1" x14ac:dyDescent="0.2">
      <c r="A826" s="634"/>
      <c r="B826" s="646" t="s">
        <v>923</v>
      </c>
      <c r="C826" s="610"/>
      <c r="D826" s="603"/>
      <c r="E826" s="613"/>
      <c r="F826" s="614"/>
      <c r="G826" s="456">
        <v>0</v>
      </c>
    </row>
    <row r="827" spans="1:256" s="607" customFormat="1" ht="12.75" hidden="1" customHeight="1" x14ac:dyDescent="0.2">
      <c r="A827" s="634"/>
      <c r="B827" s="646" t="s">
        <v>924</v>
      </c>
      <c r="C827" s="610"/>
      <c r="D827" s="603"/>
      <c r="E827" s="613"/>
      <c r="F827" s="614"/>
      <c r="G827" s="456">
        <v>200000</v>
      </c>
    </row>
    <row r="828" spans="1:256" s="607" customFormat="1" ht="12.75" hidden="1" customHeight="1" x14ac:dyDescent="0.2">
      <c r="A828" s="634"/>
      <c r="B828" s="646" t="s">
        <v>925</v>
      </c>
      <c r="C828" s="610"/>
      <c r="D828" s="603"/>
      <c r="E828" s="613"/>
      <c r="F828" s="614"/>
      <c r="G828" s="456">
        <v>250000</v>
      </c>
    </row>
    <row r="829" spans="1:256" s="607" customFormat="1" ht="12.75" hidden="1" customHeight="1" x14ac:dyDescent="0.2">
      <c r="A829" s="551"/>
      <c r="B829" s="557" t="s">
        <v>926</v>
      </c>
      <c r="C829" s="610">
        <f>SUM(C830:C831)</f>
        <v>3900000</v>
      </c>
      <c r="D829" s="603">
        <f>SUM(D830:D831)</f>
        <v>3100000</v>
      </c>
      <c r="E829" s="603">
        <f>SUM(E830:E831)</f>
        <v>2860000</v>
      </c>
      <c r="F829" s="609">
        <f>SUM(F830:F831)</f>
        <v>238912.94</v>
      </c>
      <c r="G829" s="610">
        <f>SUM(G830:G831)</f>
        <v>2700000</v>
      </c>
    </row>
    <row r="830" spans="1:256" s="607" customFormat="1" ht="12.75" hidden="1" customHeight="1" x14ac:dyDescent="0.2">
      <c r="A830" s="551"/>
      <c r="B830" s="557" t="s">
        <v>927</v>
      </c>
      <c r="C830" s="558">
        <v>500000</v>
      </c>
      <c r="D830" s="562">
        <v>500000</v>
      </c>
      <c r="E830" s="564">
        <v>500000</v>
      </c>
      <c r="F830" s="611">
        <v>191147.39</v>
      </c>
      <c r="G830" s="560">
        <v>600000</v>
      </c>
    </row>
    <row r="831" spans="1:256" s="607" customFormat="1" ht="12.75" hidden="1" customHeight="1" x14ac:dyDescent="0.2">
      <c r="A831" s="551"/>
      <c r="B831" s="557" t="s">
        <v>928</v>
      </c>
      <c r="C831" s="560">
        <f>SUM(C832:C842)</f>
        <v>3400000</v>
      </c>
      <c r="D831" s="562">
        <f>SUM(D832:D842)</f>
        <v>2600000</v>
      </c>
      <c r="E831" s="562">
        <f>SUM(E832:E842)</f>
        <v>2360000</v>
      </c>
      <c r="F831" s="611">
        <f>SUM(F832:F842)</f>
        <v>47765.55</v>
      </c>
      <c r="G831" s="560">
        <f>SUM(G832:G842)</f>
        <v>2100000</v>
      </c>
    </row>
    <row r="832" spans="1:256" s="607" customFormat="1" ht="12.75" hidden="1" customHeight="1" x14ac:dyDescent="0.2">
      <c r="A832" s="634"/>
      <c r="B832" s="561" t="s">
        <v>929</v>
      </c>
      <c r="C832" s="558">
        <v>100000</v>
      </c>
      <c r="D832" s="562">
        <v>100000</v>
      </c>
      <c r="E832" s="564">
        <v>100000</v>
      </c>
      <c r="F832" s="611">
        <v>0</v>
      </c>
      <c r="G832" s="560">
        <v>0</v>
      </c>
    </row>
    <row r="833" spans="1:256" ht="12.75" hidden="1" customHeight="1" x14ac:dyDescent="0.2">
      <c r="A833" s="634"/>
      <c r="B833" s="561" t="s">
        <v>930</v>
      </c>
      <c r="C833" s="558">
        <v>300000</v>
      </c>
      <c r="D833" s="562">
        <f>300000-100000</f>
        <v>200000</v>
      </c>
      <c r="E833" s="564">
        <v>200000</v>
      </c>
      <c r="F833" s="611">
        <v>23015</v>
      </c>
      <c r="G833" s="560">
        <v>0</v>
      </c>
      <c r="H833"/>
      <c r="I833"/>
      <c r="J833"/>
      <c r="K833"/>
      <c r="L833"/>
      <c r="M833"/>
      <c r="N833"/>
      <c r="O833"/>
      <c r="P833"/>
      <c r="Q833"/>
      <c r="R833"/>
      <c r="S833"/>
      <c r="T833"/>
      <c r="U833"/>
      <c r="V833"/>
      <c r="W833"/>
      <c r="X833"/>
      <c r="Y833"/>
      <c r="Z833"/>
      <c r="AA833"/>
      <c r="AB833"/>
      <c r="AC833"/>
      <c r="AD833"/>
      <c r="AE833"/>
      <c r="AF833"/>
      <c r="AG833"/>
      <c r="AH833"/>
      <c r="AI833"/>
      <c r="AJ833"/>
      <c r="AK833"/>
      <c r="AL833"/>
      <c r="AM833"/>
      <c r="AN833"/>
      <c r="AO833"/>
      <c r="AP833"/>
      <c r="AQ833"/>
      <c r="AR833"/>
      <c r="AS833"/>
      <c r="AT833"/>
      <c r="AU833"/>
      <c r="AV833"/>
      <c r="AW833"/>
      <c r="AX833"/>
      <c r="AY833"/>
      <c r="AZ833"/>
      <c r="BA833"/>
      <c r="BB833"/>
      <c r="BC833"/>
      <c r="BD833"/>
      <c r="BE833"/>
      <c r="BF833"/>
      <c r="BG833"/>
      <c r="BH833"/>
      <c r="BI833"/>
      <c r="BJ833"/>
      <c r="BK833"/>
      <c r="BL833"/>
      <c r="BM833"/>
      <c r="BN833"/>
      <c r="BO833"/>
      <c r="BP833"/>
      <c r="BQ833"/>
      <c r="BR833"/>
      <c r="BS833"/>
      <c r="BT833"/>
      <c r="BU833"/>
      <c r="BV833"/>
      <c r="BW833"/>
      <c r="BX833"/>
      <c r="BY833"/>
      <c r="BZ833"/>
      <c r="CA833"/>
      <c r="CB833"/>
      <c r="CC833"/>
      <c r="CD833"/>
      <c r="CE833"/>
      <c r="CF833"/>
      <c r="CG833"/>
      <c r="CH833"/>
      <c r="CI833"/>
      <c r="CJ833"/>
      <c r="CK833"/>
      <c r="CL833"/>
      <c r="CM833"/>
      <c r="CN833"/>
      <c r="CO833"/>
      <c r="CP833"/>
      <c r="CQ833"/>
      <c r="CR833"/>
      <c r="CS833"/>
      <c r="CT833"/>
      <c r="CU833"/>
      <c r="CV833"/>
      <c r="CW833"/>
      <c r="CX833"/>
      <c r="CY833"/>
      <c r="CZ833"/>
      <c r="DA833"/>
      <c r="DB833"/>
      <c r="DC833"/>
      <c r="DD833"/>
      <c r="DE833"/>
      <c r="DF833"/>
      <c r="DG833"/>
      <c r="DH833"/>
      <c r="DI833"/>
      <c r="DJ833"/>
      <c r="DK833"/>
      <c r="DL833"/>
      <c r="DM833"/>
      <c r="DN833"/>
      <c r="DO833"/>
      <c r="DP833"/>
      <c r="DQ833"/>
      <c r="DR833"/>
      <c r="DS833"/>
      <c r="DT833"/>
      <c r="DU833"/>
      <c r="DV833"/>
      <c r="DW833"/>
      <c r="DX833"/>
      <c r="DY833"/>
      <c r="DZ833"/>
      <c r="EA833"/>
      <c r="EB833"/>
      <c r="EC833"/>
      <c r="ED833"/>
      <c r="EE833"/>
      <c r="EF833"/>
      <c r="EG833"/>
      <c r="EH833"/>
      <c r="EI833"/>
      <c r="EJ833"/>
      <c r="EK833"/>
      <c r="EL833"/>
      <c r="EM833"/>
      <c r="EN833"/>
      <c r="EO833"/>
      <c r="EP833"/>
      <c r="EQ833"/>
      <c r="ER833"/>
      <c r="ES833"/>
      <c r="ET833"/>
      <c r="EU833"/>
      <c r="EV833"/>
      <c r="EW833"/>
      <c r="EX833"/>
      <c r="EY833"/>
      <c r="EZ833"/>
      <c r="FA833"/>
      <c r="FB833"/>
      <c r="FC833"/>
      <c r="FD833"/>
      <c r="FE833"/>
      <c r="FF833"/>
      <c r="FG833"/>
      <c r="FH833"/>
      <c r="FI833"/>
      <c r="FJ833"/>
      <c r="FK833"/>
      <c r="FL833"/>
      <c r="FM833"/>
      <c r="FN833"/>
      <c r="FO833"/>
      <c r="FP833"/>
      <c r="FQ833"/>
      <c r="FR833"/>
      <c r="FS833"/>
      <c r="FT833"/>
      <c r="FU833"/>
      <c r="FV833"/>
      <c r="FW833"/>
      <c r="FX833"/>
      <c r="FY833"/>
      <c r="FZ833"/>
      <c r="GA833"/>
      <c r="GB833"/>
      <c r="GC833"/>
      <c r="GD833"/>
      <c r="GE833"/>
      <c r="GF833"/>
      <c r="GG833"/>
      <c r="GH833"/>
      <c r="GI833"/>
      <c r="GJ833"/>
      <c r="GK833"/>
      <c r="GL833"/>
      <c r="GM833"/>
      <c r="GN833"/>
      <c r="GO833"/>
      <c r="GP833"/>
      <c r="GQ833"/>
      <c r="GR833"/>
      <c r="GS833"/>
      <c r="GT833"/>
      <c r="GU833"/>
      <c r="GV833"/>
      <c r="GW833"/>
      <c r="GX833"/>
      <c r="GY833"/>
      <c r="GZ833"/>
      <c r="HA833"/>
      <c r="HB833"/>
      <c r="HC833"/>
      <c r="HD833"/>
      <c r="HE833"/>
      <c r="HF833"/>
      <c r="HG833"/>
      <c r="HH833"/>
      <c r="HI833"/>
      <c r="HJ833"/>
      <c r="HK833"/>
      <c r="HL833"/>
      <c r="HM833"/>
      <c r="HN833"/>
      <c r="HO833"/>
      <c r="HP833"/>
      <c r="HQ833"/>
      <c r="HR833"/>
      <c r="HS833"/>
      <c r="HT833"/>
      <c r="HU833"/>
      <c r="HV833"/>
      <c r="HW833"/>
      <c r="HX833"/>
      <c r="HY833"/>
      <c r="HZ833"/>
      <c r="IA833"/>
      <c r="IB833"/>
      <c r="IC833"/>
      <c r="ID833"/>
      <c r="IE833"/>
      <c r="IF833"/>
      <c r="IG833"/>
      <c r="IH833"/>
      <c r="II833"/>
      <c r="IJ833"/>
      <c r="IK833"/>
      <c r="IL833"/>
      <c r="IM833"/>
      <c r="IN833"/>
      <c r="IO833"/>
      <c r="IP833"/>
      <c r="IQ833"/>
      <c r="IR833"/>
      <c r="IS833"/>
      <c r="IT833"/>
      <c r="IU833"/>
      <c r="IV833"/>
    </row>
    <row r="834" spans="1:256" ht="12.75" hidden="1" customHeight="1" x14ac:dyDescent="0.2">
      <c r="A834" s="634"/>
      <c r="B834" s="561" t="s">
        <v>931</v>
      </c>
      <c r="C834" s="560">
        <v>100000</v>
      </c>
      <c r="D834" s="562">
        <v>100000</v>
      </c>
      <c r="E834" s="564">
        <v>60000</v>
      </c>
      <c r="F834" s="611">
        <v>0</v>
      </c>
      <c r="G834" s="558">
        <v>500000</v>
      </c>
      <c r="H834"/>
      <c r="I834"/>
      <c r="J834"/>
      <c r="K834"/>
      <c r="L834"/>
      <c r="M834"/>
      <c r="N834"/>
      <c r="O834"/>
      <c r="P834"/>
      <c r="Q834"/>
      <c r="R834"/>
      <c r="S834"/>
      <c r="T834"/>
      <c r="U834"/>
      <c r="V834"/>
      <c r="W834"/>
      <c r="X834"/>
      <c r="Y834"/>
      <c r="Z834"/>
      <c r="AA834"/>
      <c r="AB834"/>
      <c r="AC834"/>
      <c r="AD834"/>
      <c r="AE834"/>
      <c r="AF834"/>
      <c r="AG834"/>
      <c r="AH834"/>
      <c r="AI834"/>
      <c r="AJ834"/>
      <c r="AK834"/>
      <c r="AL834"/>
      <c r="AM834"/>
      <c r="AN834"/>
      <c r="AO834"/>
      <c r="AP834"/>
      <c r="AQ834"/>
      <c r="AR834"/>
      <c r="AS834"/>
      <c r="AT834"/>
      <c r="AU834"/>
      <c r="AV834"/>
      <c r="AW834"/>
      <c r="AX834"/>
      <c r="AY834"/>
      <c r="AZ834"/>
      <c r="BA834"/>
      <c r="BB834"/>
      <c r="BC834"/>
      <c r="BD834"/>
      <c r="BE834"/>
      <c r="BF834"/>
      <c r="BG834"/>
      <c r="BH834"/>
      <c r="BI834"/>
      <c r="BJ834"/>
      <c r="BK834"/>
      <c r="BL834"/>
      <c r="BM834"/>
      <c r="BN834"/>
      <c r="BO834"/>
      <c r="BP834"/>
      <c r="BQ834"/>
      <c r="BR834"/>
      <c r="BS834"/>
      <c r="BT834"/>
      <c r="BU834"/>
      <c r="BV834"/>
      <c r="BW834"/>
      <c r="BX834"/>
      <c r="BY834"/>
      <c r="BZ834"/>
      <c r="CA834"/>
      <c r="CB834"/>
      <c r="CC834"/>
      <c r="CD834"/>
      <c r="CE834"/>
      <c r="CF834"/>
      <c r="CG834"/>
      <c r="CH834"/>
      <c r="CI834"/>
      <c r="CJ834"/>
      <c r="CK834"/>
      <c r="CL834"/>
      <c r="CM834"/>
      <c r="CN834"/>
      <c r="CO834"/>
      <c r="CP834"/>
      <c r="CQ834"/>
      <c r="CR834"/>
      <c r="CS834"/>
      <c r="CT834"/>
      <c r="CU834"/>
      <c r="CV834"/>
      <c r="CW834"/>
      <c r="CX834"/>
      <c r="CY834"/>
      <c r="CZ834"/>
      <c r="DA834"/>
      <c r="DB834"/>
      <c r="DC834"/>
      <c r="DD834"/>
      <c r="DE834"/>
      <c r="DF834"/>
      <c r="DG834"/>
      <c r="DH834"/>
      <c r="DI834"/>
      <c r="DJ834"/>
      <c r="DK834"/>
      <c r="DL834"/>
      <c r="DM834"/>
      <c r="DN834"/>
      <c r="DO834"/>
      <c r="DP834"/>
      <c r="DQ834"/>
      <c r="DR834"/>
      <c r="DS834"/>
      <c r="DT834"/>
      <c r="DU834"/>
      <c r="DV834"/>
      <c r="DW834"/>
      <c r="DX834"/>
      <c r="DY834"/>
      <c r="DZ834"/>
      <c r="EA834"/>
      <c r="EB834"/>
      <c r="EC834"/>
      <c r="ED834"/>
      <c r="EE834"/>
      <c r="EF834"/>
      <c r="EG834"/>
      <c r="EH834"/>
      <c r="EI834"/>
      <c r="EJ834"/>
      <c r="EK834"/>
      <c r="EL834"/>
      <c r="EM834"/>
      <c r="EN834"/>
      <c r="EO834"/>
      <c r="EP834"/>
      <c r="EQ834"/>
      <c r="ER834"/>
      <c r="ES834"/>
      <c r="ET834"/>
      <c r="EU834"/>
      <c r="EV834"/>
      <c r="EW834"/>
      <c r="EX834"/>
      <c r="EY834"/>
      <c r="EZ834"/>
      <c r="FA834"/>
      <c r="FB834"/>
      <c r="FC834"/>
      <c r="FD834"/>
      <c r="FE834"/>
      <c r="FF834"/>
      <c r="FG834"/>
      <c r="FH834"/>
      <c r="FI834"/>
      <c r="FJ834"/>
      <c r="FK834"/>
      <c r="FL834"/>
      <c r="FM834"/>
      <c r="FN834"/>
      <c r="FO834"/>
      <c r="FP834"/>
      <c r="FQ834"/>
      <c r="FR834"/>
      <c r="FS834"/>
      <c r="FT834"/>
      <c r="FU834"/>
      <c r="FV834"/>
      <c r="FW834"/>
      <c r="FX834"/>
      <c r="FY834"/>
      <c r="FZ834"/>
      <c r="GA834"/>
      <c r="GB834"/>
      <c r="GC834"/>
      <c r="GD834"/>
      <c r="GE834"/>
      <c r="GF834"/>
      <c r="GG834"/>
      <c r="GH834"/>
      <c r="GI834"/>
      <c r="GJ834"/>
      <c r="GK834"/>
      <c r="GL834"/>
      <c r="GM834"/>
      <c r="GN834"/>
      <c r="GO834"/>
      <c r="GP834"/>
      <c r="GQ834"/>
      <c r="GR834"/>
      <c r="GS834"/>
      <c r="GT834"/>
      <c r="GU834"/>
      <c r="GV834"/>
      <c r="GW834"/>
      <c r="GX834"/>
      <c r="GY834"/>
      <c r="GZ834"/>
      <c r="HA834"/>
      <c r="HB834"/>
      <c r="HC834"/>
      <c r="HD834"/>
      <c r="HE834"/>
      <c r="HF834"/>
      <c r="HG834"/>
      <c r="HH834"/>
      <c r="HI834"/>
      <c r="HJ834"/>
      <c r="HK834"/>
      <c r="HL834"/>
      <c r="HM834"/>
      <c r="HN834"/>
      <c r="HO834"/>
      <c r="HP834"/>
      <c r="HQ834"/>
      <c r="HR834"/>
      <c r="HS834"/>
      <c r="HT834"/>
      <c r="HU834"/>
      <c r="HV834"/>
      <c r="HW834"/>
      <c r="HX834"/>
      <c r="HY834"/>
      <c r="HZ834"/>
      <c r="IA834"/>
      <c r="IB834"/>
      <c r="IC834"/>
      <c r="ID834"/>
      <c r="IE834"/>
      <c r="IF834"/>
      <c r="IG834"/>
      <c r="IH834"/>
      <c r="II834"/>
      <c r="IJ834"/>
      <c r="IK834"/>
      <c r="IL834"/>
      <c r="IM834"/>
      <c r="IN834"/>
      <c r="IO834"/>
      <c r="IP834"/>
      <c r="IQ834"/>
      <c r="IR834"/>
      <c r="IS834"/>
      <c r="IT834"/>
      <c r="IU834"/>
      <c r="IV834"/>
    </row>
    <row r="835" spans="1:256" ht="12.75" hidden="1" customHeight="1" x14ac:dyDescent="0.2">
      <c r="A835" s="634"/>
      <c r="B835" s="629" t="s">
        <v>932</v>
      </c>
      <c r="C835" s="560">
        <f>350000-300000</f>
        <v>50000</v>
      </c>
      <c r="D835" s="562">
        <f>350000-300000</f>
        <v>50000</v>
      </c>
      <c r="E835" s="564">
        <v>50000</v>
      </c>
      <c r="F835" s="611">
        <v>0</v>
      </c>
      <c r="G835" s="560">
        <v>100000</v>
      </c>
      <c r="H835"/>
      <c r="I835"/>
      <c r="J835"/>
      <c r="K835"/>
      <c r="L835"/>
      <c r="M835"/>
      <c r="N835"/>
      <c r="O835"/>
      <c r="P835"/>
      <c r="Q835"/>
      <c r="R835"/>
      <c r="S835"/>
      <c r="T835"/>
      <c r="U835"/>
      <c r="V835"/>
      <c r="W835"/>
      <c r="X835"/>
      <c r="Y835"/>
      <c r="Z835"/>
      <c r="AA835"/>
      <c r="AB835"/>
      <c r="AC835"/>
      <c r="AD835"/>
      <c r="AE835"/>
      <c r="AF835"/>
      <c r="AG835"/>
      <c r="AH835"/>
      <c r="AI835"/>
      <c r="AJ835"/>
      <c r="AK835"/>
      <c r="AL835"/>
      <c r="AM835"/>
      <c r="AN835"/>
      <c r="AO835"/>
      <c r="AP835"/>
      <c r="AQ835"/>
      <c r="AR835"/>
      <c r="AS835"/>
      <c r="AT835"/>
      <c r="AU835"/>
      <c r="AV835"/>
      <c r="AW835"/>
      <c r="AX835"/>
      <c r="AY835"/>
      <c r="AZ835"/>
      <c r="BA835"/>
      <c r="BB835"/>
      <c r="BC835"/>
      <c r="BD835"/>
      <c r="BE835"/>
      <c r="BF835"/>
      <c r="BG835"/>
      <c r="BH835"/>
      <c r="BI835"/>
      <c r="BJ835"/>
      <c r="BK835"/>
      <c r="BL835"/>
      <c r="BM835"/>
      <c r="BN835"/>
      <c r="BO835"/>
      <c r="BP835"/>
      <c r="BQ835"/>
      <c r="BR835"/>
      <c r="BS835"/>
      <c r="BT835"/>
      <c r="BU835"/>
      <c r="BV835"/>
      <c r="BW835"/>
      <c r="BX835"/>
      <c r="BY835"/>
      <c r="BZ835"/>
      <c r="CA835"/>
      <c r="CB835"/>
      <c r="CC835"/>
      <c r="CD835"/>
      <c r="CE835"/>
      <c r="CF835"/>
      <c r="CG835"/>
      <c r="CH835"/>
      <c r="CI835"/>
      <c r="CJ835"/>
      <c r="CK835"/>
      <c r="CL835"/>
      <c r="CM835"/>
      <c r="CN835"/>
      <c r="CO835"/>
      <c r="CP835"/>
      <c r="CQ835"/>
      <c r="CR835"/>
      <c r="CS835"/>
      <c r="CT835"/>
      <c r="CU835"/>
      <c r="CV835"/>
      <c r="CW835"/>
      <c r="CX835"/>
      <c r="CY835"/>
      <c r="CZ835"/>
      <c r="DA835"/>
      <c r="DB835"/>
      <c r="DC835"/>
      <c r="DD835"/>
      <c r="DE835"/>
      <c r="DF835"/>
      <c r="DG835"/>
      <c r="DH835"/>
      <c r="DI835"/>
      <c r="DJ835"/>
      <c r="DK835"/>
      <c r="DL835"/>
      <c r="DM835"/>
      <c r="DN835"/>
      <c r="DO835"/>
      <c r="DP835"/>
      <c r="DQ835"/>
      <c r="DR835"/>
      <c r="DS835"/>
      <c r="DT835"/>
      <c r="DU835"/>
      <c r="DV835"/>
      <c r="DW835"/>
      <c r="DX835"/>
      <c r="DY835"/>
      <c r="DZ835"/>
      <c r="EA835"/>
      <c r="EB835"/>
      <c r="EC835"/>
      <c r="ED835"/>
      <c r="EE835"/>
      <c r="EF835"/>
      <c r="EG835"/>
      <c r="EH835"/>
      <c r="EI835"/>
      <c r="EJ835"/>
      <c r="EK835"/>
      <c r="EL835"/>
      <c r="EM835"/>
      <c r="EN835"/>
      <c r="EO835"/>
      <c r="EP835"/>
      <c r="EQ835"/>
      <c r="ER835"/>
      <c r="ES835"/>
      <c r="ET835"/>
      <c r="EU835"/>
      <c r="EV835"/>
      <c r="EW835"/>
      <c r="EX835"/>
      <c r="EY835"/>
      <c r="EZ835"/>
      <c r="FA835"/>
      <c r="FB835"/>
      <c r="FC835"/>
      <c r="FD835"/>
      <c r="FE835"/>
      <c r="FF835"/>
      <c r="FG835"/>
      <c r="FH835"/>
      <c r="FI835"/>
      <c r="FJ835"/>
      <c r="FK835"/>
      <c r="FL835"/>
      <c r="FM835"/>
      <c r="FN835"/>
      <c r="FO835"/>
      <c r="FP835"/>
      <c r="FQ835"/>
      <c r="FR835"/>
      <c r="FS835"/>
      <c r="FT835"/>
      <c r="FU835"/>
      <c r="FV835"/>
      <c r="FW835"/>
      <c r="FX835"/>
      <c r="FY835"/>
      <c r="FZ835"/>
      <c r="GA835"/>
      <c r="GB835"/>
      <c r="GC835"/>
      <c r="GD835"/>
      <c r="GE835"/>
      <c r="GF835"/>
      <c r="GG835"/>
      <c r="GH835"/>
      <c r="GI835"/>
      <c r="GJ835"/>
      <c r="GK835"/>
      <c r="GL835"/>
      <c r="GM835"/>
      <c r="GN835"/>
      <c r="GO835"/>
      <c r="GP835"/>
      <c r="GQ835"/>
      <c r="GR835"/>
      <c r="GS835"/>
      <c r="GT835"/>
      <c r="GU835"/>
      <c r="GV835"/>
      <c r="GW835"/>
      <c r="GX835"/>
      <c r="GY835"/>
      <c r="GZ835"/>
      <c r="HA835"/>
      <c r="HB835"/>
      <c r="HC835"/>
      <c r="HD835"/>
      <c r="HE835"/>
      <c r="HF835"/>
      <c r="HG835"/>
      <c r="HH835"/>
      <c r="HI835"/>
      <c r="HJ835"/>
      <c r="HK835"/>
      <c r="HL835"/>
      <c r="HM835"/>
      <c r="HN835"/>
      <c r="HO835"/>
      <c r="HP835"/>
      <c r="HQ835"/>
      <c r="HR835"/>
      <c r="HS835"/>
      <c r="HT835"/>
      <c r="HU835"/>
      <c r="HV835"/>
      <c r="HW835"/>
      <c r="HX835"/>
      <c r="HY835"/>
      <c r="HZ835"/>
      <c r="IA835"/>
      <c r="IB835"/>
      <c r="IC835"/>
      <c r="ID835"/>
      <c r="IE835"/>
      <c r="IF835"/>
      <c r="IG835"/>
      <c r="IH835"/>
      <c r="II835"/>
      <c r="IJ835"/>
      <c r="IK835"/>
      <c r="IL835"/>
      <c r="IM835"/>
      <c r="IN835"/>
      <c r="IO835"/>
      <c r="IP835"/>
      <c r="IQ835"/>
      <c r="IR835"/>
      <c r="IS835"/>
      <c r="IT835"/>
      <c r="IU835"/>
      <c r="IV835"/>
    </row>
    <row r="836" spans="1:256" s="607" customFormat="1" ht="12.75" hidden="1" customHeight="1" x14ac:dyDescent="0.2">
      <c r="A836" s="634"/>
      <c r="B836" s="629" t="s">
        <v>933</v>
      </c>
      <c r="C836" s="560">
        <v>200000</v>
      </c>
      <c r="D836" s="562">
        <f>200000-200000</f>
        <v>0</v>
      </c>
      <c r="E836" s="579">
        <v>0</v>
      </c>
      <c r="F836" s="611">
        <v>0</v>
      </c>
      <c r="G836" s="560">
        <v>0</v>
      </c>
    </row>
    <row r="837" spans="1:256" s="607" customFormat="1" ht="12.75" hidden="1" customHeight="1" x14ac:dyDescent="0.2">
      <c r="A837" s="634"/>
      <c r="B837" s="561" t="s">
        <v>934</v>
      </c>
      <c r="C837" s="560"/>
      <c r="D837" s="562"/>
      <c r="E837" s="579"/>
      <c r="F837" s="611"/>
      <c r="G837" s="560">
        <v>200000</v>
      </c>
    </row>
    <row r="838" spans="1:256" s="607" customFormat="1" ht="12.75" hidden="1" customHeight="1" x14ac:dyDescent="0.2">
      <c r="A838" s="634"/>
      <c r="B838" s="629" t="s">
        <v>935</v>
      </c>
      <c r="C838" s="560">
        <v>1300000</v>
      </c>
      <c r="D838" s="562">
        <v>1300000</v>
      </c>
      <c r="E838" s="579">
        <v>1900000</v>
      </c>
      <c r="F838" s="580">
        <v>0</v>
      </c>
      <c r="G838" s="127">
        <v>0</v>
      </c>
    </row>
    <row r="839" spans="1:256" s="607" customFormat="1" ht="12.75" hidden="1" customHeight="1" x14ac:dyDescent="0.2">
      <c r="A839" s="634"/>
      <c r="B839" s="629" t="s">
        <v>936</v>
      </c>
      <c r="C839" s="560"/>
      <c r="D839" s="562"/>
      <c r="E839" s="579"/>
      <c r="F839" s="580"/>
      <c r="G839" s="162">
        <v>200000</v>
      </c>
    </row>
    <row r="840" spans="1:256" s="607" customFormat="1" ht="12.75" hidden="1" customHeight="1" x14ac:dyDescent="0.2">
      <c r="A840" s="634"/>
      <c r="B840" s="629" t="s">
        <v>937</v>
      </c>
      <c r="C840" s="558">
        <v>300000</v>
      </c>
      <c r="D840" s="562">
        <v>300000</v>
      </c>
      <c r="E840" s="579">
        <v>0</v>
      </c>
      <c r="F840" s="580">
        <v>24750.55</v>
      </c>
      <c r="G840" s="127">
        <v>300000</v>
      </c>
    </row>
    <row r="841" spans="1:256" s="607" customFormat="1" ht="12.75" hidden="1" customHeight="1" x14ac:dyDescent="0.2">
      <c r="A841" s="634"/>
      <c r="B841" s="628" t="s">
        <v>938</v>
      </c>
      <c r="C841" s="558">
        <v>50000</v>
      </c>
      <c r="D841" s="562">
        <v>50000</v>
      </c>
      <c r="E841" s="564">
        <v>50000</v>
      </c>
      <c r="F841" s="580">
        <v>0</v>
      </c>
      <c r="G841" s="162">
        <v>800000</v>
      </c>
    </row>
    <row r="842" spans="1:256" s="607" customFormat="1" ht="12.75" hidden="1" customHeight="1" x14ac:dyDescent="0.2">
      <c r="A842" s="634"/>
      <c r="B842" s="639" t="s">
        <v>939</v>
      </c>
      <c r="C842" s="558">
        <v>1000000</v>
      </c>
      <c r="D842" s="562">
        <f>1000000-500000</f>
        <v>500000</v>
      </c>
      <c r="E842" s="579">
        <v>0</v>
      </c>
      <c r="F842" s="647">
        <v>0</v>
      </c>
      <c r="G842" s="170">
        <v>0</v>
      </c>
    </row>
    <row r="843" spans="1:256" s="607" customFormat="1" ht="12.75" hidden="1" customHeight="1" x14ac:dyDescent="0.2">
      <c r="A843" s="551"/>
      <c r="B843" s="648" t="s">
        <v>940</v>
      </c>
      <c r="C843" s="558">
        <f>SUM(C844:C848)</f>
        <v>1750000</v>
      </c>
      <c r="D843" s="562">
        <f>SUM(D844:D848)</f>
        <v>1350000</v>
      </c>
      <c r="E843" s="562">
        <f>SUM(E844:E848)</f>
        <v>510000</v>
      </c>
      <c r="F843" s="611">
        <f>SUM(F844:F848)</f>
        <v>80598.100000000006</v>
      </c>
      <c r="G843" s="558">
        <f>SUM(G844:G848)</f>
        <v>800000</v>
      </c>
    </row>
    <row r="844" spans="1:256" s="607" customFormat="1" ht="12.75" hidden="1" customHeight="1" x14ac:dyDescent="0.2">
      <c r="A844" s="551"/>
      <c r="B844" s="629" t="s">
        <v>941</v>
      </c>
      <c r="C844" s="558">
        <v>500000</v>
      </c>
      <c r="D844" s="562">
        <f>500000-50000</f>
        <v>450000</v>
      </c>
      <c r="E844" s="579">
        <v>200000</v>
      </c>
      <c r="F844" s="611">
        <v>0</v>
      </c>
      <c r="G844" s="558">
        <v>100000</v>
      </c>
    </row>
    <row r="845" spans="1:256" s="607" customFormat="1" ht="12.75" hidden="1" customHeight="1" x14ac:dyDescent="0.2">
      <c r="A845" s="551"/>
      <c r="B845" s="629" t="s">
        <v>942</v>
      </c>
      <c r="C845" s="560">
        <v>500000</v>
      </c>
      <c r="D845" s="562">
        <f>500000-50000-100000</f>
        <v>350000</v>
      </c>
      <c r="E845" s="564">
        <v>100000</v>
      </c>
      <c r="F845" s="611">
        <v>0</v>
      </c>
      <c r="G845" s="558">
        <v>300000</v>
      </c>
    </row>
    <row r="846" spans="1:256" s="607" customFormat="1" ht="12.75" hidden="1" customHeight="1" x14ac:dyDescent="0.2">
      <c r="A846" s="551"/>
      <c r="B846" s="629" t="s">
        <v>943</v>
      </c>
      <c r="C846" s="560">
        <v>50000</v>
      </c>
      <c r="D846" s="562">
        <v>50000</v>
      </c>
      <c r="E846" s="564">
        <v>50000</v>
      </c>
      <c r="F846" s="611">
        <v>0</v>
      </c>
      <c r="G846" s="558">
        <v>100000</v>
      </c>
    </row>
    <row r="847" spans="1:256" ht="12.75" hidden="1" customHeight="1" x14ac:dyDescent="0.2">
      <c r="A847" s="551"/>
      <c r="B847" s="629" t="s">
        <v>944</v>
      </c>
      <c r="C847" s="558">
        <v>200000</v>
      </c>
      <c r="D847" s="649">
        <f>200000-50000</f>
        <v>150000</v>
      </c>
      <c r="E847" s="564">
        <v>60000</v>
      </c>
      <c r="F847" s="650">
        <v>0</v>
      </c>
      <c r="G847" s="560">
        <v>0</v>
      </c>
      <c r="H847"/>
      <c r="I847"/>
      <c r="J847"/>
      <c r="K847"/>
      <c r="L847"/>
      <c r="M847"/>
      <c r="N847"/>
      <c r="O847"/>
      <c r="P847"/>
      <c r="Q847"/>
      <c r="R847"/>
      <c r="S847"/>
      <c r="T847"/>
      <c r="U847"/>
      <c r="V847"/>
      <c r="W847"/>
      <c r="X847"/>
      <c r="Y847"/>
      <c r="Z847"/>
      <c r="AA847"/>
      <c r="AB847"/>
      <c r="AC847"/>
      <c r="AD847"/>
      <c r="AE847"/>
      <c r="AF847"/>
      <c r="AG847"/>
      <c r="AH847"/>
      <c r="AI847"/>
      <c r="AJ847"/>
      <c r="AK847"/>
      <c r="AL847"/>
      <c r="AM847"/>
      <c r="AN847"/>
      <c r="AO847"/>
      <c r="AP847"/>
      <c r="AQ847"/>
      <c r="AR847"/>
      <c r="AS847"/>
      <c r="AT847"/>
      <c r="AU847"/>
      <c r="AV847"/>
      <c r="AW847"/>
      <c r="AX847"/>
      <c r="AY847"/>
      <c r="AZ847"/>
      <c r="BA847"/>
      <c r="BB847"/>
      <c r="BC847"/>
      <c r="BD847"/>
      <c r="BE847"/>
      <c r="BF847"/>
      <c r="BG847"/>
      <c r="BH847"/>
      <c r="BI847"/>
      <c r="BJ847"/>
      <c r="BK847"/>
      <c r="BL847"/>
      <c r="BM847"/>
      <c r="BN847"/>
      <c r="BO847"/>
      <c r="BP847"/>
      <c r="BQ847"/>
      <c r="BR847"/>
      <c r="BS847"/>
      <c r="BT847"/>
      <c r="BU847"/>
      <c r="BV847"/>
      <c r="BW847"/>
      <c r="BX847"/>
      <c r="BY847"/>
      <c r="BZ847"/>
      <c r="CA847"/>
      <c r="CB847"/>
      <c r="CC847"/>
      <c r="CD847"/>
      <c r="CE847"/>
      <c r="CF847"/>
      <c r="CG847"/>
      <c r="CH847"/>
      <c r="CI847"/>
      <c r="CJ847"/>
      <c r="CK847"/>
      <c r="CL847"/>
      <c r="CM847"/>
      <c r="CN847"/>
      <c r="CO847"/>
      <c r="CP847"/>
      <c r="CQ847"/>
      <c r="CR847"/>
      <c r="CS847"/>
      <c r="CT847"/>
      <c r="CU847"/>
      <c r="CV847"/>
      <c r="CW847"/>
      <c r="CX847"/>
      <c r="CY847"/>
      <c r="CZ847"/>
      <c r="DA847"/>
      <c r="DB847"/>
      <c r="DC847"/>
      <c r="DD847"/>
      <c r="DE847"/>
      <c r="DF847"/>
      <c r="DG847"/>
      <c r="DH847"/>
      <c r="DI847"/>
      <c r="DJ847"/>
      <c r="DK847"/>
      <c r="DL847"/>
      <c r="DM847"/>
      <c r="DN847"/>
      <c r="DO847"/>
      <c r="DP847"/>
      <c r="DQ847"/>
      <c r="DR847"/>
      <c r="DS847"/>
      <c r="DT847"/>
      <c r="DU847"/>
      <c r="DV847"/>
      <c r="DW847"/>
      <c r="DX847"/>
      <c r="DY847"/>
      <c r="DZ847"/>
      <c r="EA847"/>
      <c r="EB847"/>
      <c r="EC847"/>
      <c r="ED847"/>
      <c r="EE847"/>
      <c r="EF847"/>
      <c r="EG847"/>
      <c r="EH847"/>
      <c r="EI847"/>
      <c r="EJ847"/>
      <c r="EK847"/>
      <c r="EL847"/>
      <c r="EM847"/>
      <c r="EN847"/>
      <c r="EO847"/>
      <c r="EP847"/>
      <c r="EQ847"/>
      <c r="ER847"/>
      <c r="ES847"/>
      <c r="ET847"/>
      <c r="EU847"/>
      <c r="EV847"/>
      <c r="EW847"/>
      <c r="EX847"/>
      <c r="EY847"/>
      <c r="EZ847"/>
      <c r="FA847"/>
      <c r="FB847"/>
      <c r="FC847"/>
      <c r="FD847"/>
      <c r="FE847"/>
      <c r="FF847"/>
      <c r="FG847"/>
      <c r="FH847"/>
      <c r="FI847"/>
      <c r="FJ847"/>
      <c r="FK847"/>
      <c r="FL847"/>
      <c r="FM847"/>
      <c r="FN847"/>
      <c r="FO847"/>
      <c r="FP847"/>
      <c r="FQ847"/>
      <c r="FR847"/>
      <c r="FS847"/>
      <c r="FT847"/>
      <c r="FU847"/>
      <c r="FV847"/>
      <c r="FW847"/>
      <c r="FX847"/>
      <c r="FY847"/>
      <c r="FZ847"/>
      <c r="GA847"/>
      <c r="GB847"/>
      <c r="GC847"/>
      <c r="GD847"/>
      <c r="GE847"/>
      <c r="GF847"/>
      <c r="GG847"/>
      <c r="GH847"/>
      <c r="GI847"/>
      <c r="GJ847"/>
      <c r="GK847"/>
      <c r="GL847"/>
      <c r="GM847"/>
      <c r="GN847"/>
      <c r="GO847"/>
      <c r="GP847"/>
      <c r="GQ847"/>
      <c r="GR847"/>
      <c r="GS847"/>
      <c r="GT847"/>
      <c r="GU847"/>
      <c r="GV847"/>
      <c r="GW847"/>
      <c r="GX847"/>
      <c r="GY847"/>
      <c r="GZ847"/>
      <c r="HA847"/>
      <c r="HB847"/>
      <c r="HC847"/>
      <c r="HD847"/>
      <c r="HE847"/>
      <c r="HF847"/>
      <c r="HG847"/>
      <c r="HH847"/>
      <c r="HI847"/>
      <c r="HJ847"/>
      <c r="HK847"/>
      <c r="HL847"/>
      <c r="HM847"/>
      <c r="HN847"/>
      <c r="HO847"/>
      <c r="HP847"/>
      <c r="HQ847"/>
      <c r="HR847"/>
      <c r="HS847"/>
      <c r="HT847"/>
      <c r="HU847"/>
      <c r="HV847"/>
      <c r="HW847"/>
      <c r="HX847"/>
      <c r="HY847"/>
      <c r="HZ847"/>
      <c r="IA847"/>
      <c r="IB847"/>
      <c r="IC847"/>
      <c r="ID847"/>
      <c r="IE847"/>
      <c r="IF847"/>
      <c r="IG847"/>
      <c r="IH847"/>
      <c r="II847"/>
      <c r="IJ847"/>
      <c r="IK847"/>
      <c r="IL847"/>
      <c r="IM847"/>
      <c r="IN847"/>
      <c r="IO847"/>
      <c r="IP847"/>
      <c r="IQ847"/>
      <c r="IR847"/>
      <c r="IS847"/>
      <c r="IT847"/>
      <c r="IU847"/>
      <c r="IV847"/>
    </row>
    <row r="848" spans="1:256" ht="12.75" hidden="1" customHeight="1" x14ac:dyDescent="0.2">
      <c r="A848" s="632"/>
      <c r="B848" s="629" t="s">
        <v>945</v>
      </c>
      <c r="C848" s="558">
        <f>1000000-500000</f>
        <v>500000</v>
      </c>
      <c r="D848" s="562">
        <f>1000000-500000-50000-100000</f>
        <v>350000</v>
      </c>
      <c r="E848" s="564">
        <v>100000</v>
      </c>
      <c r="F848" s="611">
        <v>80598.100000000006</v>
      </c>
      <c r="G848" s="560">
        <v>300000</v>
      </c>
      <c r="H848"/>
      <c r="I848"/>
      <c r="J848"/>
      <c r="K848"/>
      <c r="L848"/>
      <c r="M848"/>
      <c r="N848"/>
      <c r="O848"/>
      <c r="P848"/>
      <c r="Q848"/>
      <c r="R848"/>
      <c r="S848"/>
      <c r="T848"/>
      <c r="U848"/>
      <c r="V848"/>
      <c r="W848"/>
      <c r="X848"/>
      <c r="Y848"/>
      <c r="Z848"/>
      <c r="AA848"/>
      <c r="AB848"/>
      <c r="AC848"/>
      <c r="AD848"/>
      <c r="AE848"/>
      <c r="AF848"/>
      <c r="AG848"/>
      <c r="AH848"/>
      <c r="AI848"/>
      <c r="AJ848"/>
      <c r="AK848"/>
      <c r="AL848"/>
      <c r="AM848"/>
      <c r="AN848"/>
      <c r="AO848"/>
      <c r="AP848"/>
      <c r="AQ848"/>
      <c r="AR848"/>
      <c r="AS848"/>
      <c r="AT848"/>
      <c r="AU848"/>
      <c r="AV848"/>
      <c r="AW848"/>
      <c r="AX848"/>
      <c r="AY848"/>
      <c r="AZ848"/>
      <c r="BA848"/>
      <c r="BB848"/>
      <c r="BC848"/>
      <c r="BD848"/>
      <c r="BE848"/>
      <c r="BF848"/>
      <c r="BG848"/>
      <c r="BH848"/>
      <c r="BI848"/>
      <c r="BJ848"/>
      <c r="BK848"/>
      <c r="BL848"/>
      <c r="BM848"/>
      <c r="BN848"/>
      <c r="BO848"/>
      <c r="BP848"/>
      <c r="BQ848"/>
      <c r="BR848"/>
      <c r="BS848"/>
      <c r="BT848"/>
      <c r="BU848"/>
      <c r="BV848"/>
      <c r="BW848"/>
      <c r="BX848"/>
      <c r="BY848"/>
      <c r="BZ848"/>
      <c r="CA848"/>
      <c r="CB848"/>
      <c r="CC848"/>
      <c r="CD848"/>
      <c r="CE848"/>
      <c r="CF848"/>
      <c r="CG848"/>
      <c r="CH848"/>
      <c r="CI848"/>
      <c r="CJ848"/>
      <c r="CK848"/>
      <c r="CL848"/>
      <c r="CM848"/>
      <c r="CN848"/>
      <c r="CO848"/>
      <c r="CP848"/>
      <c r="CQ848"/>
      <c r="CR848"/>
      <c r="CS848"/>
      <c r="CT848"/>
      <c r="CU848"/>
      <c r="CV848"/>
      <c r="CW848"/>
      <c r="CX848"/>
      <c r="CY848"/>
      <c r="CZ848"/>
      <c r="DA848"/>
      <c r="DB848"/>
      <c r="DC848"/>
      <c r="DD848"/>
      <c r="DE848"/>
      <c r="DF848"/>
      <c r="DG848"/>
      <c r="DH848"/>
      <c r="DI848"/>
      <c r="DJ848"/>
      <c r="DK848"/>
      <c r="DL848"/>
      <c r="DM848"/>
      <c r="DN848"/>
      <c r="DO848"/>
      <c r="DP848"/>
      <c r="DQ848"/>
      <c r="DR848"/>
      <c r="DS848"/>
      <c r="DT848"/>
      <c r="DU848"/>
      <c r="DV848"/>
      <c r="DW848"/>
      <c r="DX848"/>
      <c r="DY848"/>
      <c r="DZ848"/>
      <c r="EA848"/>
      <c r="EB848"/>
      <c r="EC848"/>
      <c r="ED848"/>
      <c r="EE848"/>
      <c r="EF848"/>
      <c r="EG848"/>
      <c r="EH848"/>
      <c r="EI848"/>
      <c r="EJ848"/>
      <c r="EK848"/>
      <c r="EL848"/>
      <c r="EM848"/>
      <c r="EN848"/>
      <c r="EO848"/>
      <c r="EP848"/>
      <c r="EQ848"/>
      <c r="ER848"/>
      <c r="ES848"/>
      <c r="ET848"/>
      <c r="EU848"/>
      <c r="EV848"/>
      <c r="EW848"/>
      <c r="EX848"/>
      <c r="EY848"/>
      <c r="EZ848"/>
      <c r="FA848"/>
      <c r="FB848"/>
      <c r="FC848"/>
      <c r="FD848"/>
      <c r="FE848"/>
      <c r="FF848"/>
      <c r="FG848"/>
      <c r="FH848"/>
      <c r="FI848"/>
      <c r="FJ848"/>
      <c r="FK848"/>
      <c r="FL848"/>
      <c r="FM848"/>
      <c r="FN848"/>
      <c r="FO848"/>
      <c r="FP848"/>
      <c r="FQ848"/>
      <c r="FR848"/>
      <c r="FS848"/>
      <c r="FT848"/>
      <c r="FU848"/>
      <c r="FV848"/>
      <c r="FW848"/>
      <c r="FX848"/>
      <c r="FY848"/>
      <c r="FZ848"/>
      <c r="GA848"/>
      <c r="GB848"/>
      <c r="GC848"/>
      <c r="GD848"/>
      <c r="GE848"/>
      <c r="GF848"/>
      <c r="GG848"/>
      <c r="GH848"/>
      <c r="GI848"/>
      <c r="GJ848"/>
      <c r="GK848"/>
      <c r="GL848"/>
      <c r="GM848"/>
      <c r="GN848"/>
      <c r="GO848"/>
      <c r="GP848"/>
      <c r="GQ848"/>
      <c r="GR848"/>
      <c r="GS848"/>
      <c r="GT848"/>
      <c r="GU848"/>
      <c r="GV848"/>
      <c r="GW848"/>
      <c r="GX848"/>
      <c r="GY848"/>
      <c r="GZ848"/>
      <c r="HA848"/>
      <c r="HB848"/>
      <c r="HC848"/>
      <c r="HD848"/>
      <c r="HE848"/>
      <c r="HF848"/>
      <c r="HG848"/>
      <c r="HH848"/>
      <c r="HI848"/>
      <c r="HJ848"/>
      <c r="HK848"/>
      <c r="HL848"/>
      <c r="HM848"/>
      <c r="HN848"/>
      <c r="HO848"/>
      <c r="HP848"/>
      <c r="HQ848"/>
      <c r="HR848"/>
      <c r="HS848"/>
      <c r="HT848"/>
      <c r="HU848"/>
      <c r="HV848"/>
      <c r="HW848"/>
      <c r="HX848"/>
      <c r="HY848"/>
      <c r="HZ848"/>
      <c r="IA848"/>
      <c r="IB848"/>
      <c r="IC848"/>
      <c r="ID848"/>
      <c r="IE848"/>
      <c r="IF848"/>
      <c r="IG848"/>
      <c r="IH848"/>
      <c r="II848"/>
      <c r="IJ848"/>
      <c r="IK848"/>
      <c r="IL848"/>
      <c r="IM848"/>
      <c r="IN848"/>
      <c r="IO848"/>
      <c r="IP848"/>
      <c r="IQ848"/>
      <c r="IR848"/>
      <c r="IS848"/>
      <c r="IT848"/>
      <c r="IU848"/>
      <c r="IV848"/>
    </row>
    <row r="849" spans="1:256" ht="12.75" hidden="1" customHeight="1" x14ac:dyDescent="0.2">
      <c r="A849" s="632">
        <v>3634</v>
      </c>
      <c r="B849" s="651" t="s">
        <v>946</v>
      </c>
      <c r="C849" s="553">
        <f>SUM(C850:C854)</f>
        <v>30034000</v>
      </c>
      <c r="D849" s="581">
        <f>SUM(D850:D854)</f>
        <v>22594783</v>
      </c>
      <c r="E849" s="581">
        <f>SUM(E850:E854)</f>
        <v>21335963.350000001</v>
      </c>
      <c r="F849" s="582">
        <f>SUM(F850:F854)</f>
        <v>9802375.8000000007</v>
      </c>
      <c r="G849" s="553">
        <f>SUM(G850:G854)</f>
        <v>28550000</v>
      </c>
      <c r="H849"/>
      <c r="I849"/>
      <c r="J849"/>
      <c r="K849"/>
      <c r="L849"/>
      <c r="M849"/>
      <c r="N849"/>
      <c r="O849"/>
      <c r="P849"/>
      <c r="Q849"/>
      <c r="R849"/>
      <c r="S849"/>
      <c r="T849"/>
      <c r="U849"/>
      <c r="V849"/>
      <c r="W849"/>
      <c r="X849"/>
      <c r="Y849"/>
      <c r="Z849"/>
      <c r="AA849"/>
      <c r="AB849"/>
      <c r="AC849"/>
      <c r="AD849"/>
      <c r="AE849"/>
      <c r="AF849"/>
      <c r="AG849"/>
      <c r="AH849"/>
      <c r="AI849"/>
      <c r="AJ849"/>
      <c r="AK849"/>
      <c r="AL849"/>
      <c r="AM849"/>
      <c r="AN849"/>
      <c r="AO849"/>
      <c r="AP849"/>
      <c r="AQ849"/>
      <c r="AR849"/>
      <c r="AS849"/>
      <c r="AT849"/>
      <c r="AU849"/>
      <c r="AV849"/>
      <c r="AW849"/>
      <c r="AX849"/>
      <c r="AY849"/>
      <c r="AZ849"/>
      <c r="BA849"/>
      <c r="BB849"/>
      <c r="BC849"/>
      <c r="BD849"/>
      <c r="BE849"/>
      <c r="BF849"/>
      <c r="BG849"/>
      <c r="BH849"/>
      <c r="BI849"/>
      <c r="BJ849"/>
      <c r="BK849"/>
      <c r="BL849"/>
      <c r="BM849"/>
      <c r="BN849"/>
      <c r="BO849"/>
      <c r="BP849"/>
      <c r="BQ849"/>
      <c r="BR849"/>
      <c r="BS849"/>
      <c r="BT849"/>
      <c r="BU849"/>
      <c r="BV849"/>
      <c r="BW849"/>
      <c r="BX849"/>
      <c r="BY849"/>
      <c r="BZ849"/>
      <c r="CA849"/>
      <c r="CB849"/>
      <c r="CC849"/>
      <c r="CD849"/>
      <c r="CE849"/>
      <c r="CF849"/>
      <c r="CG849"/>
      <c r="CH849"/>
      <c r="CI849"/>
      <c r="CJ849"/>
      <c r="CK849"/>
      <c r="CL849"/>
      <c r="CM849"/>
      <c r="CN849"/>
      <c r="CO849"/>
      <c r="CP849"/>
      <c r="CQ849"/>
      <c r="CR849"/>
      <c r="CS849"/>
      <c r="CT849"/>
      <c r="CU849"/>
      <c r="CV849"/>
      <c r="CW849"/>
      <c r="CX849"/>
      <c r="CY849"/>
      <c r="CZ849"/>
      <c r="DA849"/>
      <c r="DB849"/>
      <c r="DC849"/>
      <c r="DD849"/>
      <c r="DE849"/>
      <c r="DF849"/>
      <c r="DG849"/>
      <c r="DH849"/>
      <c r="DI849"/>
      <c r="DJ849"/>
      <c r="DK849"/>
      <c r="DL849"/>
      <c r="DM849"/>
      <c r="DN849"/>
      <c r="DO849"/>
      <c r="DP849"/>
      <c r="DQ849"/>
      <c r="DR849"/>
      <c r="DS849"/>
      <c r="DT849"/>
      <c r="DU849"/>
      <c r="DV849"/>
      <c r="DW849"/>
      <c r="DX849"/>
      <c r="DY849"/>
      <c r="DZ849"/>
      <c r="EA849"/>
      <c r="EB849"/>
      <c r="EC849"/>
      <c r="ED849"/>
      <c r="EE849"/>
      <c r="EF849"/>
      <c r="EG849"/>
      <c r="EH849"/>
      <c r="EI849"/>
      <c r="EJ849"/>
      <c r="EK849"/>
      <c r="EL849"/>
      <c r="EM849"/>
      <c r="EN849"/>
      <c r="EO849"/>
      <c r="EP849"/>
      <c r="EQ849"/>
      <c r="ER849"/>
      <c r="ES849"/>
      <c r="ET849"/>
      <c r="EU849"/>
      <c r="EV849"/>
      <c r="EW849"/>
      <c r="EX849"/>
      <c r="EY849"/>
      <c r="EZ849"/>
      <c r="FA849"/>
      <c r="FB849"/>
      <c r="FC849"/>
      <c r="FD849"/>
      <c r="FE849"/>
      <c r="FF849"/>
      <c r="FG849"/>
      <c r="FH849"/>
      <c r="FI849"/>
      <c r="FJ849"/>
      <c r="FK849"/>
      <c r="FL849"/>
      <c r="FM849"/>
      <c r="FN849"/>
      <c r="FO849"/>
      <c r="FP849"/>
      <c r="FQ849"/>
      <c r="FR849"/>
      <c r="FS849"/>
      <c r="FT849"/>
      <c r="FU849"/>
      <c r="FV849"/>
      <c r="FW849"/>
      <c r="FX849"/>
      <c r="FY849"/>
      <c r="FZ849"/>
      <c r="GA849"/>
      <c r="GB849"/>
      <c r="GC849"/>
      <c r="GD849"/>
      <c r="GE849"/>
      <c r="GF849"/>
      <c r="GG849"/>
      <c r="GH849"/>
      <c r="GI849"/>
      <c r="GJ849"/>
      <c r="GK849"/>
      <c r="GL849"/>
      <c r="GM849"/>
      <c r="GN849"/>
      <c r="GO849"/>
      <c r="GP849"/>
      <c r="GQ849"/>
      <c r="GR849"/>
      <c r="GS849"/>
      <c r="GT849"/>
      <c r="GU849"/>
      <c r="GV849"/>
      <c r="GW849"/>
      <c r="GX849"/>
      <c r="GY849"/>
      <c r="GZ849"/>
      <c r="HA849"/>
      <c r="HB849"/>
      <c r="HC849"/>
      <c r="HD849"/>
      <c r="HE849"/>
      <c r="HF849"/>
      <c r="HG849"/>
      <c r="HH849"/>
      <c r="HI849"/>
      <c r="HJ849"/>
      <c r="HK849"/>
      <c r="HL849"/>
      <c r="HM849"/>
      <c r="HN849"/>
      <c r="HO849"/>
      <c r="HP849"/>
      <c r="HQ849"/>
      <c r="HR849"/>
      <c r="HS849"/>
      <c r="HT849"/>
      <c r="HU849"/>
      <c r="HV849"/>
      <c r="HW849"/>
      <c r="HX849"/>
      <c r="HY849"/>
      <c r="HZ849"/>
      <c r="IA849"/>
      <c r="IB849"/>
      <c r="IC849"/>
      <c r="ID849"/>
      <c r="IE849"/>
      <c r="IF849"/>
      <c r="IG849"/>
      <c r="IH849"/>
      <c r="II849"/>
      <c r="IJ849"/>
      <c r="IK849"/>
      <c r="IL849"/>
      <c r="IM849"/>
      <c r="IN849"/>
      <c r="IO849"/>
      <c r="IP849"/>
      <c r="IQ849"/>
      <c r="IR849"/>
      <c r="IS849"/>
      <c r="IT849"/>
      <c r="IU849"/>
      <c r="IV849"/>
    </row>
    <row r="850" spans="1:256" ht="12.75" hidden="1" customHeight="1" x14ac:dyDescent="0.2">
      <c r="A850" s="551"/>
      <c r="B850" s="639" t="s">
        <v>947</v>
      </c>
      <c r="C850" s="560">
        <v>500000</v>
      </c>
      <c r="D850" s="562">
        <v>500000</v>
      </c>
      <c r="E850" s="579">
        <v>200000</v>
      </c>
      <c r="F850" s="580">
        <v>97574.11</v>
      </c>
      <c r="G850" s="127">
        <v>200000</v>
      </c>
      <c r="H850" s="652"/>
      <c r="I850" s="652"/>
      <c r="J850" s="652"/>
      <c r="K850" s="652"/>
      <c r="L850" s="652"/>
      <c r="M850" s="652"/>
      <c r="N850" s="652"/>
      <c r="O850" s="652"/>
      <c r="P850" s="652"/>
      <c r="Q850" s="652"/>
      <c r="R850" s="652"/>
      <c r="S850" s="652"/>
      <c r="T850" s="652"/>
      <c r="U850" s="652"/>
      <c r="V850" s="652"/>
      <c r="W850" s="652"/>
      <c r="X850" s="652"/>
      <c r="Y850" s="652"/>
      <c r="Z850" s="652"/>
      <c r="AA850" s="652"/>
      <c r="AB850" s="652"/>
      <c r="AC850" s="652"/>
      <c r="AD850" s="652"/>
      <c r="AE850" s="652"/>
      <c r="AF850" s="652"/>
      <c r="AG850" s="652"/>
      <c r="AH850" s="652"/>
      <c r="AI850" s="652"/>
      <c r="AJ850" s="652"/>
      <c r="AK850" s="652"/>
      <c r="AL850" s="652"/>
      <c r="AM850" s="652"/>
      <c r="AN850" s="652"/>
      <c r="AO850" s="652"/>
      <c r="AP850" s="652"/>
      <c r="AQ850" s="652"/>
      <c r="AR850" s="652"/>
      <c r="AS850" s="652"/>
      <c r="AT850" s="652"/>
      <c r="AU850" s="652"/>
      <c r="AV850" s="652"/>
      <c r="AW850" s="652"/>
      <c r="AX850" s="652"/>
      <c r="AY850" s="652"/>
      <c r="AZ850" s="652"/>
      <c r="BA850" s="652"/>
      <c r="BB850" s="652"/>
      <c r="BC850" s="652"/>
      <c r="BD850" s="652"/>
      <c r="BE850" s="652"/>
      <c r="BF850" s="652"/>
      <c r="BG850" s="652"/>
      <c r="BH850" s="652"/>
      <c r="BI850" s="652"/>
      <c r="BJ850" s="652"/>
      <c r="BK850" s="652"/>
      <c r="BL850" s="652"/>
      <c r="BM850" s="652"/>
      <c r="BN850" s="652"/>
      <c r="BO850" s="652"/>
      <c r="BP850" s="652"/>
      <c r="BQ850" s="652"/>
      <c r="BR850" s="652"/>
      <c r="BS850" s="652"/>
      <c r="BT850" s="652"/>
      <c r="BU850" s="652"/>
      <c r="BV850" s="652"/>
      <c r="BW850" s="652"/>
      <c r="BX850" s="652"/>
      <c r="BY850" s="652"/>
      <c r="BZ850" s="652"/>
      <c r="CA850" s="652"/>
      <c r="CB850" s="652"/>
      <c r="CC850" s="652"/>
      <c r="CD850" s="652"/>
      <c r="CE850" s="652"/>
      <c r="CF850" s="652"/>
      <c r="CG850" s="652"/>
      <c r="CH850" s="652"/>
      <c r="CI850" s="652"/>
      <c r="CJ850" s="652"/>
      <c r="CK850" s="652"/>
      <c r="CL850" s="652"/>
      <c r="CM850" s="652"/>
      <c r="CN850" s="652"/>
      <c r="CO850" s="652"/>
      <c r="CP850" s="652"/>
      <c r="CQ850" s="652"/>
      <c r="CR850" s="652"/>
      <c r="CS850" s="652"/>
      <c r="CT850" s="652"/>
      <c r="CU850" s="652"/>
      <c r="CV850" s="652"/>
      <c r="CW850" s="652"/>
      <c r="CX850" s="652"/>
      <c r="CY850" s="652"/>
      <c r="CZ850" s="652"/>
      <c r="DA850" s="652"/>
      <c r="DB850" s="652"/>
      <c r="DC850" s="652"/>
      <c r="DD850" s="652"/>
      <c r="DE850" s="652"/>
      <c r="DF850" s="652"/>
      <c r="DG850"/>
      <c r="DH850"/>
      <c r="DI850"/>
      <c r="DJ850"/>
      <c r="DK850"/>
      <c r="DL850"/>
      <c r="DM850"/>
      <c r="DN850"/>
      <c r="DO850"/>
      <c r="DP850"/>
      <c r="DQ850"/>
      <c r="DR850"/>
      <c r="DS850"/>
      <c r="DT850"/>
      <c r="DU850"/>
      <c r="DV850"/>
      <c r="DW850"/>
      <c r="DX850"/>
      <c r="DY850"/>
      <c r="DZ850"/>
      <c r="EA850"/>
      <c r="EB850"/>
      <c r="EC850"/>
      <c r="ED850"/>
      <c r="EE850"/>
      <c r="EF850"/>
      <c r="EG850"/>
      <c r="EH850"/>
      <c r="EI850"/>
      <c r="EJ850"/>
      <c r="EK850"/>
      <c r="EL850"/>
      <c r="EM850"/>
      <c r="EN850"/>
      <c r="EO850"/>
      <c r="EP850"/>
      <c r="EQ850"/>
      <c r="ER850"/>
      <c r="ES850"/>
      <c r="ET850"/>
      <c r="EU850"/>
      <c r="EV850"/>
      <c r="EW850"/>
      <c r="EX850"/>
      <c r="EY850"/>
      <c r="EZ850"/>
      <c r="FA850"/>
      <c r="FB850"/>
      <c r="FC850"/>
      <c r="FD850"/>
      <c r="FE850"/>
      <c r="FF850"/>
      <c r="FG850"/>
      <c r="FH850"/>
      <c r="FI850"/>
      <c r="FJ850"/>
      <c r="FK850"/>
      <c r="FL850"/>
      <c r="FM850"/>
      <c r="FN850"/>
      <c r="FO850"/>
      <c r="FP850"/>
      <c r="FQ850"/>
      <c r="FR850"/>
      <c r="FS850"/>
      <c r="FT850"/>
      <c r="FU850"/>
      <c r="FV850"/>
      <c r="FW850"/>
      <c r="FX850"/>
      <c r="FY850"/>
      <c r="FZ850"/>
      <c r="GA850"/>
      <c r="GB850"/>
      <c r="GC850"/>
      <c r="GD850"/>
      <c r="GE850"/>
      <c r="GF850"/>
      <c r="GG850"/>
      <c r="GH850"/>
      <c r="GI850"/>
      <c r="GJ850"/>
      <c r="GK850"/>
      <c r="GL850"/>
      <c r="GM850"/>
      <c r="GN850"/>
      <c r="GO850"/>
      <c r="GP850"/>
      <c r="GQ850"/>
      <c r="GR850"/>
      <c r="GS850"/>
      <c r="GT850"/>
      <c r="GU850"/>
      <c r="GV850"/>
      <c r="GW850"/>
      <c r="GX850"/>
      <c r="GY850"/>
      <c r="GZ850"/>
      <c r="HA850"/>
      <c r="HB850"/>
      <c r="HC850"/>
      <c r="HD850"/>
      <c r="HE850"/>
      <c r="HF850"/>
      <c r="HG850"/>
      <c r="HH850"/>
      <c r="HI850"/>
      <c r="HJ850"/>
      <c r="HK850"/>
      <c r="HL850"/>
      <c r="HM850"/>
      <c r="HN850"/>
      <c r="HO850"/>
      <c r="HP850"/>
      <c r="HQ850"/>
      <c r="HR850"/>
      <c r="HS850"/>
      <c r="HT850"/>
      <c r="HU850"/>
      <c r="HV850"/>
      <c r="HW850"/>
      <c r="HX850"/>
      <c r="HY850"/>
      <c r="HZ850"/>
      <c r="IA850"/>
      <c r="IB850"/>
      <c r="IC850"/>
      <c r="ID850"/>
      <c r="IE850"/>
      <c r="IF850"/>
      <c r="IG850"/>
      <c r="IH850"/>
      <c r="II850"/>
      <c r="IJ850"/>
      <c r="IK850"/>
      <c r="IL850"/>
      <c r="IM850"/>
      <c r="IN850"/>
      <c r="IO850"/>
      <c r="IP850"/>
      <c r="IQ850"/>
      <c r="IR850"/>
      <c r="IS850"/>
      <c r="IT850"/>
      <c r="IU850"/>
      <c r="IV850"/>
    </row>
    <row r="851" spans="1:256" ht="12.75" hidden="1" customHeight="1" x14ac:dyDescent="0.2">
      <c r="A851" s="551"/>
      <c r="B851" s="639" t="s">
        <v>948</v>
      </c>
      <c r="C851" s="558">
        <v>500000</v>
      </c>
      <c r="D851" s="562">
        <v>500000</v>
      </c>
      <c r="E851" s="642">
        <v>380000</v>
      </c>
      <c r="F851" s="611">
        <v>0</v>
      </c>
      <c r="G851" s="569">
        <v>500000</v>
      </c>
      <c r="H851" s="652"/>
      <c r="I851" s="652"/>
      <c r="J851" s="652"/>
      <c r="K851" s="652"/>
      <c r="L851" s="652"/>
      <c r="M851" s="652"/>
      <c r="N851" s="652"/>
      <c r="O851" s="652"/>
      <c r="P851" s="652"/>
      <c r="Q851" s="652"/>
      <c r="R851" s="652"/>
      <c r="S851" s="652"/>
      <c r="T851" s="652"/>
      <c r="U851" s="652"/>
      <c r="V851" s="652"/>
      <c r="W851" s="652"/>
      <c r="X851" s="652"/>
      <c r="Y851" s="652"/>
      <c r="Z851" s="652"/>
      <c r="AA851" s="652"/>
      <c r="AB851" s="652"/>
      <c r="AC851" s="652"/>
      <c r="AD851" s="652"/>
      <c r="AE851" s="652"/>
      <c r="AF851" s="652"/>
      <c r="AG851" s="652"/>
      <c r="AH851" s="652"/>
      <c r="AI851" s="652"/>
      <c r="AJ851" s="652"/>
      <c r="AK851" s="652"/>
      <c r="AL851" s="652"/>
      <c r="AM851" s="652"/>
      <c r="AN851" s="652"/>
      <c r="AO851" s="652"/>
      <c r="AP851" s="652"/>
      <c r="AQ851" s="652"/>
      <c r="AR851" s="652"/>
      <c r="AS851" s="652"/>
      <c r="AT851" s="652"/>
      <c r="AU851" s="652"/>
      <c r="AV851" s="652"/>
      <c r="AW851" s="652"/>
      <c r="AX851" s="652"/>
      <c r="AY851" s="652"/>
      <c r="AZ851" s="652"/>
      <c r="BA851" s="652"/>
      <c r="BB851" s="652"/>
      <c r="BC851" s="652"/>
      <c r="BD851" s="652"/>
      <c r="BE851" s="652"/>
      <c r="BF851" s="652"/>
      <c r="BG851" s="652"/>
      <c r="BH851" s="652"/>
      <c r="BI851" s="652"/>
      <c r="BJ851" s="652"/>
      <c r="BK851" s="652"/>
      <c r="BL851" s="652"/>
      <c r="BM851" s="652"/>
      <c r="BN851" s="652"/>
      <c r="BO851" s="652"/>
      <c r="BP851" s="652"/>
      <c r="BQ851" s="652"/>
      <c r="BR851" s="652"/>
      <c r="BS851" s="652"/>
      <c r="BT851" s="652"/>
      <c r="BU851" s="652"/>
      <c r="BV851" s="652"/>
      <c r="BW851" s="652"/>
      <c r="BX851" s="652"/>
      <c r="BY851" s="652"/>
      <c r="BZ851" s="652"/>
      <c r="CA851" s="652"/>
      <c r="CB851" s="652"/>
      <c r="CC851" s="652"/>
      <c r="CD851" s="652"/>
      <c r="CE851" s="652"/>
      <c r="CF851" s="652"/>
      <c r="CG851" s="652"/>
      <c r="CH851" s="652"/>
      <c r="CI851" s="652"/>
      <c r="CJ851" s="652"/>
      <c r="CK851" s="652"/>
      <c r="CL851" s="652"/>
      <c r="CM851" s="652"/>
      <c r="CN851" s="652"/>
      <c r="CO851" s="652"/>
      <c r="CP851" s="652"/>
      <c r="CQ851" s="652"/>
      <c r="CR851" s="652"/>
      <c r="CS851" s="652"/>
      <c r="CT851" s="652"/>
      <c r="CU851" s="652"/>
      <c r="CV851" s="652"/>
      <c r="CW851" s="652"/>
      <c r="CX851" s="652"/>
      <c r="CY851" s="652"/>
      <c r="CZ851" s="652"/>
      <c r="DA851" s="652"/>
      <c r="DB851" s="652"/>
      <c r="DC851" s="652"/>
      <c r="DD851" s="652"/>
      <c r="DE851" s="652"/>
      <c r="DF851" s="652"/>
      <c r="DG851"/>
      <c r="DH851"/>
      <c r="DI851"/>
      <c r="DJ851"/>
      <c r="DK851"/>
      <c r="DL851"/>
      <c r="DM851"/>
      <c r="DN851"/>
      <c r="DO851"/>
      <c r="DP851"/>
      <c r="DQ851"/>
      <c r="DR851"/>
      <c r="DS851"/>
      <c r="DT851"/>
      <c r="DU851"/>
      <c r="DV851"/>
      <c r="DW851"/>
      <c r="DX851"/>
      <c r="DY851"/>
      <c r="DZ851"/>
      <c r="EA851"/>
      <c r="EB851"/>
      <c r="EC851"/>
      <c r="ED851"/>
      <c r="EE851"/>
      <c r="EF851"/>
      <c r="EG851"/>
      <c r="EH851"/>
      <c r="EI851"/>
      <c r="EJ851"/>
      <c r="EK851"/>
      <c r="EL851"/>
      <c r="EM851"/>
      <c r="EN851"/>
      <c r="EO851"/>
      <c r="EP851"/>
      <c r="EQ851"/>
      <c r="ER851"/>
      <c r="ES851"/>
      <c r="ET851"/>
      <c r="EU851"/>
      <c r="EV851"/>
      <c r="EW851"/>
      <c r="EX851"/>
      <c r="EY851"/>
      <c r="EZ851"/>
      <c r="FA851"/>
      <c r="FB851"/>
      <c r="FC851"/>
      <c r="FD851"/>
      <c r="FE851"/>
      <c r="FF851"/>
      <c r="FG851"/>
      <c r="FH851"/>
      <c r="FI851"/>
      <c r="FJ851"/>
      <c r="FK851"/>
      <c r="FL851"/>
      <c r="FM851"/>
      <c r="FN851"/>
      <c r="FO851"/>
      <c r="FP851"/>
      <c r="FQ851"/>
      <c r="FR851"/>
      <c r="FS851"/>
      <c r="FT851"/>
      <c r="FU851"/>
      <c r="FV851"/>
      <c r="FW851"/>
      <c r="FX851"/>
      <c r="FY851"/>
      <c r="FZ851"/>
      <c r="GA851"/>
      <c r="GB851"/>
      <c r="GC851"/>
      <c r="GD851"/>
      <c r="GE851"/>
      <c r="GF851"/>
      <c r="GG851"/>
      <c r="GH851"/>
      <c r="GI851"/>
      <c r="GJ851"/>
      <c r="GK851"/>
      <c r="GL851"/>
      <c r="GM851"/>
      <c r="GN851"/>
      <c r="GO851"/>
      <c r="GP851"/>
      <c r="GQ851"/>
      <c r="GR851"/>
      <c r="GS851"/>
      <c r="GT851"/>
      <c r="GU851"/>
      <c r="GV851"/>
      <c r="GW851"/>
      <c r="GX851"/>
      <c r="GY851"/>
      <c r="GZ851"/>
      <c r="HA851"/>
      <c r="HB851"/>
      <c r="HC851"/>
      <c r="HD851"/>
      <c r="HE851"/>
      <c r="HF851"/>
      <c r="HG851"/>
      <c r="HH851"/>
      <c r="HI851"/>
      <c r="HJ851"/>
      <c r="HK851"/>
      <c r="HL851"/>
      <c r="HM851"/>
      <c r="HN851"/>
      <c r="HO851"/>
      <c r="HP851"/>
      <c r="HQ851"/>
      <c r="HR851"/>
      <c r="HS851"/>
      <c r="HT851"/>
      <c r="HU851"/>
      <c r="HV851"/>
      <c r="HW851"/>
      <c r="HX851"/>
      <c r="HY851"/>
      <c r="HZ851"/>
      <c r="IA851"/>
      <c r="IB851"/>
      <c r="IC851"/>
      <c r="ID851"/>
      <c r="IE851"/>
      <c r="IF851"/>
      <c r="IG851"/>
      <c r="IH851"/>
      <c r="II851"/>
      <c r="IJ851"/>
      <c r="IK851"/>
      <c r="IL851"/>
      <c r="IM851"/>
      <c r="IN851"/>
      <c r="IO851"/>
      <c r="IP851"/>
      <c r="IQ851"/>
      <c r="IR851"/>
      <c r="IS851"/>
      <c r="IT851"/>
      <c r="IU851"/>
      <c r="IV851"/>
    </row>
    <row r="852" spans="1:256" s="653" customFormat="1" ht="12.75" hidden="1" customHeight="1" x14ac:dyDescent="0.2">
      <c r="A852" s="551"/>
      <c r="B852" s="557" t="s">
        <v>949</v>
      </c>
      <c r="C852" s="558">
        <v>500000</v>
      </c>
      <c r="D852" s="562">
        <v>500000</v>
      </c>
      <c r="E852" s="643">
        <v>200000</v>
      </c>
      <c r="F852" s="611">
        <v>131442.38</v>
      </c>
      <c r="G852" s="622">
        <v>600000</v>
      </c>
      <c r="H852" s="652"/>
      <c r="I852" s="652"/>
      <c r="J852" s="652"/>
      <c r="K852" s="652"/>
      <c r="L852" s="652"/>
      <c r="M852" s="652"/>
      <c r="N852" s="652"/>
      <c r="O852" s="652"/>
      <c r="P852" s="652"/>
      <c r="Q852" s="652"/>
      <c r="R852" s="652"/>
      <c r="S852" s="652"/>
      <c r="T852" s="652"/>
      <c r="U852" s="652"/>
      <c r="V852" s="652"/>
      <c r="W852" s="652"/>
      <c r="X852" s="652"/>
      <c r="Y852" s="652"/>
      <c r="Z852" s="652"/>
      <c r="AA852" s="652"/>
      <c r="AB852" s="652"/>
      <c r="AC852" s="652"/>
      <c r="AD852" s="652"/>
      <c r="AE852" s="652"/>
      <c r="AF852" s="652"/>
      <c r="AG852" s="652"/>
      <c r="AH852" s="652"/>
      <c r="AI852" s="652"/>
      <c r="AJ852" s="652"/>
      <c r="AK852" s="652"/>
      <c r="AL852" s="652"/>
      <c r="AM852" s="652"/>
      <c r="AN852" s="652"/>
      <c r="AO852" s="652"/>
      <c r="AP852" s="652"/>
      <c r="AQ852" s="652"/>
      <c r="AR852" s="652"/>
      <c r="AS852" s="652"/>
      <c r="AT852" s="652"/>
      <c r="AU852" s="652"/>
      <c r="AV852" s="652"/>
      <c r="AW852" s="652"/>
      <c r="AX852" s="652"/>
      <c r="AY852" s="652"/>
      <c r="AZ852" s="652"/>
      <c r="BA852" s="652"/>
      <c r="BB852" s="652"/>
      <c r="BC852" s="652"/>
      <c r="BD852" s="652"/>
      <c r="BE852" s="652"/>
      <c r="BF852" s="652"/>
      <c r="BG852" s="652"/>
      <c r="BH852" s="652"/>
      <c r="BI852" s="652"/>
      <c r="BJ852" s="652"/>
      <c r="BK852" s="652"/>
      <c r="BL852" s="652"/>
      <c r="BM852" s="652"/>
      <c r="BN852" s="652"/>
      <c r="BO852" s="652"/>
      <c r="BP852" s="652"/>
      <c r="BQ852" s="652"/>
      <c r="BR852" s="652"/>
      <c r="BS852" s="652"/>
      <c r="BT852" s="652"/>
      <c r="BU852" s="652"/>
      <c r="BV852" s="652"/>
      <c r="BW852" s="652"/>
      <c r="BX852" s="652"/>
      <c r="BY852" s="652"/>
      <c r="BZ852" s="652"/>
      <c r="CA852" s="652"/>
      <c r="CB852" s="652"/>
      <c r="CC852" s="652"/>
      <c r="CD852" s="652"/>
      <c r="CE852" s="652"/>
      <c r="CF852" s="652"/>
      <c r="CG852" s="652"/>
      <c r="CH852" s="652"/>
      <c r="CI852" s="652"/>
      <c r="CJ852" s="652"/>
      <c r="CK852" s="652"/>
      <c r="CL852" s="652"/>
      <c r="CM852" s="652"/>
      <c r="CN852" s="652"/>
      <c r="CO852" s="652"/>
      <c r="CP852" s="652"/>
      <c r="CQ852" s="652"/>
      <c r="CR852" s="652"/>
      <c r="CS852" s="652"/>
      <c r="CT852" s="652"/>
      <c r="CU852" s="652"/>
      <c r="CV852" s="652"/>
      <c r="CW852" s="652"/>
      <c r="CX852" s="652"/>
      <c r="CY852" s="652"/>
      <c r="CZ852" s="652"/>
      <c r="DA852" s="652"/>
      <c r="DB852" s="652"/>
      <c r="DC852" s="652"/>
      <c r="DD852" s="652"/>
      <c r="DE852" s="652"/>
      <c r="DF852" s="652"/>
    </row>
    <row r="853" spans="1:256" ht="12.75" hidden="1" customHeight="1" x14ac:dyDescent="0.2">
      <c r="A853" s="551"/>
      <c r="B853" s="639" t="s">
        <v>950</v>
      </c>
      <c r="C853" s="560">
        <v>0</v>
      </c>
      <c r="D853" s="562">
        <v>0</v>
      </c>
      <c r="E853" s="579">
        <v>0</v>
      </c>
      <c r="F853" s="611"/>
      <c r="G853" s="560">
        <v>1000000</v>
      </c>
      <c r="H853" s="652"/>
      <c r="I853" s="652"/>
      <c r="J853" s="652"/>
      <c r="K853" s="652"/>
      <c r="L853" s="652"/>
      <c r="M853" s="652"/>
      <c r="N853" s="652"/>
      <c r="O853" s="652"/>
      <c r="P853" s="652"/>
      <c r="Q853" s="652"/>
      <c r="R853" s="652"/>
      <c r="S853" s="652"/>
      <c r="T853" s="652"/>
      <c r="U853" s="652"/>
      <c r="V853" s="652"/>
      <c r="W853" s="652"/>
      <c r="X853" s="652"/>
      <c r="Y853" s="652"/>
      <c r="Z853" s="652"/>
      <c r="AA853" s="652"/>
      <c r="AB853" s="652"/>
      <c r="AC853" s="652"/>
      <c r="AD853" s="652"/>
      <c r="AE853" s="652"/>
      <c r="AF853" s="652"/>
      <c r="AG853" s="652"/>
      <c r="AH853" s="652"/>
      <c r="AI853" s="652"/>
      <c r="AJ853" s="652"/>
      <c r="AK853" s="652"/>
      <c r="AL853" s="652"/>
      <c r="AM853" s="652"/>
      <c r="AN853" s="652"/>
      <c r="AO853" s="652"/>
      <c r="AP853" s="652"/>
      <c r="AQ853" s="652"/>
      <c r="AR853" s="652"/>
      <c r="AS853" s="652"/>
      <c r="AT853" s="652"/>
      <c r="AU853" s="652"/>
      <c r="AV853" s="652"/>
      <c r="AW853" s="652"/>
      <c r="AX853" s="652"/>
      <c r="AY853" s="652"/>
      <c r="AZ853" s="652"/>
      <c r="BA853" s="652"/>
      <c r="BB853" s="652"/>
      <c r="BC853" s="652"/>
      <c r="BD853" s="652"/>
      <c r="BE853" s="652"/>
      <c r="BF853" s="652"/>
      <c r="BG853" s="652"/>
      <c r="BH853" s="652"/>
      <c r="BI853" s="652"/>
      <c r="BJ853" s="652"/>
      <c r="BK853" s="652"/>
      <c r="BL853" s="652"/>
      <c r="BM853" s="652"/>
      <c r="BN853" s="652"/>
      <c r="BO853" s="652"/>
      <c r="BP853" s="652"/>
      <c r="BQ853" s="652"/>
      <c r="BR853" s="652"/>
      <c r="BS853" s="652"/>
      <c r="BT853" s="652"/>
      <c r="BU853" s="652"/>
      <c r="BV853" s="652"/>
      <c r="BW853" s="652"/>
      <c r="BX853" s="652"/>
      <c r="BY853" s="652"/>
      <c r="BZ853" s="652"/>
      <c r="CA853" s="652"/>
      <c r="CB853" s="652"/>
      <c r="CC853" s="652"/>
      <c r="CD853" s="652"/>
      <c r="CE853" s="652"/>
      <c r="CF853" s="652"/>
      <c r="CG853" s="652"/>
      <c r="CH853" s="652"/>
      <c r="CI853" s="652"/>
      <c r="CJ853" s="652"/>
      <c r="CK853" s="652"/>
      <c r="CL853" s="652"/>
      <c r="CM853" s="652"/>
      <c r="CN853" s="652"/>
      <c r="CO853" s="652"/>
      <c r="CP853" s="652"/>
      <c r="CQ853" s="652"/>
      <c r="CR853" s="652"/>
      <c r="CS853" s="652"/>
      <c r="CT853" s="652"/>
      <c r="CU853" s="652"/>
      <c r="CV853" s="652"/>
      <c r="CW853" s="652"/>
      <c r="CX853" s="652"/>
      <c r="CY853" s="652"/>
      <c r="CZ853" s="652"/>
      <c r="DA853" s="652"/>
      <c r="DB853" s="652"/>
      <c r="DC853" s="652"/>
      <c r="DD853" s="652"/>
      <c r="DE853" s="652"/>
      <c r="DF853" s="652"/>
      <c r="DG853"/>
      <c r="DH853"/>
      <c r="DI853"/>
      <c r="DJ853"/>
      <c r="DK853"/>
      <c r="DL853"/>
      <c r="DM853"/>
      <c r="DN853"/>
      <c r="DO853"/>
      <c r="DP853"/>
      <c r="DQ853"/>
      <c r="DR853"/>
      <c r="DS853"/>
      <c r="DT853"/>
      <c r="DU853"/>
      <c r="DV853"/>
      <c r="DW853"/>
      <c r="DX853"/>
      <c r="DY853"/>
      <c r="DZ853"/>
      <c r="EA853"/>
      <c r="EB853"/>
      <c r="EC853"/>
      <c r="ED853"/>
      <c r="EE853"/>
      <c r="EF853"/>
      <c r="EG853"/>
      <c r="EH853"/>
      <c r="EI853"/>
      <c r="EJ853"/>
      <c r="EK853"/>
      <c r="EL853"/>
      <c r="EM853"/>
      <c r="EN853"/>
      <c r="EO853"/>
      <c r="EP853"/>
      <c r="EQ853"/>
      <c r="ER853"/>
      <c r="ES853"/>
      <c r="ET853"/>
      <c r="EU853"/>
      <c r="EV853"/>
      <c r="EW853"/>
      <c r="EX853"/>
      <c r="EY853"/>
      <c r="EZ853"/>
      <c r="FA853"/>
      <c r="FB853"/>
      <c r="FC853"/>
      <c r="FD853"/>
      <c r="FE853"/>
      <c r="FF853"/>
      <c r="FG853"/>
      <c r="FH853"/>
      <c r="FI853"/>
      <c r="FJ853"/>
      <c r="FK853"/>
      <c r="FL853"/>
      <c r="FM853"/>
      <c r="FN853"/>
      <c r="FO853"/>
      <c r="FP853"/>
      <c r="FQ853"/>
      <c r="FR853"/>
      <c r="FS853"/>
      <c r="FT853"/>
      <c r="FU853"/>
      <c r="FV853"/>
      <c r="FW853"/>
      <c r="FX853"/>
      <c r="FY853"/>
      <c r="FZ853"/>
      <c r="GA853"/>
      <c r="GB853"/>
      <c r="GC853"/>
      <c r="GD853"/>
      <c r="GE853"/>
      <c r="GF853"/>
      <c r="GG853"/>
      <c r="GH853"/>
      <c r="GI853"/>
      <c r="GJ853"/>
      <c r="GK853"/>
      <c r="GL853"/>
      <c r="GM853"/>
      <c r="GN853"/>
      <c r="GO853"/>
      <c r="GP853"/>
      <c r="GQ853"/>
      <c r="GR853"/>
      <c r="GS853"/>
      <c r="GT853"/>
      <c r="GU853"/>
      <c r="GV853"/>
      <c r="GW853"/>
      <c r="GX853"/>
      <c r="GY853"/>
      <c r="GZ853"/>
      <c r="HA853"/>
      <c r="HB853"/>
      <c r="HC853"/>
      <c r="HD853"/>
      <c r="HE853"/>
      <c r="HF853"/>
      <c r="HG853"/>
      <c r="HH853"/>
      <c r="HI853"/>
      <c r="HJ853"/>
      <c r="HK853"/>
      <c r="HL853"/>
      <c r="HM853"/>
      <c r="HN853"/>
      <c r="HO853"/>
      <c r="HP853"/>
      <c r="HQ853"/>
      <c r="HR853"/>
      <c r="HS853"/>
      <c r="HT853"/>
      <c r="HU853"/>
      <c r="HV853"/>
      <c r="HW853"/>
      <c r="HX853"/>
      <c r="HY853"/>
      <c r="HZ853"/>
      <c r="IA853"/>
      <c r="IB853"/>
      <c r="IC853"/>
      <c r="ID853"/>
      <c r="IE853"/>
      <c r="IF853"/>
      <c r="IG853"/>
      <c r="IH853"/>
      <c r="II853"/>
      <c r="IJ853"/>
      <c r="IK853"/>
      <c r="IL853"/>
      <c r="IM853"/>
      <c r="IN853"/>
      <c r="IO853"/>
      <c r="IP853"/>
      <c r="IQ853"/>
      <c r="IR853"/>
      <c r="IS853"/>
      <c r="IT853"/>
      <c r="IU853"/>
      <c r="IV853"/>
    </row>
    <row r="854" spans="1:256" ht="12.75" hidden="1" customHeight="1" x14ac:dyDescent="0.2">
      <c r="A854" s="583"/>
      <c r="B854" s="557" t="s">
        <v>951</v>
      </c>
      <c r="C854" s="560">
        <f>SUM(C855:C862)</f>
        <v>28534000</v>
      </c>
      <c r="D854" s="562">
        <f>SUM(D855:D862)</f>
        <v>21094783</v>
      </c>
      <c r="E854" s="562">
        <f>SUM(E855:E862)</f>
        <v>20555963.350000001</v>
      </c>
      <c r="F854" s="611">
        <f>SUM(F855:F862)</f>
        <v>9573359.3100000005</v>
      </c>
      <c r="G854" s="560">
        <f>SUM(G855:G871)</f>
        <v>26250000</v>
      </c>
      <c r="H854" s="652"/>
      <c r="I854" s="652"/>
      <c r="J854" s="652"/>
      <c r="K854" s="652"/>
      <c r="L854" s="652"/>
      <c r="M854" s="652"/>
      <c r="N854" s="652"/>
      <c r="O854" s="652"/>
      <c r="P854" s="652"/>
      <c r="Q854" s="652"/>
      <c r="R854" s="652"/>
      <c r="S854" s="652"/>
      <c r="T854" s="652"/>
      <c r="U854" s="652"/>
      <c r="V854" s="652"/>
      <c r="W854" s="652"/>
      <c r="X854" s="652"/>
      <c r="Y854" s="652"/>
      <c r="Z854" s="652"/>
      <c r="AA854" s="652"/>
      <c r="AB854" s="652"/>
      <c r="AC854" s="652"/>
      <c r="AD854" s="652"/>
      <c r="AE854" s="652"/>
      <c r="AF854" s="652"/>
      <c r="AG854" s="652"/>
      <c r="AH854" s="652"/>
      <c r="AI854" s="652"/>
      <c r="AJ854" s="652"/>
      <c r="AK854" s="652"/>
      <c r="AL854" s="652"/>
      <c r="AM854" s="652"/>
      <c r="AN854" s="652"/>
      <c r="AO854" s="652"/>
      <c r="AP854" s="652"/>
      <c r="AQ854" s="652"/>
      <c r="AR854" s="652"/>
      <c r="AS854" s="652"/>
      <c r="AT854" s="652"/>
      <c r="AU854" s="652"/>
      <c r="AV854" s="652"/>
      <c r="AW854" s="652"/>
      <c r="AX854" s="652"/>
      <c r="AY854" s="652"/>
      <c r="AZ854" s="652"/>
      <c r="BA854" s="652"/>
      <c r="BB854" s="652"/>
      <c r="BC854" s="652"/>
      <c r="BD854" s="652"/>
      <c r="BE854" s="652"/>
      <c r="BF854" s="652"/>
      <c r="BG854" s="652"/>
      <c r="BH854" s="652"/>
      <c r="BI854" s="652"/>
      <c r="BJ854" s="652"/>
      <c r="BK854" s="652"/>
      <c r="BL854" s="652"/>
      <c r="BM854" s="652"/>
      <c r="BN854" s="652"/>
      <c r="BO854" s="652"/>
      <c r="BP854" s="652"/>
      <c r="BQ854" s="652"/>
      <c r="BR854" s="652"/>
      <c r="BS854" s="652"/>
      <c r="BT854" s="652"/>
      <c r="BU854" s="652"/>
      <c r="BV854" s="652"/>
      <c r="BW854" s="652"/>
      <c r="BX854" s="652"/>
      <c r="BY854" s="652"/>
      <c r="BZ854" s="652"/>
      <c r="CA854" s="652"/>
      <c r="CB854" s="652"/>
      <c r="CC854" s="652"/>
      <c r="CD854" s="652"/>
      <c r="CE854" s="652"/>
      <c r="CF854" s="652"/>
      <c r="CG854" s="652"/>
      <c r="CH854" s="652"/>
      <c r="CI854" s="652"/>
      <c r="CJ854" s="652"/>
      <c r="CK854" s="652"/>
      <c r="CL854" s="652"/>
      <c r="CM854" s="652"/>
      <c r="CN854" s="652"/>
      <c r="CO854" s="652"/>
      <c r="CP854" s="652"/>
      <c r="CQ854" s="652"/>
      <c r="CR854" s="652"/>
      <c r="CS854" s="652"/>
      <c r="CT854" s="652"/>
      <c r="CU854" s="652"/>
      <c r="CV854" s="652"/>
      <c r="CW854" s="652"/>
      <c r="CX854" s="652"/>
      <c r="CY854" s="652"/>
      <c r="CZ854" s="652"/>
      <c r="DA854" s="652"/>
      <c r="DB854" s="652"/>
      <c r="DC854" s="652"/>
      <c r="DD854" s="652"/>
      <c r="DE854" s="652"/>
      <c r="DF854" s="652"/>
      <c r="DG854"/>
      <c r="DH854"/>
      <c r="DI854"/>
      <c r="DJ854"/>
      <c r="DK854"/>
      <c r="DL854"/>
      <c r="DM854"/>
      <c r="DN854"/>
      <c r="DO854"/>
      <c r="DP854"/>
      <c r="DQ854"/>
      <c r="DR854"/>
      <c r="DS854"/>
      <c r="DT854"/>
      <c r="DU854"/>
      <c r="DV854"/>
      <c r="DW854"/>
      <c r="DX854"/>
      <c r="DY854"/>
      <c r="DZ854"/>
      <c r="EA854"/>
      <c r="EB854"/>
      <c r="EC854"/>
      <c r="ED854"/>
      <c r="EE854"/>
      <c r="EF854"/>
      <c r="EG854"/>
      <c r="EH854"/>
      <c r="EI854"/>
      <c r="EJ854"/>
      <c r="EK854"/>
      <c r="EL854"/>
      <c r="EM854"/>
      <c r="EN854"/>
      <c r="EO854"/>
      <c r="EP854"/>
      <c r="EQ854"/>
      <c r="ER854"/>
      <c r="ES854"/>
      <c r="ET854"/>
      <c r="EU854"/>
      <c r="EV854"/>
      <c r="EW854"/>
      <c r="EX854"/>
      <c r="EY854"/>
      <c r="EZ854"/>
      <c r="FA854"/>
      <c r="FB854"/>
      <c r="FC854"/>
      <c r="FD854"/>
      <c r="FE854"/>
      <c r="FF854"/>
      <c r="FG854"/>
      <c r="FH854"/>
      <c r="FI854"/>
      <c r="FJ854"/>
      <c r="FK854"/>
      <c r="FL854"/>
      <c r="FM854"/>
      <c r="FN854"/>
      <c r="FO854"/>
      <c r="FP854"/>
      <c r="FQ854"/>
      <c r="FR854"/>
      <c r="FS854"/>
      <c r="FT854"/>
      <c r="FU854"/>
      <c r="FV854"/>
      <c r="FW854"/>
      <c r="FX854"/>
      <c r="FY854"/>
      <c r="FZ854"/>
      <c r="GA854"/>
      <c r="GB854"/>
      <c r="GC854"/>
      <c r="GD854"/>
      <c r="GE854"/>
      <c r="GF854"/>
      <c r="GG854"/>
      <c r="GH854"/>
      <c r="GI854"/>
      <c r="GJ854"/>
      <c r="GK854"/>
      <c r="GL854"/>
      <c r="GM854"/>
      <c r="GN854"/>
      <c r="GO854"/>
      <c r="GP854"/>
      <c r="GQ854"/>
      <c r="GR854"/>
      <c r="GS854"/>
      <c r="GT854"/>
      <c r="GU854"/>
      <c r="GV854"/>
      <c r="GW854"/>
      <c r="GX854"/>
      <c r="GY854"/>
      <c r="GZ854"/>
      <c r="HA854"/>
      <c r="HB854"/>
      <c r="HC854"/>
      <c r="HD854"/>
      <c r="HE854"/>
      <c r="HF854"/>
      <c r="HG854"/>
      <c r="HH854"/>
      <c r="HI854"/>
      <c r="HJ854"/>
      <c r="HK854"/>
      <c r="HL854"/>
      <c r="HM854"/>
      <c r="HN854"/>
      <c r="HO854"/>
      <c r="HP854"/>
      <c r="HQ854"/>
      <c r="HR854"/>
      <c r="HS854"/>
      <c r="HT854"/>
      <c r="HU854"/>
      <c r="HV854"/>
      <c r="HW854"/>
      <c r="HX854"/>
      <c r="HY854"/>
      <c r="HZ854"/>
      <c r="IA854"/>
      <c r="IB854"/>
      <c r="IC854"/>
      <c r="ID854"/>
      <c r="IE854"/>
      <c r="IF854"/>
      <c r="IG854"/>
      <c r="IH854"/>
      <c r="II854"/>
      <c r="IJ854"/>
      <c r="IK854"/>
      <c r="IL854"/>
      <c r="IM854"/>
      <c r="IN854"/>
      <c r="IO854"/>
      <c r="IP854"/>
      <c r="IQ854"/>
      <c r="IR854"/>
      <c r="IS854"/>
      <c r="IT854"/>
      <c r="IU854"/>
      <c r="IV854"/>
    </row>
    <row r="855" spans="1:256" ht="12.75" hidden="1" customHeight="1" x14ac:dyDescent="0.2">
      <c r="A855" s="583"/>
      <c r="B855" s="639" t="s">
        <v>952</v>
      </c>
      <c r="C855" s="560">
        <v>700000</v>
      </c>
      <c r="D855" s="562">
        <v>700000</v>
      </c>
      <c r="E855" s="579">
        <v>600000</v>
      </c>
      <c r="F855" s="580">
        <v>0</v>
      </c>
      <c r="G855" s="127">
        <v>0</v>
      </c>
      <c r="H855"/>
      <c r="I855"/>
      <c r="J855"/>
      <c r="K855"/>
      <c r="L855"/>
      <c r="M855"/>
      <c r="N855"/>
      <c r="O855"/>
      <c r="P855"/>
      <c r="Q855"/>
      <c r="R855"/>
      <c r="S855"/>
      <c r="T855"/>
      <c r="U855"/>
      <c r="V855"/>
      <c r="W855"/>
      <c r="X855"/>
      <c r="Y855"/>
      <c r="Z855"/>
      <c r="AA855"/>
      <c r="AB855"/>
      <c r="AC855"/>
      <c r="AD855"/>
      <c r="AE855"/>
      <c r="AF855"/>
      <c r="AG855"/>
      <c r="AH855"/>
      <c r="AI855"/>
      <c r="AJ855"/>
      <c r="AK855"/>
      <c r="AL855"/>
      <c r="AM855"/>
      <c r="AN855"/>
      <c r="AO855"/>
      <c r="AP855"/>
      <c r="AQ855"/>
      <c r="AR855"/>
      <c r="AS855"/>
      <c r="AT855"/>
      <c r="AU855"/>
      <c r="AV855"/>
      <c r="AW855"/>
      <c r="AX855"/>
      <c r="AY855"/>
      <c r="AZ855"/>
      <c r="BA855"/>
      <c r="BB855"/>
      <c r="BC855"/>
      <c r="BD855"/>
      <c r="BE855"/>
      <c r="BF855"/>
      <c r="BG855"/>
      <c r="BH855"/>
      <c r="BI855"/>
      <c r="BJ855"/>
      <c r="BK855"/>
      <c r="BL855"/>
      <c r="BM855"/>
      <c r="BN855"/>
      <c r="BO855"/>
      <c r="BP855"/>
      <c r="BQ855"/>
      <c r="BR855"/>
      <c r="BS855"/>
      <c r="BT855"/>
      <c r="BU855"/>
      <c r="BV855"/>
      <c r="BW855"/>
      <c r="BX855"/>
      <c r="BY855"/>
      <c r="BZ855"/>
      <c r="CA855"/>
      <c r="CB855"/>
      <c r="CC855"/>
      <c r="CD855"/>
      <c r="CE855"/>
      <c r="CF855"/>
      <c r="CG855"/>
      <c r="CH855"/>
      <c r="CI855"/>
      <c r="CJ855"/>
      <c r="CK855"/>
      <c r="CL855"/>
      <c r="CM855"/>
      <c r="CN855"/>
      <c r="CO855"/>
      <c r="CP855"/>
      <c r="CQ855"/>
      <c r="CR855"/>
      <c r="CS855"/>
      <c r="CT855"/>
      <c r="CU855"/>
      <c r="CV855"/>
      <c r="CW855"/>
      <c r="CX855"/>
      <c r="CY855"/>
      <c r="CZ855"/>
      <c r="DA855"/>
      <c r="DB855"/>
      <c r="DC855"/>
      <c r="DD855"/>
      <c r="DE855"/>
      <c r="DF855"/>
      <c r="DG855"/>
      <c r="DH855"/>
      <c r="DI855"/>
      <c r="DJ855"/>
      <c r="DK855"/>
      <c r="DL855"/>
      <c r="DM855"/>
      <c r="DN855"/>
      <c r="DO855"/>
      <c r="DP855"/>
      <c r="DQ855"/>
      <c r="DR855"/>
      <c r="DS855"/>
      <c r="DT855"/>
      <c r="DU855"/>
      <c r="DV855"/>
      <c r="DW855"/>
      <c r="DX855"/>
      <c r="DY855"/>
      <c r="DZ855"/>
      <c r="EA855"/>
      <c r="EB855"/>
      <c r="EC855"/>
      <c r="ED855"/>
      <c r="EE855"/>
      <c r="EF855"/>
      <c r="EG855"/>
      <c r="EH855"/>
      <c r="EI855"/>
      <c r="EJ855"/>
      <c r="EK855"/>
      <c r="EL855"/>
      <c r="EM855"/>
      <c r="EN855"/>
      <c r="EO855"/>
      <c r="EP855"/>
      <c r="EQ855"/>
      <c r="ER855"/>
      <c r="ES855"/>
      <c r="ET855"/>
      <c r="EU855"/>
      <c r="EV855"/>
      <c r="EW855"/>
      <c r="EX855"/>
      <c r="EY855"/>
      <c r="EZ855"/>
      <c r="FA855"/>
      <c r="FB855"/>
      <c r="FC855"/>
      <c r="FD855"/>
      <c r="FE855"/>
      <c r="FF855"/>
      <c r="FG855"/>
      <c r="FH855"/>
      <c r="FI855"/>
      <c r="FJ855"/>
      <c r="FK855"/>
      <c r="FL855"/>
      <c r="FM855"/>
      <c r="FN855"/>
      <c r="FO855"/>
      <c r="FP855"/>
      <c r="FQ855"/>
      <c r="FR855"/>
      <c r="FS855"/>
      <c r="FT855"/>
      <c r="FU855"/>
      <c r="FV855"/>
      <c r="FW855"/>
      <c r="FX855"/>
      <c r="FY855"/>
      <c r="FZ855"/>
      <c r="GA855"/>
      <c r="GB855"/>
      <c r="GC855"/>
      <c r="GD855"/>
      <c r="GE855"/>
      <c r="GF855"/>
      <c r="GG855"/>
      <c r="GH855"/>
      <c r="GI855"/>
      <c r="GJ855"/>
      <c r="GK855"/>
      <c r="GL855"/>
      <c r="GM855"/>
      <c r="GN855"/>
      <c r="GO855"/>
      <c r="GP855"/>
      <c r="GQ855"/>
      <c r="GR855"/>
      <c r="GS855"/>
      <c r="GT855"/>
      <c r="GU855"/>
      <c r="GV855"/>
      <c r="GW855"/>
      <c r="GX855"/>
      <c r="GY855"/>
      <c r="GZ855"/>
      <c r="HA855"/>
      <c r="HB855"/>
      <c r="HC855"/>
      <c r="HD855"/>
      <c r="HE855"/>
      <c r="HF855"/>
      <c r="HG855"/>
      <c r="HH855"/>
      <c r="HI855"/>
      <c r="HJ855"/>
      <c r="HK855"/>
      <c r="HL855"/>
      <c r="HM855"/>
      <c r="HN855"/>
      <c r="HO855"/>
      <c r="HP855"/>
      <c r="HQ855"/>
      <c r="HR855"/>
      <c r="HS855"/>
      <c r="HT855"/>
      <c r="HU855"/>
      <c r="HV855"/>
      <c r="HW855"/>
      <c r="HX855"/>
      <c r="HY855"/>
      <c r="HZ855"/>
      <c r="IA855"/>
      <c r="IB855"/>
      <c r="IC855"/>
      <c r="ID855"/>
      <c r="IE855"/>
      <c r="IF855"/>
      <c r="IG855"/>
      <c r="IH855"/>
      <c r="II855"/>
      <c r="IJ855"/>
      <c r="IK855"/>
      <c r="IL855"/>
      <c r="IM855"/>
      <c r="IN855"/>
      <c r="IO855"/>
      <c r="IP855"/>
      <c r="IQ855"/>
      <c r="IR855"/>
      <c r="IS855"/>
      <c r="IT855"/>
      <c r="IU855"/>
      <c r="IV855"/>
    </row>
    <row r="856" spans="1:256" ht="12.75" hidden="1" customHeight="1" x14ac:dyDescent="0.2">
      <c r="A856" s="583"/>
      <c r="B856" s="639" t="s">
        <v>953</v>
      </c>
      <c r="C856" s="560"/>
      <c r="D856" s="562"/>
      <c r="E856" s="579"/>
      <c r="F856" s="580">
        <v>0</v>
      </c>
      <c r="G856" s="127">
        <v>900000</v>
      </c>
      <c r="H856"/>
      <c r="I856"/>
      <c r="J856"/>
      <c r="K856"/>
      <c r="L856"/>
      <c r="M856"/>
      <c r="N856"/>
      <c r="O856"/>
      <c r="P856"/>
      <c r="Q856"/>
      <c r="R856"/>
      <c r="S856"/>
      <c r="T856"/>
      <c r="U856"/>
      <c r="V856"/>
      <c r="W856"/>
      <c r="X856"/>
      <c r="Y856"/>
      <c r="Z856"/>
      <c r="AA856"/>
      <c r="AB856"/>
      <c r="AC856"/>
      <c r="AD856"/>
      <c r="AE856"/>
      <c r="AF856"/>
      <c r="AG856"/>
      <c r="AH856"/>
      <c r="AI856"/>
      <c r="AJ856"/>
      <c r="AK856"/>
      <c r="AL856"/>
      <c r="AM856"/>
      <c r="AN856"/>
      <c r="AO856"/>
      <c r="AP856"/>
      <c r="AQ856"/>
      <c r="AR856"/>
      <c r="AS856"/>
      <c r="AT856"/>
      <c r="AU856"/>
      <c r="AV856"/>
      <c r="AW856"/>
      <c r="AX856"/>
      <c r="AY856"/>
      <c r="AZ856"/>
      <c r="BA856"/>
      <c r="BB856"/>
      <c r="BC856"/>
      <c r="BD856"/>
      <c r="BE856"/>
      <c r="BF856"/>
      <c r="BG856"/>
      <c r="BH856"/>
      <c r="BI856"/>
      <c r="BJ856"/>
      <c r="BK856"/>
      <c r="BL856"/>
      <c r="BM856"/>
      <c r="BN856"/>
      <c r="BO856"/>
      <c r="BP856"/>
      <c r="BQ856"/>
      <c r="BR856"/>
      <c r="BS856"/>
      <c r="BT856"/>
      <c r="BU856"/>
      <c r="BV856"/>
      <c r="BW856"/>
      <c r="BX856"/>
      <c r="BY856"/>
      <c r="BZ856"/>
      <c r="CA856"/>
      <c r="CB856"/>
      <c r="CC856"/>
      <c r="CD856"/>
      <c r="CE856"/>
      <c r="CF856"/>
      <c r="CG856"/>
      <c r="CH856"/>
      <c r="CI856"/>
      <c r="CJ856"/>
      <c r="CK856"/>
      <c r="CL856"/>
      <c r="CM856"/>
      <c r="CN856"/>
      <c r="CO856"/>
      <c r="CP856"/>
      <c r="CQ856"/>
      <c r="CR856"/>
      <c r="CS856"/>
      <c r="CT856"/>
      <c r="CU856"/>
      <c r="CV856"/>
      <c r="CW856"/>
      <c r="CX856"/>
      <c r="CY856"/>
      <c r="CZ856"/>
      <c r="DA856"/>
      <c r="DB856"/>
      <c r="DC856"/>
      <c r="DD856"/>
      <c r="DE856"/>
      <c r="DF856"/>
      <c r="DG856"/>
      <c r="DH856"/>
      <c r="DI856"/>
      <c r="DJ856"/>
      <c r="DK856"/>
      <c r="DL856"/>
      <c r="DM856"/>
      <c r="DN856"/>
      <c r="DO856"/>
      <c r="DP856"/>
      <c r="DQ856"/>
      <c r="DR856"/>
      <c r="DS856"/>
      <c r="DT856"/>
      <c r="DU856"/>
      <c r="DV856"/>
      <c r="DW856"/>
      <c r="DX856"/>
      <c r="DY856"/>
      <c r="DZ856"/>
      <c r="EA856"/>
      <c r="EB856"/>
      <c r="EC856"/>
      <c r="ED856"/>
      <c r="EE856"/>
      <c r="EF856"/>
      <c r="EG856"/>
      <c r="EH856"/>
      <c r="EI856"/>
      <c r="EJ856"/>
      <c r="EK856"/>
      <c r="EL856"/>
      <c r="EM856"/>
      <c r="EN856"/>
      <c r="EO856"/>
      <c r="EP856"/>
      <c r="EQ856"/>
      <c r="ER856"/>
      <c r="ES856"/>
      <c r="ET856"/>
      <c r="EU856"/>
      <c r="EV856"/>
      <c r="EW856"/>
      <c r="EX856"/>
      <c r="EY856"/>
      <c r="EZ856"/>
      <c r="FA856"/>
      <c r="FB856"/>
      <c r="FC856"/>
      <c r="FD856"/>
      <c r="FE856"/>
      <c r="FF856"/>
      <c r="FG856"/>
      <c r="FH856"/>
      <c r="FI856"/>
      <c r="FJ856"/>
      <c r="FK856"/>
      <c r="FL856"/>
      <c r="FM856"/>
      <c r="FN856"/>
      <c r="FO856"/>
      <c r="FP856"/>
      <c r="FQ856"/>
      <c r="FR856"/>
      <c r="FS856"/>
      <c r="FT856"/>
      <c r="FU856"/>
      <c r="FV856"/>
      <c r="FW856"/>
      <c r="FX856"/>
      <c r="FY856"/>
      <c r="FZ856"/>
      <c r="GA856"/>
      <c r="GB856"/>
      <c r="GC856"/>
      <c r="GD856"/>
      <c r="GE856"/>
      <c r="GF856"/>
      <c r="GG856"/>
      <c r="GH856"/>
      <c r="GI856"/>
      <c r="GJ856"/>
      <c r="GK856"/>
      <c r="GL856"/>
      <c r="GM856"/>
      <c r="GN856"/>
      <c r="GO856"/>
      <c r="GP856"/>
      <c r="GQ856"/>
      <c r="GR856"/>
      <c r="GS856"/>
      <c r="GT856"/>
      <c r="GU856"/>
      <c r="GV856"/>
      <c r="GW856"/>
      <c r="GX856"/>
      <c r="GY856"/>
      <c r="GZ856"/>
      <c r="HA856"/>
      <c r="HB856"/>
      <c r="HC856"/>
      <c r="HD856"/>
      <c r="HE856"/>
      <c r="HF856"/>
      <c r="HG856"/>
      <c r="HH856"/>
      <c r="HI856"/>
      <c r="HJ856"/>
      <c r="HK856"/>
      <c r="HL856"/>
      <c r="HM856"/>
      <c r="HN856"/>
      <c r="HO856"/>
      <c r="HP856"/>
      <c r="HQ856"/>
      <c r="HR856"/>
      <c r="HS856"/>
      <c r="HT856"/>
      <c r="HU856"/>
      <c r="HV856"/>
      <c r="HW856"/>
      <c r="HX856"/>
      <c r="HY856"/>
      <c r="HZ856"/>
      <c r="IA856"/>
      <c r="IB856"/>
      <c r="IC856"/>
      <c r="ID856"/>
      <c r="IE856"/>
      <c r="IF856"/>
      <c r="IG856"/>
      <c r="IH856"/>
      <c r="II856"/>
      <c r="IJ856"/>
      <c r="IK856"/>
      <c r="IL856"/>
      <c r="IM856"/>
      <c r="IN856"/>
      <c r="IO856"/>
      <c r="IP856"/>
      <c r="IQ856"/>
      <c r="IR856"/>
      <c r="IS856"/>
      <c r="IT856"/>
      <c r="IU856"/>
      <c r="IV856"/>
    </row>
    <row r="857" spans="1:256" ht="12.75" hidden="1" customHeight="1" x14ac:dyDescent="0.2">
      <c r="A857" s="583"/>
      <c r="B857" s="639" t="s">
        <v>954</v>
      </c>
      <c r="C857" s="560">
        <v>160000</v>
      </c>
      <c r="D857" s="562">
        <v>160000</v>
      </c>
      <c r="E857" s="579">
        <v>50000</v>
      </c>
      <c r="F857" s="580">
        <v>0</v>
      </c>
      <c r="G857" s="127">
        <v>0</v>
      </c>
      <c r="H857"/>
      <c r="I857"/>
      <c r="J857"/>
      <c r="K857"/>
      <c r="L857"/>
      <c r="M857"/>
      <c r="N857"/>
      <c r="O857"/>
      <c r="P857"/>
      <c r="Q857"/>
      <c r="R857"/>
      <c r="S857"/>
      <c r="T857"/>
      <c r="U857"/>
      <c r="V857"/>
      <c r="W857"/>
      <c r="X857"/>
      <c r="Y857"/>
      <c r="Z857"/>
      <c r="AA857"/>
      <c r="AB857"/>
      <c r="AC857"/>
      <c r="AD857"/>
      <c r="AE857"/>
      <c r="AF857"/>
      <c r="AG857"/>
      <c r="AH857"/>
      <c r="AI857"/>
      <c r="AJ857"/>
      <c r="AK857"/>
      <c r="AL857"/>
      <c r="AM857"/>
      <c r="AN857"/>
      <c r="AO857"/>
      <c r="AP857"/>
      <c r="AQ857"/>
      <c r="AR857"/>
      <c r="AS857"/>
      <c r="AT857"/>
      <c r="AU857"/>
      <c r="AV857"/>
      <c r="AW857"/>
      <c r="AX857"/>
      <c r="AY857"/>
      <c r="AZ857"/>
      <c r="BA857"/>
      <c r="BB857"/>
      <c r="BC857"/>
      <c r="BD857"/>
      <c r="BE857"/>
      <c r="BF857"/>
      <c r="BG857"/>
      <c r="BH857"/>
      <c r="BI857"/>
      <c r="BJ857"/>
      <c r="BK857"/>
      <c r="BL857"/>
      <c r="BM857"/>
      <c r="BN857"/>
      <c r="BO857"/>
      <c r="BP857"/>
      <c r="BQ857"/>
      <c r="BR857"/>
      <c r="BS857"/>
      <c r="BT857"/>
      <c r="BU857"/>
      <c r="BV857"/>
      <c r="BW857"/>
      <c r="BX857"/>
      <c r="BY857"/>
      <c r="BZ857"/>
      <c r="CA857"/>
      <c r="CB857"/>
      <c r="CC857"/>
      <c r="CD857"/>
      <c r="CE857"/>
      <c r="CF857"/>
      <c r="CG857"/>
      <c r="CH857"/>
      <c r="CI857"/>
      <c r="CJ857"/>
      <c r="CK857"/>
      <c r="CL857"/>
      <c r="CM857"/>
      <c r="CN857"/>
      <c r="CO857"/>
      <c r="CP857"/>
      <c r="CQ857"/>
      <c r="CR857"/>
      <c r="CS857"/>
      <c r="CT857"/>
      <c r="CU857"/>
      <c r="CV857"/>
      <c r="CW857"/>
      <c r="CX857"/>
      <c r="CY857"/>
      <c r="CZ857"/>
      <c r="DA857"/>
      <c r="DB857"/>
      <c r="DC857"/>
      <c r="DD857"/>
      <c r="DE857"/>
      <c r="DF857"/>
      <c r="DG857"/>
      <c r="DH857"/>
      <c r="DI857"/>
      <c r="DJ857"/>
      <c r="DK857"/>
      <c r="DL857"/>
      <c r="DM857"/>
      <c r="DN857"/>
      <c r="DO857"/>
      <c r="DP857"/>
      <c r="DQ857"/>
      <c r="DR857"/>
      <c r="DS857"/>
      <c r="DT857"/>
      <c r="DU857"/>
      <c r="DV857"/>
      <c r="DW857"/>
      <c r="DX857"/>
      <c r="DY857"/>
      <c r="DZ857"/>
      <c r="EA857"/>
      <c r="EB857"/>
      <c r="EC857"/>
      <c r="ED857"/>
      <c r="EE857"/>
      <c r="EF857"/>
      <c r="EG857"/>
      <c r="EH857"/>
      <c r="EI857"/>
      <c r="EJ857"/>
      <c r="EK857"/>
      <c r="EL857"/>
      <c r="EM857"/>
      <c r="EN857"/>
      <c r="EO857"/>
      <c r="EP857"/>
      <c r="EQ857"/>
      <c r="ER857"/>
      <c r="ES857"/>
      <c r="ET857"/>
      <c r="EU857"/>
      <c r="EV857"/>
      <c r="EW857"/>
      <c r="EX857"/>
      <c r="EY857"/>
      <c r="EZ857"/>
      <c r="FA857"/>
      <c r="FB857"/>
      <c r="FC857"/>
      <c r="FD857"/>
      <c r="FE857"/>
      <c r="FF857"/>
      <c r="FG857"/>
      <c r="FH857"/>
      <c r="FI857"/>
      <c r="FJ857"/>
      <c r="FK857"/>
      <c r="FL857"/>
      <c r="FM857"/>
      <c r="FN857"/>
      <c r="FO857"/>
      <c r="FP857"/>
      <c r="FQ857"/>
      <c r="FR857"/>
      <c r="FS857"/>
      <c r="FT857"/>
      <c r="FU857"/>
      <c r="FV857"/>
      <c r="FW857"/>
      <c r="FX857"/>
      <c r="FY857"/>
      <c r="FZ857"/>
      <c r="GA857"/>
      <c r="GB857"/>
      <c r="GC857"/>
      <c r="GD857"/>
      <c r="GE857"/>
      <c r="GF857"/>
      <c r="GG857"/>
      <c r="GH857"/>
      <c r="GI857"/>
      <c r="GJ857"/>
      <c r="GK857"/>
      <c r="GL857"/>
      <c r="GM857"/>
      <c r="GN857"/>
      <c r="GO857"/>
      <c r="GP857"/>
      <c r="GQ857"/>
      <c r="GR857"/>
      <c r="GS857"/>
      <c r="GT857"/>
      <c r="GU857"/>
      <c r="GV857"/>
      <c r="GW857"/>
      <c r="GX857"/>
      <c r="GY857"/>
      <c r="GZ857"/>
      <c r="HA857"/>
      <c r="HB857"/>
      <c r="HC857"/>
      <c r="HD857"/>
      <c r="HE857"/>
      <c r="HF857"/>
      <c r="HG857"/>
      <c r="HH857"/>
      <c r="HI857"/>
      <c r="HJ857"/>
      <c r="HK857"/>
      <c r="HL857"/>
      <c r="HM857"/>
      <c r="HN857"/>
      <c r="HO857"/>
      <c r="HP857"/>
      <c r="HQ857"/>
      <c r="HR857"/>
      <c r="HS857"/>
      <c r="HT857"/>
      <c r="HU857"/>
      <c r="HV857"/>
      <c r="HW857"/>
      <c r="HX857"/>
      <c r="HY857"/>
      <c r="HZ857"/>
      <c r="IA857"/>
      <c r="IB857"/>
      <c r="IC857"/>
      <c r="ID857"/>
      <c r="IE857"/>
      <c r="IF857"/>
      <c r="IG857"/>
      <c r="IH857"/>
      <c r="II857"/>
      <c r="IJ857"/>
      <c r="IK857"/>
      <c r="IL857"/>
      <c r="IM857"/>
      <c r="IN857"/>
      <c r="IO857"/>
      <c r="IP857"/>
      <c r="IQ857"/>
      <c r="IR857"/>
      <c r="IS857"/>
      <c r="IT857"/>
      <c r="IU857"/>
      <c r="IV857"/>
    </row>
    <row r="858" spans="1:256" ht="12.75" hidden="1" customHeight="1" x14ac:dyDescent="0.2">
      <c r="A858" s="583"/>
      <c r="B858" s="639" t="s">
        <v>955</v>
      </c>
      <c r="C858" s="560">
        <v>14645000</v>
      </c>
      <c r="D858" s="562">
        <f>14645000-3000000-1104217-748000</f>
        <v>9792783</v>
      </c>
      <c r="E858" s="579">
        <v>9700000</v>
      </c>
      <c r="F858" s="580">
        <v>8000</v>
      </c>
      <c r="G858" s="162">
        <v>0</v>
      </c>
      <c r="H858"/>
      <c r="I858"/>
      <c r="J858"/>
      <c r="K858"/>
      <c r="L858"/>
      <c r="M858"/>
      <c r="N858"/>
      <c r="O858"/>
      <c r="P858"/>
      <c r="Q858"/>
      <c r="R858"/>
      <c r="S858"/>
      <c r="T858"/>
      <c r="U858"/>
      <c r="V858"/>
      <c r="W858"/>
      <c r="X858"/>
      <c r="Y858"/>
      <c r="Z858"/>
      <c r="AA858"/>
      <c r="AB858"/>
      <c r="AC858"/>
      <c r="AD858"/>
      <c r="AE858"/>
      <c r="AF858"/>
      <c r="AG858"/>
      <c r="AH858"/>
      <c r="AI858"/>
      <c r="AJ858"/>
      <c r="AK858"/>
      <c r="AL858"/>
      <c r="AM858"/>
      <c r="AN858"/>
      <c r="AO858"/>
      <c r="AP858"/>
      <c r="AQ858"/>
      <c r="AR858"/>
      <c r="AS858"/>
      <c r="AT858"/>
      <c r="AU858"/>
      <c r="AV858"/>
      <c r="AW858"/>
      <c r="AX858"/>
      <c r="AY858"/>
      <c r="AZ858"/>
      <c r="BA858"/>
      <c r="BB858"/>
      <c r="BC858"/>
      <c r="BD858"/>
      <c r="BE858"/>
      <c r="BF858"/>
      <c r="BG858"/>
      <c r="BH858"/>
      <c r="BI858"/>
      <c r="BJ858"/>
      <c r="BK858"/>
      <c r="BL858"/>
      <c r="BM858"/>
      <c r="BN858"/>
      <c r="BO858"/>
      <c r="BP858"/>
      <c r="BQ858"/>
      <c r="BR858"/>
      <c r="BS858"/>
      <c r="BT858"/>
      <c r="BU858"/>
      <c r="BV858"/>
      <c r="BW858"/>
      <c r="BX858"/>
      <c r="BY858"/>
      <c r="BZ858"/>
      <c r="CA858"/>
      <c r="CB858"/>
      <c r="CC858"/>
      <c r="CD858"/>
      <c r="CE858"/>
      <c r="CF858"/>
      <c r="CG858"/>
      <c r="CH858"/>
      <c r="CI858"/>
      <c r="CJ858"/>
      <c r="CK858"/>
      <c r="CL858"/>
      <c r="CM858"/>
      <c r="CN858"/>
      <c r="CO858"/>
      <c r="CP858"/>
      <c r="CQ858"/>
      <c r="CR858"/>
      <c r="CS858"/>
      <c r="CT858"/>
      <c r="CU858"/>
      <c r="CV858"/>
      <c r="CW858"/>
      <c r="CX858"/>
      <c r="CY858"/>
      <c r="CZ858"/>
      <c r="DA858"/>
      <c r="DB858"/>
      <c r="DC858"/>
      <c r="DD858"/>
      <c r="DE858"/>
      <c r="DF858"/>
      <c r="DG858"/>
      <c r="DH858"/>
      <c r="DI858"/>
      <c r="DJ858"/>
      <c r="DK858"/>
      <c r="DL858"/>
      <c r="DM858"/>
      <c r="DN858"/>
      <c r="DO858"/>
      <c r="DP858"/>
      <c r="DQ858"/>
      <c r="DR858"/>
      <c r="DS858"/>
      <c r="DT858"/>
      <c r="DU858"/>
      <c r="DV858"/>
      <c r="DW858"/>
      <c r="DX858"/>
      <c r="DY858"/>
      <c r="DZ858"/>
      <c r="EA858"/>
      <c r="EB858"/>
      <c r="EC858"/>
      <c r="ED858"/>
      <c r="EE858"/>
      <c r="EF858"/>
      <c r="EG858"/>
      <c r="EH858"/>
      <c r="EI858"/>
      <c r="EJ858"/>
      <c r="EK858"/>
      <c r="EL858"/>
      <c r="EM858"/>
      <c r="EN858"/>
      <c r="EO858"/>
      <c r="EP858"/>
      <c r="EQ858"/>
      <c r="ER858"/>
      <c r="ES858"/>
      <c r="ET858"/>
      <c r="EU858"/>
      <c r="EV858"/>
      <c r="EW858"/>
      <c r="EX858"/>
      <c r="EY858"/>
      <c r="EZ858"/>
      <c r="FA858"/>
      <c r="FB858"/>
      <c r="FC858"/>
      <c r="FD858"/>
      <c r="FE858"/>
      <c r="FF858"/>
      <c r="FG858"/>
      <c r="FH858"/>
      <c r="FI858"/>
      <c r="FJ858"/>
      <c r="FK858"/>
      <c r="FL858"/>
      <c r="FM858"/>
      <c r="FN858"/>
      <c r="FO858"/>
      <c r="FP858"/>
      <c r="FQ858"/>
      <c r="FR858"/>
      <c r="FS858"/>
      <c r="FT858"/>
      <c r="FU858"/>
      <c r="FV858"/>
      <c r="FW858"/>
      <c r="FX858"/>
      <c r="FY858"/>
      <c r="FZ858"/>
      <c r="GA858"/>
      <c r="GB858"/>
      <c r="GC858"/>
      <c r="GD858"/>
      <c r="GE858"/>
      <c r="GF858"/>
      <c r="GG858"/>
      <c r="GH858"/>
      <c r="GI858"/>
      <c r="GJ858"/>
      <c r="GK858"/>
      <c r="GL858"/>
      <c r="GM858"/>
      <c r="GN858"/>
      <c r="GO858"/>
      <c r="GP858"/>
      <c r="GQ858"/>
      <c r="GR858"/>
      <c r="GS858"/>
      <c r="GT858"/>
      <c r="GU858"/>
      <c r="GV858"/>
      <c r="GW858"/>
      <c r="GX858"/>
      <c r="GY858"/>
      <c r="GZ858"/>
      <c r="HA858"/>
      <c r="HB858"/>
      <c r="HC858"/>
      <c r="HD858"/>
      <c r="HE858"/>
      <c r="HF858"/>
      <c r="HG858"/>
      <c r="HH858"/>
      <c r="HI858"/>
      <c r="HJ858"/>
      <c r="HK858"/>
      <c r="HL858"/>
      <c r="HM858"/>
      <c r="HN858"/>
      <c r="HO858"/>
      <c r="HP858"/>
      <c r="HQ858"/>
      <c r="HR858"/>
      <c r="HS858"/>
      <c r="HT858"/>
      <c r="HU858"/>
      <c r="HV858"/>
      <c r="HW858"/>
      <c r="HX858"/>
      <c r="HY858"/>
      <c r="HZ858"/>
      <c r="IA858"/>
      <c r="IB858"/>
      <c r="IC858"/>
      <c r="ID858"/>
      <c r="IE858"/>
      <c r="IF858"/>
      <c r="IG858"/>
      <c r="IH858"/>
      <c r="II858"/>
      <c r="IJ858"/>
      <c r="IK858"/>
      <c r="IL858"/>
      <c r="IM858"/>
      <c r="IN858"/>
      <c r="IO858"/>
      <c r="IP858"/>
      <c r="IQ858"/>
      <c r="IR858"/>
      <c r="IS858"/>
      <c r="IT858"/>
      <c r="IU858"/>
      <c r="IV858"/>
    </row>
    <row r="859" spans="1:256" ht="12.75" hidden="1" customHeight="1" x14ac:dyDescent="0.2">
      <c r="A859" s="583"/>
      <c r="B859" s="639" t="s">
        <v>956</v>
      </c>
      <c r="C859" s="560">
        <v>0</v>
      </c>
      <c r="D859" s="562">
        <v>748000</v>
      </c>
      <c r="E859" s="579">
        <v>679297.55</v>
      </c>
      <c r="F859" s="580">
        <v>747662.55</v>
      </c>
      <c r="G859" s="127">
        <v>0</v>
      </c>
      <c r="H859"/>
      <c r="I859"/>
      <c r="J859"/>
      <c r="K859"/>
      <c r="L859"/>
      <c r="M859"/>
      <c r="N859"/>
      <c r="O859"/>
      <c r="P859"/>
      <c r="Q859"/>
      <c r="R859"/>
      <c r="S859"/>
      <c r="T859"/>
      <c r="U859"/>
      <c r="V859"/>
      <c r="W859"/>
      <c r="X859"/>
      <c r="Y859"/>
      <c r="Z859"/>
      <c r="AA859"/>
      <c r="AB859"/>
      <c r="AC859"/>
      <c r="AD859"/>
      <c r="AE859"/>
      <c r="AF859"/>
      <c r="AG859"/>
      <c r="AH859"/>
      <c r="AI859"/>
      <c r="AJ859"/>
      <c r="AK859"/>
      <c r="AL859"/>
      <c r="AM859"/>
      <c r="AN859"/>
      <c r="AO859"/>
      <c r="AP859"/>
      <c r="AQ859"/>
      <c r="AR859"/>
      <c r="AS859"/>
      <c r="AT859"/>
      <c r="AU859"/>
      <c r="AV859"/>
      <c r="AW859"/>
      <c r="AX859"/>
      <c r="AY859"/>
      <c r="AZ859"/>
      <c r="BA859"/>
      <c r="BB859"/>
      <c r="BC859"/>
      <c r="BD859"/>
      <c r="BE859"/>
      <c r="BF859"/>
      <c r="BG859"/>
      <c r="BH859"/>
      <c r="BI859"/>
      <c r="BJ859"/>
      <c r="BK859"/>
      <c r="BL859"/>
      <c r="BM859"/>
      <c r="BN859"/>
      <c r="BO859"/>
      <c r="BP859"/>
      <c r="BQ859"/>
      <c r="BR859"/>
      <c r="BS859"/>
      <c r="BT859"/>
      <c r="BU859"/>
      <c r="BV859"/>
      <c r="BW859"/>
      <c r="BX859"/>
      <c r="BY859"/>
      <c r="BZ859"/>
      <c r="CA859"/>
      <c r="CB859"/>
      <c r="CC859"/>
      <c r="CD859"/>
      <c r="CE859"/>
      <c r="CF859"/>
      <c r="CG859"/>
      <c r="CH859"/>
      <c r="CI859"/>
      <c r="CJ859"/>
      <c r="CK859"/>
      <c r="CL859"/>
      <c r="CM859"/>
      <c r="CN859"/>
      <c r="CO859"/>
      <c r="CP859"/>
      <c r="CQ859"/>
      <c r="CR859"/>
      <c r="CS859"/>
      <c r="CT859"/>
      <c r="CU859"/>
      <c r="CV859"/>
      <c r="CW859"/>
      <c r="CX859"/>
      <c r="CY859"/>
      <c r="CZ859"/>
      <c r="DA859"/>
      <c r="DB859"/>
      <c r="DC859"/>
      <c r="DD859"/>
      <c r="DE859"/>
      <c r="DF859"/>
      <c r="DG859"/>
      <c r="DH859"/>
      <c r="DI859"/>
      <c r="DJ859"/>
      <c r="DK859"/>
      <c r="DL859"/>
      <c r="DM859"/>
      <c r="DN859"/>
      <c r="DO859"/>
      <c r="DP859"/>
      <c r="DQ859"/>
      <c r="DR859"/>
      <c r="DS859"/>
      <c r="DT859"/>
      <c r="DU859"/>
      <c r="DV859"/>
      <c r="DW859"/>
      <c r="DX859"/>
      <c r="DY859"/>
      <c r="DZ859"/>
      <c r="EA859"/>
      <c r="EB859"/>
      <c r="EC859"/>
      <c r="ED859"/>
      <c r="EE859"/>
      <c r="EF859"/>
      <c r="EG859"/>
      <c r="EH859"/>
      <c r="EI859"/>
      <c r="EJ859"/>
      <c r="EK859"/>
      <c r="EL859"/>
      <c r="EM859"/>
      <c r="EN859"/>
      <c r="EO859"/>
      <c r="EP859"/>
      <c r="EQ859"/>
      <c r="ER859"/>
      <c r="ES859"/>
      <c r="ET859"/>
      <c r="EU859"/>
      <c r="EV859"/>
      <c r="EW859"/>
      <c r="EX859"/>
      <c r="EY859"/>
      <c r="EZ859"/>
      <c r="FA859"/>
      <c r="FB859"/>
      <c r="FC859"/>
      <c r="FD859"/>
      <c r="FE859"/>
      <c r="FF859"/>
      <c r="FG859"/>
      <c r="FH859"/>
      <c r="FI859"/>
      <c r="FJ859"/>
      <c r="FK859"/>
      <c r="FL859"/>
      <c r="FM859"/>
      <c r="FN859"/>
      <c r="FO859"/>
      <c r="FP859"/>
      <c r="FQ859"/>
      <c r="FR859"/>
      <c r="FS859"/>
      <c r="FT859"/>
      <c r="FU859"/>
      <c r="FV859"/>
      <c r="FW859"/>
      <c r="FX859"/>
      <c r="FY859"/>
      <c r="FZ859"/>
      <c r="GA859"/>
      <c r="GB859"/>
      <c r="GC859"/>
      <c r="GD859"/>
      <c r="GE859"/>
      <c r="GF859"/>
      <c r="GG859"/>
      <c r="GH859"/>
      <c r="GI859"/>
      <c r="GJ859"/>
      <c r="GK859"/>
      <c r="GL859"/>
      <c r="GM859"/>
      <c r="GN859"/>
      <c r="GO859"/>
      <c r="GP859"/>
      <c r="GQ859"/>
      <c r="GR859"/>
      <c r="GS859"/>
      <c r="GT859"/>
      <c r="GU859"/>
      <c r="GV859"/>
      <c r="GW859"/>
      <c r="GX859"/>
      <c r="GY859"/>
      <c r="GZ859"/>
      <c r="HA859"/>
      <c r="HB859"/>
      <c r="HC859"/>
      <c r="HD859"/>
      <c r="HE859"/>
      <c r="HF859"/>
      <c r="HG859"/>
      <c r="HH859"/>
      <c r="HI859"/>
      <c r="HJ859"/>
      <c r="HK859"/>
      <c r="HL859"/>
      <c r="HM859"/>
      <c r="HN859"/>
      <c r="HO859"/>
      <c r="HP859"/>
      <c r="HQ859"/>
      <c r="HR859"/>
      <c r="HS859"/>
      <c r="HT859"/>
      <c r="HU859"/>
      <c r="HV859"/>
      <c r="HW859"/>
      <c r="HX859"/>
      <c r="HY859"/>
      <c r="HZ859"/>
      <c r="IA859"/>
      <c r="IB859"/>
      <c r="IC859"/>
      <c r="ID859"/>
      <c r="IE859"/>
      <c r="IF859"/>
      <c r="IG859"/>
      <c r="IH859"/>
      <c r="II859"/>
      <c r="IJ859"/>
      <c r="IK859"/>
      <c r="IL859"/>
      <c r="IM859"/>
      <c r="IN859"/>
      <c r="IO859"/>
      <c r="IP859"/>
      <c r="IQ859"/>
      <c r="IR859"/>
      <c r="IS859"/>
      <c r="IT859"/>
      <c r="IU859"/>
      <c r="IV859"/>
    </row>
    <row r="860" spans="1:256" s="2" customFormat="1" ht="12.75" hidden="1" customHeight="1" x14ac:dyDescent="0.2">
      <c r="A860" s="583"/>
      <c r="B860" s="639" t="s">
        <v>957</v>
      </c>
      <c r="C860" s="558">
        <v>8067000</v>
      </c>
      <c r="D860" s="562">
        <f>8067000-1700000-727000</f>
        <v>5640000</v>
      </c>
      <c r="E860" s="579">
        <v>5600000</v>
      </c>
      <c r="F860" s="580">
        <v>4973916.7300000004</v>
      </c>
      <c r="G860" s="127">
        <v>0</v>
      </c>
    </row>
    <row r="861" spans="1:256" s="2" customFormat="1" ht="12.75" hidden="1" customHeight="1" x14ac:dyDescent="0.2">
      <c r="A861" s="583"/>
      <c r="B861" s="639" t="s">
        <v>958</v>
      </c>
      <c r="C861" s="558">
        <v>3372000</v>
      </c>
      <c r="D861" s="562">
        <f>3372000-572000</f>
        <v>2800000</v>
      </c>
      <c r="E861" s="579">
        <v>2672665.7999999998</v>
      </c>
      <c r="F861" s="580">
        <v>2589780.7999999998</v>
      </c>
      <c r="G861" s="162">
        <v>0</v>
      </c>
    </row>
    <row r="862" spans="1:256" s="2" customFormat="1" ht="12.75" hidden="1" customHeight="1" x14ac:dyDescent="0.2">
      <c r="A862" s="583"/>
      <c r="B862" s="639" t="s">
        <v>959</v>
      </c>
      <c r="C862" s="558">
        <v>1590000</v>
      </c>
      <c r="D862" s="562">
        <f>1590000-336000</f>
        <v>1254000</v>
      </c>
      <c r="E862" s="579">
        <v>1254000</v>
      </c>
      <c r="F862" s="580">
        <v>1253999.23</v>
      </c>
      <c r="G862" s="127">
        <v>0</v>
      </c>
    </row>
    <row r="863" spans="1:256" s="2" customFormat="1" ht="12.75" hidden="1" customHeight="1" x14ac:dyDescent="0.2">
      <c r="A863" s="583"/>
      <c r="B863" s="654" t="s">
        <v>960</v>
      </c>
      <c r="C863" s="560"/>
      <c r="D863" s="562"/>
      <c r="E863" s="579"/>
      <c r="F863" s="623"/>
      <c r="G863" s="558">
        <v>200000</v>
      </c>
    </row>
    <row r="864" spans="1:256" s="2" customFormat="1" ht="12.75" hidden="1" customHeight="1" x14ac:dyDescent="0.2">
      <c r="A864" s="583"/>
      <c r="B864" s="655" t="s">
        <v>961</v>
      </c>
      <c r="C864" s="558"/>
      <c r="D864" s="562"/>
      <c r="E864" s="579"/>
      <c r="F864" s="623"/>
      <c r="G864" s="558">
        <v>4750000</v>
      </c>
    </row>
    <row r="865" spans="1:256" s="2" customFormat="1" ht="12.75" hidden="1" customHeight="1" x14ac:dyDescent="0.2">
      <c r="A865" s="583"/>
      <c r="B865" s="655" t="s">
        <v>962</v>
      </c>
      <c r="C865" s="560"/>
      <c r="D865" s="562"/>
      <c r="E865" s="564"/>
      <c r="F865" s="623"/>
      <c r="G865" s="560">
        <v>3300000</v>
      </c>
    </row>
    <row r="866" spans="1:256" s="2" customFormat="1" ht="12.75" hidden="1" customHeight="1" x14ac:dyDescent="0.2">
      <c r="A866" s="583"/>
      <c r="B866" s="655" t="s">
        <v>963</v>
      </c>
      <c r="C866" s="558"/>
      <c r="D866" s="562"/>
      <c r="E866" s="579"/>
      <c r="F866" s="623"/>
      <c r="G866" s="558">
        <v>3750000</v>
      </c>
    </row>
    <row r="867" spans="1:256" s="2" customFormat="1" ht="12.75" hidden="1" customHeight="1" x14ac:dyDescent="0.2">
      <c r="A867" s="583"/>
      <c r="B867" s="655" t="s">
        <v>964</v>
      </c>
      <c r="C867" s="560"/>
      <c r="D867" s="562"/>
      <c r="E867" s="564"/>
      <c r="F867" s="623"/>
      <c r="G867" s="558">
        <v>2050000</v>
      </c>
    </row>
    <row r="868" spans="1:256" s="2" customFormat="1" ht="12.75" hidden="1" customHeight="1" x14ac:dyDescent="0.2">
      <c r="A868" s="583"/>
      <c r="B868" s="655" t="s">
        <v>965</v>
      </c>
      <c r="C868" s="560"/>
      <c r="D868" s="562"/>
      <c r="E868" s="564"/>
      <c r="F868" s="623"/>
      <c r="G868" s="560">
        <v>2000000</v>
      </c>
    </row>
    <row r="869" spans="1:256" s="2" customFormat="1" ht="12.75" hidden="1" customHeight="1" x14ac:dyDescent="0.2">
      <c r="A869" s="583"/>
      <c r="B869" s="655" t="s">
        <v>966</v>
      </c>
      <c r="C869" s="560"/>
      <c r="D869" s="562"/>
      <c r="E869" s="579"/>
      <c r="F869" s="623"/>
      <c r="G869" s="560">
        <v>6000000</v>
      </c>
    </row>
    <row r="870" spans="1:256" s="2" customFormat="1" ht="12.75" hidden="1" customHeight="1" x14ac:dyDescent="0.2">
      <c r="A870" s="583"/>
      <c r="B870" s="655" t="s">
        <v>967</v>
      </c>
      <c r="C870" s="560"/>
      <c r="D870" s="562"/>
      <c r="E870" s="579"/>
      <c r="F870" s="623"/>
      <c r="G870" s="560">
        <v>2000000</v>
      </c>
    </row>
    <row r="871" spans="1:256" s="2" customFormat="1" ht="12.75" hidden="1" customHeight="1" x14ac:dyDescent="0.2">
      <c r="A871" s="583"/>
      <c r="B871" s="655" t="s">
        <v>968</v>
      </c>
      <c r="C871" s="558"/>
      <c r="D871" s="562"/>
      <c r="E871" s="579"/>
      <c r="F871" s="623"/>
      <c r="G871" s="558">
        <v>1300000</v>
      </c>
    </row>
    <row r="872" spans="1:256" s="2" customFormat="1" ht="12.75" hidden="1" customHeight="1" x14ac:dyDescent="0.2">
      <c r="A872" s="551">
        <v>3699</v>
      </c>
      <c r="B872" s="651" t="s">
        <v>969</v>
      </c>
      <c r="C872" s="555">
        <f>C873</f>
        <v>10000</v>
      </c>
      <c r="D872" s="581">
        <f>D873</f>
        <v>10000</v>
      </c>
      <c r="E872" s="581">
        <f>E873</f>
        <v>10000</v>
      </c>
      <c r="F872" s="633">
        <v>0</v>
      </c>
      <c r="G872" s="138">
        <v>0</v>
      </c>
    </row>
    <row r="873" spans="1:256" s="2" customFormat="1" ht="12.75" hidden="1" customHeight="1" x14ac:dyDescent="0.2">
      <c r="A873" s="583"/>
      <c r="B873" s="656" t="s">
        <v>970</v>
      </c>
      <c r="C873" s="558">
        <v>10000</v>
      </c>
      <c r="D873" s="562">
        <v>10000</v>
      </c>
      <c r="E873" s="579">
        <v>10000</v>
      </c>
      <c r="F873" s="580">
        <v>0</v>
      </c>
      <c r="G873" s="162">
        <v>0</v>
      </c>
    </row>
    <row r="874" spans="1:256" s="2" customFormat="1" ht="12.75" hidden="1" customHeight="1" x14ac:dyDescent="0.2">
      <c r="A874" s="551">
        <v>4351</v>
      </c>
      <c r="B874" s="651" t="s">
        <v>971</v>
      </c>
      <c r="C874" s="555">
        <v>10000</v>
      </c>
      <c r="D874" s="581">
        <v>10000</v>
      </c>
      <c r="E874" s="581">
        <v>10000</v>
      </c>
      <c r="F874" s="633">
        <v>3512.87</v>
      </c>
      <c r="G874" s="227">
        <v>10000</v>
      </c>
    </row>
    <row r="875" spans="1:256" s="2" customFormat="1" ht="12.75" hidden="1" customHeight="1" x14ac:dyDescent="0.2">
      <c r="A875" s="551">
        <v>4374</v>
      </c>
      <c r="B875" s="651" t="s">
        <v>759</v>
      </c>
      <c r="C875" s="553">
        <f>C876</f>
        <v>1015000</v>
      </c>
      <c r="D875" s="581">
        <f>D876</f>
        <v>915000</v>
      </c>
      <c r="E875" s="581">
        <f>E876</f>
        <v>915000</v>
      </c>
      <c r="F875" s="582">
        <f>F876</f>
        <v>630565.32999999996</v>
      </c>
      <c r="G875" s="553">
        <f>G876</f>
        <v>850000</v>
      </c>
    </row>
    <row r="876" spans="1:256" ht="12.75" hidden="1" customHeight="1" x14ac:dyDescent="0.2">
      <c r="A876" s="583"/>
      <c r="B876" s="578" t="s">
        <v>972</v>
      </c>
      <c r="C876" s="560">
        <f>SUM(C877,C878)</f>
        <v>1015000</v>
      </c>
      <c r="D876" s="562">
        <f>SUM(D877,D878)</f>
        <v>915000</v>
      </c>
      <c r="E876" s="562">
        <f>SUM(E877,E878)</f>
        <v>915000</v>
      </c>
      <c r="F876" s="611">
        <f>SUM(F877,F878)</f>
        <v>630565.32999999996</v>
      </c>
      <c r="G876" s="560">
        <f>SUM(G877,G878)</f>
        <v>850000</v>
      </c>
      <c r="H876"/>
      <c r="I876"/>
      <c r="J876"/>
      <c r="K876"/>
      <c r="L876"/>
      <c r="M876"/>
      <c r="N876"/>
      <c r="O876"/>
      <c r="P876"/>
      <c r="Q876"/>
      <c r="R876"/>
      <c r="S876"/>
      <c r="T876"/>
      <c r="U876"/>
      <c r="V876"/>
      <c r="W876"/>
      <c r="X876"/>
      <c r="Y876"/>
      <c r="Z876"/>
      <c r="AA876"/>
      <c r="AB876"/>
      <c r="AC876"/>
      <c r="AD876"/>
      <c r="AE876"/>
      <c r="AF876"/>
      <c r="AG876"/>
      <c r="AH876"/>
      <c r="AI876"/>
      <c r="AJ876"/>
      <c r="AK876"/>
      <c r="AL876"/>
      <c r="AM876"/>
      <c r="AN876"/>
      <c r="AO876"/>
      <c r="AP876"/>
      <c r="AQ876"/>
      <c r="AR876"/>
      <c r="AS876"/>
      <c r="AT876"/>
      <c r="AU876"/>
      <c r="AV876"/>
      <c r="AW876"/>
      <c r="AX876"/>
      <c r="AY876"/>
      <c r="AZ876"/>
      <c r="BA876"/>
      <c r="BB876"/>
      <c r="BC876"/>
      <c r="BD876"/>
      <c r="BE876"/>
      <c r="BF876"/>
      <c r="BG876"/>
      <c r="BH876"/>
      <c r="BI876"/>
      <c r="BJ876"/>
      <c r="BK876"/>
      <c r="BL876"/>
      <c r="BM876"/>
      <c r="BN876"/>
      <c r="BO876"/>
      <c r="BP876"/>
      <c r="BQ876"/>
      <c r="BR876"/>
      <c r="BS876"/>
      <c r="BT876"/>
      <c r="BU876"/>
      <c r="BV876"/>
      <c r="BW876"/>
      <c r="BX876"/>
      <c r="BY876"/>
      <c r="BZ876"/>
      <c r="CA876"/>
      <c r="CB876"/>
      <c r="CC876"/>
      <c r="CD876"/>
      <c r="CE876"/>
      <c r="CF876"/>
      <c r="CG876"/>
      <c r="CH876"/>
      <c r="CI876"/>
      <c r="CJ876"/>
      <c r="CK876"/>
      <c r="CL876"/>
      <c r="CM876"/>
      <c r="CN876"/>
      <c r="CO876"/>
      <c r="CP876"/>
      <c r="CQ876"/>
      <c r="CR876"/>
      <c r="CS876"/>
      <c r="CT876"/>
      <c r="CU876"/>
      <c r="CV876"/>
      <c r="CW876"/>
      <c r="CX876"/>
      <c r="CY876"/>
      <c r="CZ876"/>
      <c r="DA876"/>
      <c r="DB876"/>
      <c r="DC876"/>
      <c r="DD876"/>
      <c r="DE876"/>
      <c r="DF876"/>
      <c r="DG876"/>
      <c r="DH876"/>
      <c r="DI876"/>
      <c r="DJ876"/>
      <c r="DK876"/>
      <c r="DL876"/>
      <c r="DM876"/>
      <c r="DN876"/>
      <c r="DO876"/>
      <c r="DP876"/>
      <c r="DQ876"/>
      <c r="DR876"/>
      <c r="DS876"/>
      <c r="DT876"/>
      <c r="DU876"/>
      <c r="DV876"/>
      <c r="DW876"/>
      <c r="DX876"/>
      <c r="DY876"/>
      <c r="DZ876"/>
      <c r="EA876"/>
      <c r="EB876"/>
      <c r="EC876"/>
      <c r="ED876"/>
      <c r="EE876"/>
      <c r="EF876"/>
      <c r="EG876"/>
      <c r="EH876"/>
      <c r="EI876"/>
      <c r="EJ876"/>
      <c r="EK876"/>
      <c r="EL876"/>
      <c r="EM876"/>
      <c r="EN876"/>
      <c r="EO876"/>
      <c r="EP876"/>
      <c r="EQ876"/>
      <c r="ER876"/>
      <c r="ES876"/>
      <c r="ET876"/>
      <c r="EU876"/>
      <c r="EV876"/>
      <c r="EW876"/>
      <c r="EX876"/>
      <c r="EY876"/>
      <c r="EZ876"/>
      <c r="FA876"/>
      <c r="FB876"/>
      <c r="FC876"/>
      <c r="FD876"/>
      <c r="FE876"/>
      <c r="FF876"/>
      <c r="FG876"/>
      <c r="FH876"/>
      <c r="FI876"/>
      <c r="FJ876"/>
      <c r="FK876"/>
      <c r="FL876"/>
      <c r="FM876"/>
      <c r="FN876"/>
      <c r="FO876"/>
      <c r="FP876"/>
      <c r="FQ876"/>
      <c r="FR876"/>
      <c r="FS876"/>
      <c r="FT876"/>
      <c r="FU876"/>
      <c r="FV876"/>
      <c r="FW876"/>
      <c r="FX876"/>
      <c r="FY876"/>
      <c r="FZ876"/>
      <c r="GA876"/>
      <c r="GB876"/>
      <c r="GC876"/>
      <c r="GD876"/>
      <c r="GE876"/>
      <c r="GF876"/>
      <c r="GG876"/>
      <c r="GH876"/>
      <c r="GI876"/>
      <c r="GJ876"/>
      <c r="GK876"/>
      <c r="GL876"/>
      <c r="GM876"/>
      <c r="GN876"/>
      <c r="GO876"/>
      <c r="GP876"/>
      <c r="GQ876"/>
      <c r="GR876"/>
      <c r="GS876"/>
      <c r="GT876"/>
      <c r="GU876"/>
      <c r="GV876"/>
      <c r="GW876"/>
      <c r="GX876"/>
      <c r="GY876"/>
      <c r="GZ876"/>
      <c r="HA876"/>
      <c r="HB876"/>
      <c r="HC876"/>
      <c r="HD876"/>
      <c r="HE876"/>
      <c r="HF876"/>
      <c r="HG876"/>
      <c r="HH876"/>
      <c r="HI876"/>
      <c r="HJ876"/>
      <c r="HK876"/>
      <c r="HL876"/>
      <c r="HM876"/>
      <c r="HN876"/>
      <c r="HO876"/>
      <c r="HP876"/>
      <c r="HQ876"/>
      <c r="HR876"/>
      <c r="HS876"/>
      <c r="HT876"/>
      <c r="HU876"/>
      <c r="HV876"/>
      <c r="HW876"/>
      <c r="HX876"/>
      <c r="HY876"/>
      <c r="HZ876"/>
      <c r="IA876"/>
      <c r="IB876"/>
      <c r="IC876"/>
      <c r="ID876"/>
      <c r="IE876"/>
      <c r="IF876"/>
      <c r="IG876"/>
      <c r="IH876"/>
      <c r="II876"/>
      <c r="IJ876"/>
      <c r="IK876"/>
      <c r="IL876"/>
      <c r="IM876"/>
      <c r="IN876"/>
      <c r="IO876"/>
      <c r="IP876"/>
      <c r="IQ876"/>
      <c r="IR876"/>
      <c r="IS876"/>
      <c r="IT876"/>
      <c r="IU876"/>
      <c r="IV876"/>
    </row>
    <row r="877" spans="1:256" ht="12.75" hidden="1" customHeight="1" x14ac:dyDescent="0.2">
      <c r="A877" s="657"/>
      <c r="B877" s="612" t="s">
        <v>973</v>
      </c>
      <c r="C877" s="560">
        <v>690000</v>
      </c>
      <c r="D877" s="562">
        <v>690000</v>
      </c>
      <c r="E877" s="579">
        <v>690000</v>
      </c>
      <c r="F877" s="580">
        <v>630565.32999999996</v>
      </c>
      <c r="G877" s="127">
        <v>600000</v>
      </c>
      <c r="H877"/>
      <c r="I877"/>
      <c r="J877"/>
      <c r="K877"/>
      <c r="L877"/>
      <c r="M877"/>
      <c r="N877"/>
      <c r="O877"/>
      <c r="P877"/>
      <c r="Q877"/>
      <c r="R877"/>
      <c r="S877"/>
      <c r="T877"/>
      <c r="U877"/>
      <c r="V877"/>
      <c r="W877"/>
      <c r="X877"/>
      <c r="Y877"/>
      <c r="Z877"/>
      <c r="AA877"/>
      <c r="AB877"/>
      <c r="AC877"/>
      <c r="AD877"/>
      <c r="AE877"/>
      <c r="AF877"/>
      <c r="AG877"/>
      <c r="AH877"/>
      <c r="AI877"/>
      <c r="AJ877"/>
      <c r="AK877"/>
      <c r="AL877"/>
      <c r="AM877"/>
      <c r="AN877"/>
      <c r="AO877"/>
      <c r="AP877"/>
      <c r="AQ877"/>
      <c r="AR877"/>
      <c r="AS877"/>
      <c r="AT877"/>
      <c r="AU877"/>
      <c r="AV877"/>
      <c r="AW877"/>
      <c r="AX877"/>
      <c r="AY877"/>
      <c r="AZ877"/>
      <c r="BA877"/>
      <c r="BB877"/>
      <c r="BC877"/>
      <c r="BD877"/>
      <c r="BE877"/>
      <c r="BF877"/>
      <c r="BG877"/>
      <c r="BH877"/>
      <c r="BI877"/>
      <c r="BJ877"/>
      <c r="BK877"/>
      <c r="BL877"/>
      <c r="BM877"/>
      <c r="BN877"/>
      <c r="BO877"/>
      <c r="BP877"/>
      <c r="BQ877"/>
      <c r="BR877"/>
      <c r="BS877"/>
      <c r="BT877"/>
      <c r="BU877"/>
      <c r="BV877"/>
      <c r="BW877"/>
      <c r="BX877"/>
      <c r="BY877"/>
      <c r="BZ877"/>
      <c r="CA877"/>
      <c r="CB877"/>
      <c r="CC877"/>
      <c r="CD877"/>
      <c r="CE877"/>
      <c r="CF877"/>
      <c r="CG877"/>
      <c r="CH877"/>
      <c r="CI877"/>
      <c r="CJ877"/>
      <c r="CK877"/>
      <c r="CL877"/>
      <c r="CM877"/>
      <c r="CN877"/>
      <c r="CO877"/>
      <c r="CP877"/>
      <c r="CQ877"/>
      <c r="CR877"/>
      <c r="CS877"/>
      <c r="CT877"/>
      <c r="CU877"/>
      <c r="CV877"/>
      <c r="CW877"/>
      <c r="CX877"/>
      <c r="CY877"/>
      <c r="CZ877"/>
      <c r="DA877"/>
      <c r="DB877"/>
      <c r="DC877"/>
      <c r="DD877"/>
      <c r="DE877"/>
      <c r="DF877"/>
      <c r="DG877"/>
      <c r="DH877"/>
      <c r="DI877"/>
      <c r="DJ877"/>
      <c r="DK877"/>
      <c r="DL877"/>
      <c r="DM877"/>
      <c r="DN877"/>
      <c r="DO877"/>
      <c r="DP877"/>
      <c r="DQ877"/>
      <c r="DR877"/>
      <c r="DS877"/>
      <c r="DT877"/>
      <c r="DU877"/>
      <c r="DV877"/>
      <c r="DW877"/>
      <c r="DX877"/>
      <c r="DY877"/>
      <c r="DZ877"/>
      <c r="EA877"/>
      <c r="EB877"/>
      <c r="EC877"/>
      <c r="ED877"/>
      <c r="EE877"/>
      <c r="EF877"/>
      <c r="EG877"/>
      <c r="EH877"/>
      <c r="EI877"/>
      <c r="EJ877"/>
      <c r="EK877"/>
      <c r="EL877"/>
      <c r="EM877"/>
      <c r="EN877"/>
      <c r="EO877"/>
      <c r="EP877"/>
      <c r="EQ877"/>
      <c r="ER877"/>
      <c r="ES877"/>
      <c r="ET877"/>
      <c r="EU877"/>
      <c r="EV877"/>
      <c r="EW877"/>
      <c r="EX877"/>
      <c r="EY877"/>
      <c r="EZ877"/>
      <c r="FA877"/>
      <c r="FB877"/>
      <c r="FC877"/>
      <c r="FD877"/>
      <c r="FE877"/>
      <c r="FF877"/>
      <c r="FG877"/>
      <c r="FH877"/>
      <c r="FI877"/>
      <c r="FJ877"/>
      <c r="FK877"/>
      <c r="FL877"/>
      <c r="FM877"/>
      <c r="FN877"/>
      <c r="FO877"/>
      <c r="FP877"/>
      <c r="FQ877"/>
      <c r="FR877"/>
      <c r="FS877"/>
      <c r="FT877"/>
      <c r="FU877"/>
      <c r="FV877"/>
      <c r="FW877"/>
      <c r="FX877"/>
      <c r="FY877"/>
      <c r="FZ877"/>
      <c r="GA877"/>
      <c r="GB877"/>
      <c r="GC877"/>
      <c r="GD877"/>
      <c r="GE877"/>
      <c r="GF877"/>
      <c r="GG877"/>
      <c r="GH877"/>
      <c r="GI877"/>
      <c r="GJ877"/>
      <c r="GK877"/>
      <c r="GL877"/>
      <c r="GM877"/>
      <c r="GN877"/>
      <c r="GO877"/>
      <c r="GP877"/>
      <c r="GQ877"/>
      <c r="GR877"/>
      <c r="GS877"/>
      <c r="GT877"/>
      <c r="GU877"/>
      <c r="GV877"/>
      <c r="GW877"/>
      <c r="GX877"/>
      <c r="GY877"/>
      <c r="GZ877"/>
      <c r="HA877"/>
      <c r="HB877"/>
      <c r="HC877"/>
      <c r="HD877"/>
      <c r="HE877"/>
      <c r="HF877"/>
      <c r="HG877"/>
      <c r="HH877"/>
      <c r="HI877"/>
      <c r="HJ877"/>
      <c r="HK877"/>
      <c r="HL877"/>
      <c r="HM877"/>
      <c r="HN877"/>
      <c r="HO877"/>
      <c r="HP877"/>
      <c r="HQ877"/>
      <c r="HR877"/>
      <c r="HS877"/>
      <c r="HT877"/>
      <c r="HU877"/>
      <c r="HV877"/>
      <c r="HW877"/>
      <c r="HX877"/>
      <c r="HY877"/>
      <c r="HZ877"/>
      <c r="IA877"/>
      <c r="IB877"/>
      <c r="IC877"/>
      <c r="ID877"/>
      <c r="IE877"/>
      <c r="IF877"/>
      <c r="IG877"/>
      <c r="IH877"/>
      <c r="II877"/>
      <c r="IJ877"/>
      <c r="IK877"/>
      <c r="IL877"/>
      <c r="IM877"/>
      <c r="IN877"/>
      <c r="IO877"/>
      <c r="IP877"/>
      <c r="IQ877"/>
      <c r="IR877"/>
      <c r="IS877"/>
      <c r="IT877"/>
      <c r="IU877"/>
      <c r="IV877"/>
    </row>
    <row r="878" spans="1:256" ht="12.75" hidden="1" customHeight="1" x14ac:dyDescent="0.2">
      <c r="A878" s="657"/>
      <c r="B878" s="658" t="s">
        <v>974</v>
      </c>
      <c r="C878" s="560">
        <v>325000</v>
      </c>
      <c r="D878" s="562">
        <f>325000-100000</f>
        <v>225000</v>
      </c>
      <c r="E878" s="579">
        <v>225000</v>
      </c>
      <c r="F878" s="580">
        <v>0</v>
      </c>
      <c r="G878" s="127">
        <v>250000</v>
      </c>
      <c r="H878"/>
      <c r="I878"/>
      <c r="J878"/>
      <c r="K878"/>
      <c r="L878"/>
      <c r="M878"/>
      <c r="N878"/>
      <c r="O878"/>
      <c r="P878"/>
      <c r="Q878"/>
      <c r="R878"/>
      <c r="S878"/>
      <c r="T878"/>
      <c r="U878"/>
      <c r="V878"/>
      <c r="W878"/>
      <c r="X878"/>
      <c r="Y878"/>
      <c r="Z878"/>
      <c r="AA878"/>
      <c r="AB878"/>
      <c r="AC878"/>
      <c r="AD878"/>
      <c r="AE878"/>
      <c r="AF878"/>
      <c r="AG878"/>
      <c r="AH878"/>
      <c r="AI878"/>
      <c r="AJ878"/>
      <c r="AK878"/>
      <c r="AL878"/>
      <c r="AM878"/>
      <c r="AN878"/>
      <c r="AO878"/>
      <c r="AP878"/>
      <c r="AQ878"/>
      <c r="AR878"/>
      <c r="AS878"/>
      <c r="AT878"/>
      <c r="AU878"/>
      <c r="AV878"/>
      <c r="AW878"/>
      <c r="AX878"/>
      <c r="AY878"/>
      <c r="AZ878"/>
      <c r="BA878"/>
      <c r="BB878"/>
      <c r="BC878"/>
      <c r="BD878"/>
      <c r="BE878"/>
      <c r="BF878"/>
      <c r="BG878"/>
      <c r="BH878"/>
      <c r="BI878"/>
      <c r="BJ878"/>
      <c r="BK878"/>
      <c r="BL878"/>
      <c r="BM878"/>
      <c r="BN878"/>
      <c r="BO878"/>
      <c r="BP878"/>
      <c r="BQ878"/>
      <c r="BR878"/>
      <c r="BS878"/>
      <c r="BT878"/>
      <c r="BU878"/>
      <c r="BV878"/>
      <c r="BW878"/>
      <c r="BX878"/>
      <c r="BY878"/>
      <c r="BZ878"/>
      <c r="CA878"/>
      <c r="CB878"/>
      <c r="CC878"/>
      <c r="CD878"/>
      <c r="CE878"/>
      <c r="CF878"/>
      <c r="CG878"/>
      <c r="CH878"/>
      <c r="CI878"/>
      <c r="CJ878"/>
      <c r="CK878"/>
      <c r="CL878"/>
      <c r="CM878"/>
      <c r="CN878"/>
      <c r="CO878"/>
      <c r="CP878"/>
      <c r="CQ878"/>
      <c r="CR878"/>
      <c r="CS878"/>
      <c r="CT878"/>
      <c r="CU878"/>
      <c r="CV878"/>
      <c r="CW878"/>
      <c r="CX878"/>
      <c r="CY878"/>
      <c r="CZ878"/>
      <c r="DA878"/>
      <c r="DB878"/>
      <c r="DC878"/>
      <c r="DD878"/>
      <c r="DE878"/>
      <c r="DF878"/>
      <c r="DG878"/>
      <c r="DH878"/>
      <c r="DI878"/>
      <c r="DJ878"/>
      <c r="DK878"/>
      <c r="DL878"/>
      <c r="DM878"/>
      <c r="DN878"/>
      <c r="DO878"/>
      <c r="DP878"/>
      <c r="DQ878"/>
      <c r="DR878"/>
      <c r="DS878"/>
      <c r="DT878"/>
      <c r="DU878"/>
      <c r="DV878"/>
      <c r="DW878"/>
      <c r="DX878"/>
      <c r="DY878"/>
      <c r="DZ878"/>
      <c r="EA878"/>
      <c r="EB878"/>
      <c r="EC878"/>
      <c r="ED878"/>
      <c r="EE878"/>
      <c r="EF878"/>
      <c r="EG878"/>
      <c r="EH878"/>
      <c r="EI878"/>
      <c r="EJ878"/>
      <c r="EK878"/>
      <c r="EL878"/>
      <c r="EM878"/>
      <c r="EN878"/>
      <c r="EO878"/>
      <c r="EP878"/>
      <c r="EQ878"/>
      <c r="ER878"/>
      <c r="ES878"/>
      <c r="ET878"/>
      <c r="EU878"/>
      <c r="EV878"/>
      <c r="EW878"/>
      <c r="EX878"/>
      <c r="EY878"/>
      <c r="EZ878"/>
      <c r="FA878"/>
      <c r="FB878"/>
      <c r="FC878"/>
      <c r="FD878"/>
      <c r="FE878"/>
      <c r="FF878"/>
      <c r="FG878"/>
      <c r="FH878"/>
      <c r="FI878"/>
      <c r="FJ878"/>
      <c r="FK878"/>
      <c r="FL878"/>
      <c r="FM878"/>
      <c r="FN878"/>
      <c r="FO878"/>
      <c r="FP878"/>
      <c r="FQ878"/>
      <c r="FR878"/>
      <c r="FS878"/>
      <c r="FT878"/>
      <c r="FU878"/>
      <c r="FV878"/>
      <c r="FW878"/>
      <c r="FX878"/>
      <c r="FY878"/>
      <c r="FZ878"/>
      <c r="GA878"/>
      <c r="GB878"/>
      <c r="GC878"/>
      <c r="GD878"/>
      <c r="GE878"/>
      <c r="GF878"/>
      <c r="GG878"/>
      <c r="GH878"/>
      <c r="GI878"/>
      <c r="GJ878"/>
      <c r="GK878"/>
      <c r="GL878"/>
      <c r="GM878"/>
      <c r="GN878"/>
      <c r="GO878"/>
      <c r="GP878"/>
      <c r="GQ878"/>
      <c r="GR878"/>
      <c r="GS878"/>
      <c r="GT878"/>
      <c r="GU878"/>
      <c r="GV878"/>
      <c r="GW878"/>
      <c r="GX878"/>
      <c r="GY878"/>
      <c r="GZ878"/>
      <c r="HA878"/>
      <c r="HB878"/>
      <c r="HC878"/>
      <c r="HD878"/>
      <c r="HE878"/>
      <c r="HF878"/>
      <c r="HG878"/>
      <c r="HH878"/>
      <c r="HI878"/>
      <c r="HJ878"/>
      <c r="HK878"/>
      <c r="HL878"/>
      <c r="HM878"/>
      <c r="HN878"/>
      <c r="HO878"/>
      <c r="HP878"/>
      <c r="HQ878"/>
      <c r="HR878"/>
      <c r="HS878"/>
      <c r="HT878"/>
      <c r="HU878"/>
      <c r="HV878"/>
      <c r="HW878"/>
      <c r="HX878"/>
      <c r="HY878"/>
      <c r="HZ878"/>
      <c r="IA878"/>
      <c r="IB878"/>
      <c r="IC878"/>
      <c r="ID878"/>
      <c r="IE878"/>
      <c r="IF878"/>
      <c r="IG878"/>
      <c r="IH878"/>
      <c r="II878"/>
      <c r="IJ878"/>
      <c r="IK878"/>
      <c r="IL878"/>
      <c r="IM878"/>
      <c r="IN878"/>
      <c r="IO878"/>
      <c r="IP878"/>
      <c r="IQ878"/>
      <c r="IR878"/>
      <c r="IS878"/>
      <c r="IT878"/>
      <c r="IU878"/>
      <c r="IV878"/>
    </row>
    <row r="879" spans="1:256" ht="12.75" hidden="1" customHeight="1" x14ac:dyDescent="0.2">
      <c r="A879" s="551">
        <v>6171</v>
      </c>
      <c r="B879" s="651" t="s">
        <v>975</v>
      </c>
      <c r="C879" s="555">
        <f>SUM(C880:C883)</f>
        <v>910000</v>
      </c>
      <c r="D879" s="581">
        <f>SUM(D880:D883)</f>
        <v>912000</v>
      </c>
      <c r="E879" s="581">
        <f>SUM(E880:E883)</f>
        <v>592000</v>
      </c>
      <c r="F879" s="582">
        <f>SUM(F880:F883)</f>
        <v>217174.47</v>
      </c>
      <c r="G879" s="555">
        <f>SUM(G880:G884)</f>
        <v>2550000</v>
      </c>
      <c r="H879"/>
      <c r="I879"/>
      <c r="J879"/>
      <c r="K879"/>
      <c r="L879"/>
      <c r="M879"/>
      <c r="N879"/>
      <c r="O879"/>
      <c r="P879"/>
      <c r="Q879"/>
      <c r="R879"/>
      <c r="S879"/>
      <c r="T879"/>
      <c r="U879"/>
      <c r="V879"/>
      <c r="W879"/>
      <c r="X879"/>
      <c r="Y879"/>
      <c r="Z879"/>
      <c r="AA879"/>
      <c r="AB879"/>
      <c r="AC879"/>
      <c r="AD879"/>
      <c r="AE879"/>
      <c r="AF879"/>
      <c r="AG879"/>
      <c r="AH879"/>
      <c r="AI879"/>
      <c r="AJ879"/>
      <c r="AK879"/>
      <c r="AL879"/>
      <c r="AM879"/>
      <c r="AN879"/>
      <c r="AO879"/>
      <c r="AP879"/>
      <c r="AQ879"/>
      <c r="AR879"/>
      <c r="AS879"/>
      <c r="AT879"/>
      <c r="AU879"/>
      <c r="AV879"/>
      <c r="AW879"/>
      <c r="AX879"/>
      <c r="AY879"/>
      <c r="AZ879"/>
      <c r="BA879"/>
      <c r="BB879"/>
      <c r="BC879"/>
      <c r="BD879"/>
      <c r="BE879"/>
      <c r="BF879"/>
      <c r="BG879"/>
      <c r="BH879"/>
      <c r="BI879"/>
      <c r="BJ879"/>
      <c r="BK879"/>
      <c r="BL879"/>
      <c r="BM879"/>
      <c r="BN879"/>
      <c r="BO879"/>
      <c r="BP879"/>
      <c r="BQ879"/>
      <c r="BR879"/>
      <c r="BS879"/>
      <c r="BT879"/>
      <c r="BU879"/>
      <c r="BV879"/>
      <c r="BW879"/>
      <c r="BX879"/>
      <c r="BY879"/>
      <c r="BZ879"/>
      <c r="CA879"/>
      <c r="CB879"/>
      <c r="CC879"/>
      <c r="CD879"/>
      <c r="CE879"/>
      <c r="CF879"/>
      <c r="CG879"/>
      <c r="CH879"/>
      <c r="CI879"/>
      <c r="CJ879"/>
      <c r="CK879"/>
      <c r="CL879"/>
      <c r="CM879"/>
      <c r="CN879"/>
      <c r="CO879"/>
      <c r="CP879"/>
      <c r="CQ879"/>
      <c r="CR879"/>
      <c r="CS879"/>
      <c r="CT879"/>
      <c r="CU879"/>
      <c r="CV879"/>
      <c r="CW879"/>
      <c r="CX879"/>
      <c r="CY879"/>
      <c r="CZ879"/>
      <c r="DA879"/>
      <c r="DB879"/>
      <c r="DC879"/>
      <c r="DD879"/>
      <c r="DE879"/>
      <c r="DF879"/>
      <c r="DG879"/>
      <c r="DH879"/>
      <c r="DI879"/>
      <c r="DJ879"/>
      <c r="DK879"/>
      <c r="DL879"/>
      <c r="DM879"/>
      <c r="DN879"/>
      <c r="DO879"/>
      <c r="DP879"/>
      <c r="DQ879"/>
      <c r="DR879"/>
      <c r="DS879"/>
      <c r="DT879"/>
      <c r="DU879"/>
      <c r="DV879"/>
      <c r="DW879"/>
      <c r="DX879"/>
      <c r="DY879"/>
      <c r="DZ879"/>
      <c r="EA879"/>
      <c r="EB879"/>
      <c r="EC879"/>
      <c r="ED879"/>
      <c r="EE879"/>
      <c r="EF879"/>
      <c r="EG879"/>
      <c r="EH879"/>
      <c r="EI879"/>
      <c r="EJ879"/>
      <c r="EK879"/>
      <c r="EL879"/>
      <c r="EM879"/>
      <c r="EN879"/>
      <c r="EO879"/>
      <c r="EP879"/>
      <c r="EQ879"/>
      <c r="ER879"/>
      <c r="ES879"/>
      <c r="ET879"/>
      <c r="EU879"/>
      <c r="EV879"/>
      <c r="EW879"/>
      <c r="EX879"/>
      <c r="EY879"/>
      <c r="EZ879"/>
      <c r="FA879"/>
      <c r="FB879"/>
      <c r="FC879"/>
      <c r="FD879"/>
      <c r="FE879"/>
      <c r="FF879"/>
      <c r="FG879"/>
      <c r="FH879"/>
      <c r="FI879"/>
      <c r="FJ879"/>
      <c r="FK879"/>
      <c r="FL879"/>
      <c r="FM879"/>
      <c r="FN879"/>
      <c r="FO879"/>
      <c r="FP879"/>
      <c r="FQ879"/>
      <c r="FR879"/>
      <c r="FS879"/>
      <c r="FT879"/>
      <c r="FU879"/>
      <c r="FV879"/>
      <c r="FW879"/>
      <c r="FX879"/>
      <c r="FY879"/>
      <c r="FZ879"/>
      <c r="GA879"/>
      <c r="GB879"/>
      <c r="GC879"/>
      <c r="GD879"/>
      <c r="GE879"/>
      <c r="GF879"/>
      <c r="GG879"/>
      <c r="GH879"/>
      <c r="GI879"/>
      <c r="GJ879"/>
      <c r="GK879"/>
      <c r="GL879"/>
      <c r="GM879"/>
      <c r="GN879"/>
      <c r="GO879"/>
      <c r="GP879"/>
      <c r="GQ879"/>
      <c r="GR879"/>
      <c r="GS879"/>
      <c r="GT879"/>
      <c r="GU879"/>
      <c r="GV879"/>
      <c r="GW879"/>
      <c r="GX879"/>
      <c r="GY879"/>
      <c r="GZ879"/>
      <c r="HA879"/>
      <c r="HB879"/>
      <c r="HC879"/>
      <c r="HD879"/>
      <c r="HE879"/>
      <c r="HF879"/>
      <c r="HG879"/>
      <c r="HH879"/>
      <c r="HI879"/>
      <c r="HJ879"/>
      <c r="HK879"/>
      <c r="HL879"/>
      <c r="HM879"/>
      <c r="HN879"/>
      <c r="HO879"/>
      <c r="HP879"/>
      <c r="HQ879"/>
      <c r="HR879"/>
      <c r="HS879"/>
      <c r="HT879"/>
      <c r="HU879"/>
      <c r="HV879"/>
      <c r="HW879"/>
      <c r="HX879"/>
      <c r="HY879"/>
      <c r="HZ879"/>
      <c r="IA879"/>
      <c r="IB879"/>
      <c r="IC879"/>
      <c r="ID879"/>
      <c r="IE879"/>
      <c r="IF879"/>
      <c r="IG879"/>
      <c r="IH879"/>
      <c r="II879"/>
      <c r="IJ879"/>
      <c r="IK879"/>
      <c r="IL879"/>
      <c r="IM879"/>
      <c r="IN879"/>
      <c r="IO879"/>
      <c r="IP879"/>
      <c r="IQ879"/>
      <c r="IR879"/>
      <c r="IS879"/>
      <c r="IT879"/>
      <c r="IU879"/>
      <c r="IV879"/>
    </row>
    <row r="880" spans="1:256" ht="12.75" hidden="1" customHeight="1" x14ac:dyDescent="0.2">
      <c r="A880" s="583"/>
      <c r="B880" s="584" t="s">
        <v>976</v>
      </c>
      <c r="C880" s="560">
        <f>20000+220000</f>
        <v>240000</v>
      </c>
      <c r="D880" s="591">
        <v>140000</v>
      </c>
      <c r="E880" s="593">
        <v>20000</v>
      </c>
      <c r="F880" s="580">
        <v>2000</v>
      </c>
      <c r="G880" s="127">
        <v>50000</v>
      </c>
      <c r="H880"/>
      <c r="I880"/>
      <c r="J880"/>
      <c r="K880"/>
      <c r="L880"/>
      <c r="M880"/>
      <c r="N880"/>
      <c r="O880"/>
      <c r="P880"/>
      <c r="Q880"/>
      <c r="R880"/>
      <c r="S880"/>
      <c r="T880"/>
      <c r="U880"/>
      <c r="V880"/>
      <c r="W880"/>
      <c r="X880"/>
      <c r="Y880"/>
      <c r="Z880"/>
      <c r="AA880"/>
      <c r="AB880"/>
      <c r="AC880"/>
      <c r="AD880"/>
      <c r="AE880"/>
      <c r="AF880"/>
      <c r="AG880"/>
      <c r="AH880"/>
      <c r="AI880"/>
      <c r="AJ880"/>
      <c r="AK880"/>
      <c r="AL880"/>
      <c r="AM880"/>
      <c r="AN880"/>
      <c r="AO880"/>
      <c r="AP880"/>
      <c r="AQ880"/>
      <c r="AR880"/>
      <c r="AS880"/>
      <c r="AT880"/>
      <c r="AU880"/>
      <c r="AV880"/>
      <c r="AW880"/>
      <c r="AX880"/>
      <c r="AY880"/>
      <c r="AZ880"/>
      <c r="BA880"/>
      <c r="BB880"/>
      <c r="BC880"/>
      <c r="BD880"/>
      <c r="BE880"/>
      <c r="BF880"/>
      <c r="BG880"/>
      <c r="BH880"/>
      <c r="BI880"/>
      <c r="BJ880"/>
      <c r="BK880"/>
      <c r="BL880"/>
      <c r="BM880"/>
      <c r="BN880"/>
      <c r="BO880"/>
      <c r="BP880"/>
      <c r="BQ880"/>
      <c r="BR880"/>
      <c r="BS880"/>
      <c r="BT880"/>
      <c r="BU880"/>
      <c r="BV880"/>
      <c r="BW880"/>
      <c r="BX880"/>
      <c r="BY880"/>
      <c r="BZ880"/>
      <c r="CA880"/>
      <c r="CB880"/>
      <c r="CC880"/>
      <c r="CD880"/>
      <c r="CE880"/>
      <c r="CF880"/>
      <c r="CG880"/>
      <c r="CH880"/>
      <c r="CI880"/>
      <c r="CJ880"/>
      <c r="CK880"/>
      <c r="CL880"/>
      <c r="CM880"/>
      <c r="CN880"/>
      <c r="CO880"/>
      <c r="CP880"/>
      <c r="CQ880"/>
      <c r="CR880"/>
      <c r="CS880"/>
      <c r="CT880"/>
      <c r="CU880"/>
      <c r="CV880"/>
      <c r="CW880"/>
      <c r="CX880"/>
      <c r="CY880"/>
      <c r="CZ880"/>
      <c r="DA880"/>
      <c r="DB880"/>
      <c r="DC880"/>
      <c r="DD880"/>
      <c r="DE880"/>
      <c r="DF880"/>
      <c r="DG880"/>
      <c r="DH880"/>
      <c r="DI880"/>
      <c r="DJ880"/>
      <c r="DK880"/>
      <c r="DL880"/>
      <c r="DM880"/>
      <c r="DN880"/>
      <c r="DO880"/>
      <c r="DP880"/>
      <c r="DQ880"/>
      <c r="DR880"/>
      <c r="DS880"/>
      <c r="DT880"/>
      <c r="DU880"/>
      <c r="DV880"/>
      <c r="DW880"/>
      <c r="DX880"/>
      <c r="DY880"/>
      <c r="DZ880"/>
      <c r="EA880"/>
      <c r="EB880"/>
      <c r="EC880"/>
      <c r="ED880"/>
      <c r="EE880"/>
      <c r="EF880"/>
      <c r="EG880"/>
      <c r="EH880"/>
      <c r="EI880"/>
      <c r="EJ880"/>
      <c r="EK880"/>
      <c r="EL880"/>
      <c r="EM880"/>
      <c r="EN880"/>
      <c r="EO880"/>
      <c r="EP880"/>
      <c r="EQ880"/>
      <c r="ER880"/>
      <c r="ES880"/>
      <c r="ET880"/>
      <c r="EU880"/>
      <c r="EV880"/>
      <c r="EW880"/>
      <c r="EX880"/>
      <c r="EY880"/>
      <c r="EZ880"/>
      <c r="FA880"/>
      <c r="FB880"/>
      <c r="FC880"/>
      <c r="FD880"/>
      <c r="FE880"/>
      <c r="FF880"/>
      <c r="FG880"/>
      <c r="FH880"/>
      <c r="FI880"/>
      <c r="FJ880"/>
      <c r="FK880"/>
      <c r="FL880"/>
      <c r="FM880"/>
      <c r="FN880"/>
      <c r="FO880"/>
      <c r="FP880"/>
      <c r="FQ880"/>
      <c r="FR880"/>
      <c r="FS880"/>
      <c r="FT880"/>
      <c r="FU880"/>
      <c r="FV880"/>
      <c r="FW880"/>
      <c r="FX880"/>
      <c r="FY880"/>
      <c r="FZ880"/>
      <c r="GA880"/>
      <c r="GB880"/>
      <c r="GC880"/>
      <c r="GD880"/>
      <c r="GE880"/>
      <c r="GF880"/>
      <c r="GG880"/>
      <c r="GH880"/>
      <c r="GI880"/>
      <c r="GJ880"/>
      <c r="GK880"/>
      <c r="GL880"/>
      <c r="GM880"/>
      <c r="GN880"/>
      <c r="GO880"/>
      <c r="GP880"/>
      <c r="GQ880"/>
      <c r="GR880"/>
      <c r="GS880"/>
      <c r="GT880"/>
      <c r="GU880"/>
      <c r="GV880"/>
      <c r="GW880"/>
      <c r="GX880"/>
      <c r="GY880"/>
      <c r="GZ880"/>
      <c r="HA880"/>
      <c r="HB880"/>
      <c r="HC880"/>
      <c r="HD880"/>
      <c r="HE880"/>
      <c r="HF880"/>
      <c r="HG880"/>
      <c r="HH880"/>
      <c r="HI880"/>
      <c r="HJ880"/>
      <c r="HK880"/>
      <c r="HL880"/>
      <c r="HM880"/>
      <c r="HN880"/>
      <c r="HO880"/>
      <c r="HP880"/>
      <c r="HQ880"/>
      <c r="HR880"/>
      <c r="HS880"/>
      <c r="HT880"/>
      <c r="HU880"/>
      <c r="HV880"/>
      <c r="HW880"/>
      <c r="HX880"/>
      <c r="HY880"/>
      <c r="HZ880"/>
      <c r="IA880"/>
      <c r="IB880"/>
      <c r="IC880"/>
      <c r="ID880"/>
      <c r="IE880"/>
      <c r="IF880"/>
      <c r="IG880"/>
      <c r="IH880"/>
      <c r="II880"/>
      <c r="IJ880"/>
      <c r="IK880"/>
      <c r="IL880"/>
      <c r="IM880"/>
      <c r="IN880"/>
      <c r="IO880"/>
      <c r="IP880"/>
      <c r="IQ880"/>
      <c r="IR880"/>
      <c r="IS880"/>
      <c r="IT880"/>
      <c r="IU880"/>
      <c r="IV880"/>
    </row>
    <row r="881" spans="1:256" ht="12.75" hidden="1" customHeight="1" x14ac:dyDescent="0.2">
      <c r="A881" s="657"/>
      <c r="B881" s="584" t="s">
        <v>977</v>
      </c>
      <c r="C881" s="560">
        <v>70000</v>
      </c>
      <c r="D881" s="591">
        <v>172000</v>
      </c>
      <c r="E881" s="593">
        <v>172000</v>
      </c>
      <c r="F881" s="580">
        <v>215174.47</v>
      </c>
      <c r="G881" s="127">
        <v>0</v>
      </c>
      <c r="H881"/>
      <c r="I881"/>
      <c r="J881"/>
      <c r="K881"/>
      <c r="L881"/>
      <c r="M881"/>
      <c r="N881"/>
      <c r="O881"/>
      <c r="P881"/>
      <c r="Q881"/>
      <c r="R881"/>
      <c r="S881"/>
      <c r="T881"/>
      <c r="U881"/>
      <c r="V881"/>
      <c r="W881"/>
      <c r="X881"/>
      <c r="Y881"/>
      <c r="Z881"/>
      <c r="AA881"/>
      <c r="AB881"/>
      <c r="AC881"/>
      <c r="AD881"/>
      <c r="AE881"/>
      <c r="AF881"/>
      <c r="AG881"/>
      <c r="AH881"/>
      <c r="AI881"/>
      <c r="AJ881"/>
      <c r="AK881"/>
      <c r="AL881"/>
      <c r="AM881"/>
      <c r="AN881"/>
      <c r="AO881"/>
      <c r="AP881"/>
      <c r="AQ881"/>
      <c r="AR881"/>
      <c r="AS881"/>
      <c r="AT881"/>
      <c r="AU881"/>
      <c r="AV881"/>
      <c r="AW881"/>
      <c r="AX881"/>
      <c r="AY881"/>
      <c r="AZ881"/>
      <c r="BA881"/>
      <c r="BB881"/>
      <c r="BC881"/>
      <c r="BD881"/>
      <c r="BE881"/>
      <c r="BF881"/>
      <c r="BG881"/>
      <c r="BH881"/>
      <c r="BI881"/>
      <c r="BJ881"/>
      <c r="BK881"/>
      <c r="BL881"/>
      <c r="BM881"/>
      <c r="BN881"/>
      <c r="BO881"/>
      <c r="BP881"/>
      <c r="BQ881"/>
      <c r="BR881"/>
      <c r="BS881"/>
      <c r="BT881"/>
      <c r="BU881"/>
      <c r="BV881"/>
      <c r="BW881"/>
      <c r="BX881"/>
      <c r="BY881"/>
      <c r="BZ881"/>
      <c r="CA881"/>
      <c r="CB881"/>
      <c r="CC881"/>
      <c r="CD881"/>
      <c r="CE881"/>
      <c r="CF881"/>
      <c r="CG881"/>
      <c r="CH881"/>
      <c r="CI881"/>
      <c r="CJ881"/>
      <c r="CK881"/>
      <c r="CL881"/>
      <c r="CM881"/>
      <c r="CN881"/>
      <c r="CO881"/>
      <c r="CP881"/>
      <c r="CQ881"/>
      <c r="CR881"/>
      <c r="CS881"/>
      <c r="CT881"/>
      <c r="CU881"/>
      <c r="CV881"/>
      <c r="CW881"/>
      <c r="CX881"/>
      <c r="CY881"/>
      <c r="CZ881"/>
      <c r="DA881"/>
      <c r="DB881"/>
      <c r="DC881"/>
      <c r="DD881"/>
      <c r="DE881"/>
      <c r="DF881"/>
      <c r="DG881"/>
      <c r="DH881"/>
      <c r="DI881"/>
      <c r="DJ881"/>
      <c r="DK881"/>
      <c r="DL881"/>
      <c r="DM881"/>
      <c r="DN881"/>
      <c r="DO881"/>
      <c r="DP881"/>
      <c r="DQ881"/>
      <c r="DR881"/>
      <c r="DS881"/>
      <c r="DT881"/>
      <c r="DU881"/>
      <c r="DV881"/>
      <c r="DW881"/>
      <c r="DX881"/>
      <c r="DY881"/>
      <c r="DZ881"/>
      <c r="EA881"/>
      <c r="EB881"/>
      <c r="EC881"/>
      <c r="ED881"/>
      <c r="EE881"/>
      <c r="EF881"/>
      <c r="EG881"/>
      <c r="EH881"/>
      <c r="EI881"/>
      <c r="EJ881"/>
      <c r="EK881"/>
      <c r="EL881"/>
      <c r="EM881"/>
      <c r="EN881"/>
      <c r="EO881"/>
      <c r="EP881"/>
      <c r="EQ881"/>
      <c r="ER881"/>
      <c r="ES881"/>
      <c r="ET881"/>
      <c r="EU881"/>
      <c r="EV881"/>
      <c r="EW881"/>
      <c r="EX881"/>
      <c r="EY881"/>
      <c r="EZ881"/>
      <c r="FA881"/>
      <c r="FB881"/>
      <c r="FC881"/>
      <c r="FD881"/>
      <c r="FE881"/>
      <c r="FF881"/>
      <c r="FG881"/>
      <c r="FH881"/>
      <c r="FI881"/>
      <c r="FJ881"/>
      <c r="FK881"/>
      <c r="FL881"/>
      <c r="FM881"/>
      <c r="FN881"/>
      <c r="FO881"/>
      <c r="FP881"/>
      <c r="FQ881"/>
      <c r="FR881"/>
      <c r="FS881"/>
      <c r="FT881"/>
      <c r="FU881"/>
      <c r="FV881"/>
      <c r="FW881"/>
      <c r="FX881"/>
      <c r="FY881"/>
      <c r="FZ881"/>
      <c r="GA881"/>
      <c r="GB881"/>
      <c r="GC881"/>
      <c r="GD881"/>
      <c r="GE881"/>
      <c r="GF881"/>
      <c r="GG881"/>
      <c r="GH881"/>
      <c r="GI881"/>
      <c r="GJ881"/>
      <c r="GK881"/>
      <c r="GL881"/>
      <c r="GM881"/>
      <c r="GN881"/>
      <c r="GO881"/>
      <c r="GP881"/>
      <c r="GQ881"/>
      <c r="GR881"/>
      <c r="GS881"/>
      <c r="GT881"/>
      <c r="GU881"/>
      <c r="GV881"/>
      <c r="GW881"/>
      <c r="GX881"/>
      <c r="GY881"/>
      <c r="GZ881"/>
      <c r="HA881"/>
      <c r="HB881"/>
      <c r="HC881"/>
      <c r="HD881"/>
      <c r="HE881"/>
      <c r="HF881"/>
      <c r="HG881"/>
      <c r="HH881"/>
      <c r="HI881"/>
      <c r="HJ881"/>
      <c r="HK881"/>
      <c r="HL881"/>
      <c r="HM881"/>
      <c r="HN881"/>
      <c r="HO881"/>
      <c r="HP881"/>
      <c r="HQ881"/>
      <c r="HR881"/>
      <c r="HS881"/>
      <c r="HT881"/>
      <c r="HU881"/>
      <c r="HV881"/>
      <c r="HW881"/>
      <c r="HX881"/>
      <c r="HY881"/>
      <c r="HZ881"/>
      <c r="IA881"/>
      <c r="IB881"/>
      <c r="IC881"/>
      <c r="ID881"/>
      <c r="IE881"/>
      <c r="IF881"/>
      <c r="IG881"/>
      <c r="IH881"/>
      <c r="II881"/>
      <c r="IJ881"/>
      <c r="IK881"/>
      <c r="IL881"/>
      <c r="IM881"/>
      <c r="IN881"/>
      <c r="IO881"/>
      <c r="IP881"/>
      <c r="IQ881"/>
      <c r="IR881"/>
      <c r="IS881"/>
      <c r="IT881"/>
      <c r="IU881"/>
      <c r="IV881"/>
    </row>
    <row r="882" spans="1:256" ht="12.75" hidden="1" customHeight="1" x14ac:dyDescent="0.2">
      <c r="A882" s="657"/>
      <c r="B882" s="586" t="s">
        <v>978</v>
      </c>
      <c r="C882" s="560">
        <v>600000</v>
      </c>
      <c r="D882" s="562">
        <v>600000</v>
      </c>
      <c r="E882" s="579">
        <v>400000</v>
      </c>
      <c r="F882" s="580">
        <v>0</v>
      </c>
      <c r="G882" s="127">
        <v>2000000</v>
      </c>
      <c r="H882"/>
      <c r="I882"/>
      <c r="J882"/>
      <c r="K882"/>
      <c r="L882"/>
      <c r="M882"/>
      <c r="N882"/>
      <c r="O882"/>
      <c r="P882"/>
      <c r="Q882"/>
      <c r="R882"/>
      <c r="S882"/>
      <c r="T882"/>
      <c r="U882"/>
      <c r="V882"/>
      <c r="W882"/>
      <c r="X882"/>
      <c r="Y882"/>
      <c r="Z882"/>
      <c r="AA882"/>
      <c r="AB882"/>
      <c r="AC882"/>
      <c r="AD882"/>
      <c r="AE882"/>
      <c r="AF882"/>
      <c r="AG882"/>
      <c r="AH882"/>
      <c r="AI882"/>
      <c r="AJ882"/>
      <c r="AK882"/>
      <c r="AL882"/>
      <c r="AM882"/>
      <c r="AN882"/>
      <c r="AO882"/>
      <c r="AP882"/>
      <c r="AQ882"/>
      <c r="AR882"/>
      <c r="AS882"/>
      <c r="AT882"/>
      <c r="AU882"/>
      <c r="AV882"/>
      <c r="AW882"/>
      <c r="AX882"/>
      <c r="AY882"/>
      <c r="AZ882"/>
      <c r="BA882"/>
      <c r="BB882"/>
      <c r="BC882"/>
      <c r="BD882"/>
      <c r="BE882"/>
      <c r="BF882"/>
      <c r="BG882"/>
      <c r="BH882"/>
      <c r="BI882"/>
      <c r="BJ882"/>
      <c r="BK882"/>
      <c r="BL882"/>
      <c r="BM882"/>
      <c r="BN882"/>
      <c r="BO882"/>
      <c r="BP882"/>
      <c r="BQ882"/>
      <c r="BR882"/>
      <c r="BS882"/>
      <c r="BT882"/>
      <c r="BU882"/>
      <c r="BV882"/>
      <c r="BW882"/>
      <c r="BX882"/>
      <c r="BY882"/>
      <c r="BZ882"/>
      <c r="CA882"/>
      <c r="CB882"/>
      <c r="CC882"/>
      <c r="CD882"/>
      <c r="CE882"/>
      <c r="CF882"/>
      <c r="CG882"/>
      <c r="CH882"/>
      <c r="CI882"/>
      <c r="CJ882"/>
      <c r="CK882"/>
      <c r="CL882"/>
      <c r="CM882"/>
      <c r="CN882"/>
      <c r="CO882"/>
      <c r="CP882"/>
      <c r="CQ882"/>
      <c r="CR882"/>
      <c r="CS882"/>
      <c r="CT882"/>
      <c r="CU882"/>
      <c r="CV882"/>
      <c r="CW882"/>
      <c r="CX882"/>
      <c r="CY882"/>
      <c r="CZ882"/>
      <c r="DA882"/>
      <c r="DB882"/>
      <c r="DC882"/>
      <c r="DD882"/>
      <c r="DE882"/>
      <c r="DF882"/>
      <c r="DG882"/>
      <c r="DH882"/>
      <c r="DI882"/>
      <c r="DJ882"/>
      <c r="DK882"/>
      <c r="DL882"/>
      <c r="DM882"/>
      <c r="DN882"/>
      <c r="DO882"/>
      <c r="DP882"/>
      <c r="DQ882"/>
      <c r="DR882"/>
      <c r="DS882"/>
      <c r="DT882"/>
      <c r="DU882"/>
      <c r="DV882"/>
      <c r="DW882"/>
      <c r="DX882"/>
      <c r="DY882"/>
      <c r="DZ882"/>
      <c r="EA882"/>
      <c r="EB882"/>
      <c r="EC882"/>
      <c r="ED882"/>
      <c r="EE882"/>
      <c r="EF882"/>
      <c r="EG882"/>
      <c r="EH882"/>
      <c r="EI882"/>
      <c r="EJ882"/>
      <c r="EK882"/>
      <c r="EL882"/>
      <c r="EM882"/>
      <c r="EN882"/>
      <c r="EO882"/>
      <c r="EP882"/>
      <c r="EQ882"/>
      <c r="ER882"/>
      <c r="ES882"/>
      <c r="ET882"/>
      <c r="EU882"/>
      <c r="EV882"/>
      <c r="EW882"/>
      <c r="EX882"/>
      <c r="EY882"/>
      <c r="EZ882"/>
      <c r="FA882"/>
      <c r="FB882"/>
      <c r="FC882"/>
      <c r="FD882"/>
      <c r="FE882"/>
      <c r="FF882"/>
      <c r="FG882"/>
      <c r="FH882"/>
      <c r="FI882"/>
      <c r="FJ882"/>
      <c r="FK882"/>
      <c r="FL882"/>
      <c r="FM882"/>
      <c r="FN882"/>
      <c r="FO882"/>
      <c r="FP882"/>
      <c r="FQ882"/>
      <c r="FR882"/>
      <c r="FS882"/>
      <c r="FT882"/>
      <c r="FU882"/>
      <c r="FV882"/>
      <c r="FW882"/>
      <c r="FX882"/>
      <c r="FY882"/>
      <c r="FZ882"/>
      <c r="GA882"/>
      <c r="GB882"/>
      <c r="GC882"/>
      <c r="GD882"/>
      <c r="GE882"/>
      <c r="GF882"/>
      <c r="GG882"/>
      <c r="GH882"/>
      <c r="GI882"/>
      <c r="GJ882"/>
      <c r="GK882"/>
      <c r="GL882"/>
      <c r="GM882"/>
      <c r="GN882"/>
      <c r="GO882"/>
      <c r="GP882"/>
      <c r="GQ882"/>
      <c r="GR882"/>
      <c r="GS882"/>
      <c r="GT882"/>
      <c r="GU882"/>
      <c r="GV882"/>
      <c r="GW882"/>
      <c r="GX882"/>
      <c r="GY882"/>
      <c r="GZ882"/>
      <c r="HA882"/>
      <c r="HB882"/>
      <c r="HC882"/>
      <c r="HD882"/>
      <c r="HE882"/>
      <c r="HF882"/>
      <c r="HG882"/>
      <c r="HH882"/>
      <c r="HI882"/>
      <c r="HJ882"/>
      <c r="HK882"/>
      <c r="HL882"/>
      <c r="HM882"/>
      <c r="HN882"/>
      <c r="HO882"/>
      <c r="HP882"/>
      <c r="HQ882"/>
      <c r="HR882"/>
      <c r="HS882"/>
      <c r="HT882"/>
      <c r="HU882"/>
      <c r="HV882"/>
      <c r="HW882"/>
      <c r="HX882"/>
      <c r="HY882"/>
      <c r="HZ882"/>
      <c r="IA882"/>
      <c r="IB882"/>
      <c r="IC882"/>
      <c r="ID882"/>
      <c r="IE882"/>
      <c r="IF882"/>
      <c r="IG882"/>
      <c r="IH882"/>
      <c r="II882"/>
      <c r="IJ882"/>
      <c r="IK882"/>
      <c r="IL882"/>
      <c r="IM882"/>
      <c r="IN882"/>
      <c r="IO882"/>
      <c r="IP882"/>
      <c r="IQ882"/>
      <c r="IR882"/>
      <c r="IS882"/>
      <c r="IT882"/>
      <c r="IU882"/>
      <c r="IV882"/>
    </row>
    <row r="883" spans="1:256" ht="12.75" hidden="1" customHeight="1" x14ac:dyDescent="0.2">
      <c r="A883" s="583"/>
      <c r="B883" s="586" t="s">
        <v>979</v>
      </c>
      <c r="C883" s="560">
        <v>0</v>
      </c>
      <c r="D883" s="562">
        <v>0</v>
      </c>
      <c r="E883" s="579">
        <v>0</v>
      </c>
      <c r="F883" s="580">
        <v>0</v>
      </c>
      <c r="G883" s="127">
        <v>300000</v>
      </c>
      <c r="H883"/>
      <c r="I883"/>
      <c r="J883"/>
      <c r="K883"/>
      <c r="L883"/>
      <c r="M883"/>
      <c r="N883"/>
      <c r="O883"/>
      <c r="P883"/>
      <c r="Q883"/>
      <c r="R883"/>
      <c r="S883"/>
      <c r="T883"/>
      <c r="U883"/>
      <c r="V883"/>
      <c r="W883"/>
      <c r="X883"/>
      <c r="Y883"/>
      <c r="Z883"/>
      <c r="AA883"/>
      <c r="AB883"/>
      <c r="AC883"/>
      <c r="AD883"/>
      <c r="AE883"/>
      <c r="AF883"/>
      <c r="AG883"/>
      <c r="AH883"/>
      <c r="AI883"/>
      <c r="AJ883"/>
      <c r="AK883"/>
      <c r="AL883"/>
      <c r="AM883"/>
      <c r="AN883"/>
      <c r="AO883"/>
      <c r="AP883"/>
      <c r="AQ883"/>
      <c r="AR883"/>
      <c r="AS883"/>
      <c r="AT883"/>
      <c r="AU883"/>
      <c r="AV883"/>
      <c r="AW883"/>
      <c r="AX883"/>
      <c r="AY883"/>
      <c r="AZ883"/>
      <c r="BA883"/>
      <c r="BB883"/>
      <c r="BC883"/>
      <c r="BD883"/>
      <c r="BE883"/>
      <c r="BF883"/>
      <c r="BG883"/>
      <c r="BH883"/>
      <c r="BI883"/>
      <c r="BJ883"/>
      <c r="BK883"/>
      <c r="BL883"/>
      <c r="BM883"/>
      <c r="BN883"/>
      <c r="BO883"/>
      <c r="BP883"/>
      <c r="BQ883"/>
      <c r="BR883"/>
      <c r="BS883"/>
      <c r="BT883"/>
      <c r="BU883"/>
      <c r="BV883"/>
      <c r="BW883"/>
      <c r="BX883"/>
      <c r="BY883"/>
      <c r="BZ883"/>
      <c r="CA883"/>
      <c r="CB883"/>
      <c r="CC883"/>
      <c r="CD883"/>
      <c r="CE883"/>
      <c r="CF883"/>
      <c r="CG883"/>
      <c r="CH883"/>
      <c r="CI883"/>
      <c r="CJ883"/>
      <c r="CK883"/>
      <c r="CL883"/>
      <c r="CM883"/>
      <c r="CN883"/>
      <c r="CO883"/>
      <c r="CP883"/>
      <c r="CQ883"/>
      <c r="CR883"/>
      <c r="CS883"/>
      <c r="CT883"/>
      <c r="CU883"/>
      <c r="CV883"/>
      <c r="CW883"/>
      <c r="CX883"/>
      <c r="CY883"/>
      <c r="CZ883"/>
      <c r="DA883"/>
      <c r="DB883"/>
      <c r="DC883"/>
      <c r="DD883"/>
      <c r="DE883"/>
      <c r="DF883"/>
      <c r="DG883"/>
      <c r="DH883"/>
      <c r="DI883"/>
      <c r="DJ883"/>
      <c r="DK883"/>
      <c r="DL883"/>
      <c r="DM883"/>
      <c r="DN883"/>
      <c r="DO883"/>
      <c r="DP883"/>
      <c r="DQ883"/>
      <c r="DR883"/>
      <c r="DS883"/>
      <c r="DT883"/>
      <c r="DU883"/>
      <c r="DV883"/>
      <c r="DW883"/>
      <c r="DX883"/>
      <c r="DY883"/>
      <c r="DZ883"/>
      <c r="EA883"/>
      <c r="EB883"/>
      <c r="EC883"/>
      <c r="ED883"/>
      <c r="EE883"/>
      <c r="EF883"/>
      <c r="EG883"/>
      <c r="EH883"/>
      <c r="EI883"/>
      <c r="EJ883"/>
      <c r="EK883"/>
      <c r="EL883"/>
      <c r="EM883"/>
      <c r="EN883"/>
      <c r="EO883"/>
      <c r="EP883"/>
      <c r="EQ883"/>
      <c r="ER883"/>
      <c r="ES883"/>
      <c r="ET883"/>
      <c r="EU883"/>
      <c r="EV883"/>
      <c r="EW883"/>
      <c r="EX883"/>
      <c r="EY883"/>
      <c r="EZ883"/>
      <c r="FA883"/>
      <c r="FB883"/>
      <c r="FC883"/>
      <c r="FD883"/>
      <c r="FE883"/>
      <c r="FF883"/>
      <c r="FG883"/>
      <c r="FH883"/>
      <c r="FI883"/>
      <c r="FJ883"/>
      <c r="FK883"/>
      <c r="FL883"/>
      <c r="FM883"/>
      <c r="FN883"/>
      <c r="FO883"/>
      <c r="FP883"/>
      <c r="FQ883"/>
      <c r="FR883"/>
      <c r="FS883"/>
      <c r="FT883"/>
      <c r="FU883"/>
      <c r="FV883"/>
      <c r="FW883"/>
      <c r="FX883"/>
      <c r="FY883"/>
      <c r="FZ883"/>
      <c r="GA883"/>
      <c r="GB883"/>
      <c r="GC883"/>
      <c r="GD883"/>
      <c r="GE883"/>
      <c r="GF883"/>
      <c r="GG883"/>
      <c r="GH883"/>
      <c r="GI883"/>
      <c r="GJ883"/>
      <c r="GK883"/>
      <c r="GL883"/>
      <c r="GM883"/>
      <c r="GN883"/>
      <c r="GO883"/>
      <c r="GP883"/>
      <c r="GQ883"/>
      <c r="GR883"/>
      <c r="GS883"/>
      <c r="GT883"/>
      <c r="GU883"/>
      <c r="GV883"/>
      <c r="GW883"/>
      <c r="GX883"/>
      <c r="GY883"/>
      <c r="GZ883"/>
      <c r="HA883"/>
      <c r="HB883"/>
      <c r="HC883"/>
      <c r="HD883"/>
      <c r="HE883"/>
      <c r="HF883"/>
      <c r="HG883"/>
      <c r="HH883"/>
      <c r="HI883"/>
      <c r="HJ883"/>
      <c r="HK883"/>
      <c r="HL883"/>
      <c r="HM883"/>
      <c r="HN883"/>
      <c r="HO883"/>
      <c r="HP883"/>
      <c r="HQ883"/>
      <c r="HR883"/>
      <c r="HS883"/>
      <c r="HT883"/>
      <c r="HU883"/>
      <c r="HV883"/>
      <c r="HW883"/>
      <c r="HX883"/>
      <c r="HY883"/>
      <c r="HZ883"/>
      <c r="IA883"/>
      <c r="IB883"/>
      <c r="IC883"/>
      <c r="ID883"/>
      <c r="IE883"/>
      <c r="IF883"/>
      <c r="IG883"/>
      <c r="IH883"/>
      <c r="II883"/>
      <c r="IJ883"/>
      <c r="IK883"/>
      <c r="IL883"/>
      <c r="IM883"/>
      <c r="IN883"/>
      <c r="IO883"/>
      <c r="IP883"/>
      <c r="IQ883"/>
      <c r="IR883"/>
      <c r="IS883"/>
      <c r="IT883"/>
      <c r="IU883"/>
      <c r="IV883"/>
    </row>
    <row r="884" spans="1:256" ht="12.75" hidden="1" customHeight="1" x14ac:dyDescent="0.2">
      <c r="A884" s="659"/>
      <c r="B884" s="618" t="s">
        <v>980</v>
      </c>
      <c r="C884" s="569">
        <v>0</v>
      </c>
      <c r="D884" s="562">
        <v>0</v>
      </c>
      <c r="E884" s="642">
        <v>0</v>
      </c>
      <c r="F884" s="580">
        <v>0</v>
      </c>
      <c r="G884" s="660">
        <v>200000</v>
      </c>
      <c r="H884"/>
      <c r="I884"/>
      <c r="J884"/>
      <c r="K884"/>
      <c r="L884"/>
      <c r="M884"/>
      <c r="N884"/>
      <c r="O884"/>
      <c r="P884"/>
      <c r="Q884"/>
      <c r="R884"/>
      <c r="S884"/>
      <c r="T884"/>
      <c r="U884"/>
      <c r="V884"/>
      <c r="W884"/>
      <c r="X884"/>
      <c r="Y884"/>
      <c r="Z884"/>
      <c r="AA884"/>
      <c r="AB884"/>
      <c r="AC884"/>
      <c r="AD884"/>
      <c r="AE884"/>
      <c r="AF884"/>
      <c r="AG884"/>
      <c r="AH884"/>
      <c r="AI884"/>
      <c r="AJ884"/>
      <c r="AK884"/>
      <c r="AL884"/>
      <c r="AM884"/>
      <c r="AN884"/>
      <c r="AO884"/>
      <c r="AP884"/>
      <c r="AQ884"/>
      <c r="AR884"/>
      <c r="AS884"/>
      <c r="AT884"/>
      <c r="AU884"/>
      <c r="AV884"/>
      <c r="AW884"/>
      <c r="AX884"/>
      <c r="AY884"/>
      <c r="AZ884"/>
      <c r="BA884"/>
      <c r="BB884"/>
      <c r="BC884"/>
      <c r="BD884"/>
      <c r="BE884"/>
      <c r="BF884"/>
      <c r="BG884"/>
      <c r="BH884"/>
      <c r="BI884"/>
      <c r="BJ884"/>
      <c r="BK884"/>
      <c r="BL884"/>
      <c r="BM884"/>
      <c r="BN884"/>
      <c r="BO884"/>
      <c r="BP884"/>
      <c r="BQ884"/>
      <c r="BR884"/>
      <c r="BS884"/>
      <c r="BT884"/>
      <c r="BU884"/>
      <c r="BV884"/>
      <c r="BW884"/>
      <c r="BX884"/>
      <c r="BY884"/>
      <c r="BZ884"/>
      <c r="CA884"/>
      <c r="CB884"/>
      <c r="CC884"/>
      <c r="CD884"/>
      <c r="CE884"/>
      <c r="CF884"/>
      <c r="CG884"/>
      <c r="CH884"/>
      <c r="CI884"/>
      <c r="CJ884"/>
      <c r="CK884"/>
      <c r="CL884"/>
      <c r="CM884"/>
      <c r="CN884"/>
      <c r="CO884"/>
      <c r="CP884"/>
      <c r="CQ884"/>
      <c r="CR884"/>
      <c r="CS884"/>
      <c r="CT884"/>
      <c r="CU884"/>
      <c r="CV884"/>
      <c r="CW884"/>
      <c r="CX884"/>
      <c r="CY884"/>
      <c r="CZ884"/>
      <c r="DA884"/>
      <c r="DB884"/>
      <c r="DC884"/>
      <c r="DD884"/>
      <c r="DE884"/>
      <c r="DF884"/>
      <c r="DG884"/>
      <c r="DH884"/>
      <c r="DI884"/>
      <c r="DJ884"/>
      <c r="DK884"/>
      <c r="DL884"/>
      <c r="DM884"/>
      <c r="DN884"/>
      <c r="DO884"/>
      <c r="DP884"/>
      <c r="DQ884"/>
      <c r="DR884"/>
      <c r="DS884"/>
      <c r="DT884"/>
      <c r="DU884"/>
      <c r="DV884"/>
      <c r="DW884"/>
      <c r="DX884"/>
      <c r="DY884"/>
      <c r="DZ884"/>
      <c r="EA884"/>
      <c r="EB884"/>
      <c r="EC884"/>
      <c r="ED884"/>
      <c r="EE884"/>
      <c r="EF884"/>
      <c r="EG884"/>
      <c r="EH884"/>
      <c r="EI884"/>
      <c r="EJ884"/>
      <c r="EK884"/>
      <c r="EL884"/>
      <c r="EM884"/>
      <c r="EN884"/>
      <c r="EO884"/>
      <c r="EP884"/>
      <c r="EQ884"/>
      <c r="ER884"/>
      <c r="ES884"/>
      <c r="ET884"/>
      <c r="EU884"/>
      <c r="EV884"/>
      <c r="EW884"/>
      <c r="EX884"/>
      <c r="EY884"/>
      <c r="EZ884"/>
      <c r="FA884"/>
      <c r="FB884"/>
      <c r="FC884"/>
      <c r="FD884"/>
      <c r="FE884"/>
      <c r="FF884"/>
      <c r="FG884"/>
      <c r="FH884"/>
      <c r="FI884"/>
      <c r="FJ884"/>
      <c r="FK884"/>
      <c r="FL884"/>
      <c r="FM884"/>
      <c r="FN884"/>
      <c r="FO884"/>
      <c r="FP884"/>
      <c r="FQ884"/>
      <c r="FR884"/>
      <c r="FS884"/>
      <c r="FT884"/>
      <c r="FU884"/>
      <c r="FV884"/>
      <c r="FW884"/>
      <c r="FX884"/>
      <c r="FY884"/>
      <c r="FZ884"/>
      <c r="GA884"/>
      <c r="GB884"/>
      <c r="GC884"/>
      <c r="GD884"/>
      <c r="GE884"/>
      <c r="GF884"/>
      <c r="GG884"/>
      <c r="GH884"/>
      <c r="GI884"/>
      <c r="GJ884"/>
      <c r="GK884"/>
      <c r="GL884"/>
      <c r="GM884"/>
      <c r="GN884"/>
      <c r="GO884"/>
      <c r="GP884"/>
      <c r="GQ884"/>
      <c r="GR884"/>
      <c r="GS884"/>
      <c r="GT884"/>
      <c r="GU884"/>
      <c r="GV884"/>
      <c r="GW884"/>
      <c r="GX884"/>
      <c r="GY884"/>
      <c r="GZ884"/>
      <c r="HA884"/>
      <c r="HB884"/>
      <c r="HC884"/>
      <c r="HD884"/>
      <c r="HE884"/>
      <c r="HF884"/>
      <c r="HG884"/>
      <c r="HH884"/>
      <c r="HI884"/>
      <c r="HJ884"/>
      <c r="HK884"/>
      <c r="HL884"/>
      <c r="HM884"/>
      <c r="HN884"/>
      <c r="HO884"/>
      <c r="HP884"/>
      <c r="HQ884"/>
      <c r="HR884"/>
      <c r="HS884"/>
      <c r="HT884"/>
      <c r="HU884"/>
      <c r="HV884"/>
      <c r="HW884"/>
      <c r="HX884"/>
      <c r="HY884"/>
      <c r="HZ884"/>
      <c r="IA884"/>
      <c r="IB884"/>
      <c r="IC884"/>
      <c r="ID884"/>
      <c r="IE884"/>
      <c r="IF884"/>
      <c r="IG884"/>
      <c r="IH884"/>
      <c r="II884"/>
      <c r="IJ884"/>
      <c r="IK884"/>
      <c r="IL884"/>
      <c r="IM884"/>
      <c r="IN884"/>
      <c r="IO884"/>
      <c r="IP884"/>
      <c r="IQ884"/>
      <c r="IR884"/>
      <c r="IS884"/>
      <c r="IT884"/>
      <c r="IU884"/>
      <c r="IV884"/>
    </row>
    <row r="885" spans="1:256" s="664" customFormat="1" ht="20.25" hidden="1" x14ac:dyDescent="0.3">
      <c r="A885" s="66"/>
      <c r="B885" s="661" t="s">
        <v>52</v>
      </c>
      <c r="C885" s="421">
        <f>SUM(C886+C891+C896)</f>
        <v>1211750</v>
      </c>
      <c r="D885" s="662">
        <f>SUM(D886+D891+D896)</f>
        <v>637750</v>
      </c>
      <c r="E885" s="421">
        <f>SUM(E886+E891+E896)</f>
        <v>379640</v>
      </c>
      <c r="F885" s="663">
        <f>SUM(F886+F891+F896)</f>
        <v>120303.64</v>
      </c>
      <c r="G885" s="421">
        <f>SUM(G886+G891+G896)</f>
        <v>600000</v>
      </c>
      <c r="H885" s="118"/>
      <c r="IP885" s="116"/>
      <c r="IQ885" s="116"/>
      <c r="IR885" s="116"/>
      <c r="IS885" s="116"/>
      <c r="IT885" s="116"/>
      <c r="IU885" s="116"/>
      <c r="IV885" s="116"/>
    </row>
    <row r="886" spans="1:256" s="664" customFormat="1" hidden="1" x14ac:dyDescent="0.2">
      <c r="A886" s="269">
        <v>2169</v>
      </c>
      <c r="B886" s="665" t="s">
        <v>981</v>
      </c>
      <c r="C886" s="227">
        <f>SUM(C887+C888+C889)</f>
        <v>250000</v>
      </c>
      <c r="D886" s="227">
        <f>SUM(D887+D888+D889+D890)</f>
        <v>250000</v>
      </c>
      <c r="E886" s="227">
        <f>SUM(E887+E888+E889+E890)</f>
        <v>9000</v>
      </c>
      <c r="F886" s="227">
        <f>SUM(F887+F888+F889+F890)</f>
        <v>2553.6400000000003</v>
      </c>
      <c r="G886" s="227">
        <v>250000</v>
      </c>
      <c r="H886" s="96"/>
      <c r="IP886" s="116"/>
      <c r="IQ886" s="116"/>
      <c r="IR886" s="116"/>
      <c r="IS886" s="116"/>
      <c r="IT886" s="116"/>
      <c r="IU886" s="116"/>
      <c r="IV886" s="116"/>
    </row>
    <row r="887" spans="1:256" s="664" customFormat="1" hidden="1" x14ac:dyDescent="0.2">
      <c r="A887" s="269"/>
      <c r="B887" s="666" t="s">
        <v>982</v>
      </c>
      <c r="C887" s="127">
        <v>47000</v>
      </c>
      <c r="D887" s="127">
        <v>47000</v>
      </c>
      <c r="E887" s="127">
        <v>3000</v>
      </c>
      <c r="F887" s="127">
        <v>0</v>
      </c>
      <c r="G887" s="162">
        <v>47000</v>
      </c>
      <c r="H887" s="118"/>
      <c r="IP887" s="116"/>
      <c r="IQ887" s="116"/>
      <c r="IR887" s="116"/>
      <c r="IS887" s="116"/>
      <c r="IT887" s="116"/>
      <c r="IU887" s="116"/>
      <c r="IV887" s="116"/>
    </row>
    <row r="888" spans="1:256" s="664" customFormat="1" hidden="1" x14ac:dyDescent="0.2">
      <c r="A888" s="269"/>
      <c r="B888" s="666" t="s">
        <v>983</v>
      </c>
      <c r="C888" s="127">
        <v>200000</v>
      </c>
      <c r="D888" s="127">
        <v>199000</v>
      </c>
      <c r="E888" s="127">
        <v>5000</v>
      </c>
      <c r="F888" s="127">
        <v>1553.64</v>
      </c>
      <c r="G888" s="162">
        <v>200000</v>
      </c>
      <c r="H888" s="118"/>
      <c r="IP888" s="116"/>
      <c r="IQ888" s="116"/>
      <c r="IR888" s="116"/>
      <c r="IS888" s="116"/>
      <c r="IT888" s="116"/>
      <c r="IU888" s="116"/>
      <c r="IV888" s="116"/>
    </row>
    <row r="889" spans="1:256" s="664" customFormat="1" hidden="1" x14ac:dyDescent="0.2">
      <c r="A889" s="269"/>
      <c r="B889" s="666" t="s">
        <v>984</v>
      </c>
      <c r="C889" s="127">
        <v>3000</v>
      </c>
      <c r="D889" s="127">
        <v>3000</v>
      </c>
      <c r="E889" s="127">
        <v>0</v>
      </c>
      <c r="F889" s="127">
        <v>0</v>
      </c>
      <c r="G889" s="162">
        <v>3000</v>
      </c>
      <c r="H889" s="118"/>
      <c r="IP889" s="116"/>
      <c r="IQ889" s="116"/>
      <c r="IR889" s="116"/>
      <c r="IS889" s="116"/>
      <c r="IT889" s="116"/>
      <c r="IU889" s="116"/>
      <c r="IV889" s="116"/>
    </row>
    <row r="890" spans="1:256" s="664" customFormat="1" hidden="1" x14ac:dyDescent="0.2">
      <c r="A890" s="269"/>
      <c r="B890" s="666" t="s">
        <v>985</v>
      </c>
      <c r="C890" s="127">
        <v>0</v>
      </c>
      <c r="D890" s="127">
        <v>1000</v>
      </c>
      <c r="E890" s="127">
        <v>1000</v>
      </c>
      <c r="F890" s="127">
        <v>1000</v>
      </c>
      <c r="G890" s="162">
        <v>0</v>
      </c>
      <c r="H890" s="118"/>
      <c r="IP890" s="116"/>
      <c r="IQ890" s="116"/>
      <c r="IR890" s="116"/>
      <c r="IS890" s="116"/>
      <c r="IT890" s="116"/>
      <c r="IU890" s="116"/>
      <c r="IV890" s="116"/>
    </row>
    <row r="891" spans="1:256" s="664" customFormat="1" hidden="1" x14ac:dyDescent="0.2">
      <c r="A891" s="123">
        <v>3635</v>
      </c>
      <c r="B891" s="137" t="s">
        <v>986</v>
      </c>
      <c r="C891" s="138">
        <f>SUM(C892+C893+C894+C895)</f>
        <v>387750</v>
      </c>
      <c r="D891" s="138">
        <f>SUM(D892+D893+D894+D895)</f>
        <v>387750</v>
      </c>
      <c r="E891" s="138">
        <f>SUM(E892+E893+E894+E895)</f>
        <v>370640</v>
      </c>
      <c r="F891" s="138">
        <f>SUM(F892+F893+F894+F895)</f>
        <v>117750</v>
      </c>
      <c r="G891" s="138">
        <f>SUM(G892+G893+G894+G895)</f>
        <v>350000</v>
      </c>
      <c r="H891" s="96"/>
      <c r="IP891" s="116"/>
      <c r="IQ891" s="116"/>
      <c r="IR891" s="116"/>
      <c r="IS891" s="116"/>
      <c r="IT891" s="116"/>
      <c r="IU891" s="116"/>
      <c r="IV891" s="116"/>
    </row>
    <row r="892" spans="1:256" s="664" customFormat="1" hidden="1" x14ac:dyDescent="0.2">
      <c r="A892" s="139"/>
      <c r="B892" s="140" t="s">
        <v>987</v>
      </c>
      <c r="C892" s="127">
        <v>20000</v>
      </c>
      <c r="D892" s="127">
        <v>20000</v>
      </c>
      <c r="E892" s="127">
        <v>16940</v>
      </c>
      <c r="F892" s="127">
        <v>0</v>
      </c>
      <c r="G892" s="162">
        <v>50000</v>
      </c>
      <c r="H892" s="96"/>
      <c r="IP892" s="116"/>
      <c r="IQ892" s="116"/>
      <c r="IR892" s="116"/>
      <c r="IS892" s="116"/>
      <c r="IT892" s="116"/>
      <c r="IU892" s="116"/>
      <c r="IV892" s="116"/>
    </row>
    <row r="893" spans="1:256" s="664" customFormat="1" hidden="1" x14ac:dyDescent="0.2">
      <c r="A893" s="139"/>
      <c r="B893" s="140" t="s">
        <v>988</v>
      </c>
      <c r="C893" s="127">
        <v>250000</v>
      </c>
      <c r="D893" s="127">
        <v>250000</v>
      </c>
      <c r="E893" s="127">
        <v>235950</v>
      </c>
      <c r="F893" s="127">
        <v>0</v>
      </c>
      <c r="G893" s="162">
        <v>0</v>
      </c>
      <c r="H893" s="118"/>
      <c r="IP893" s="116"/>
      <c r="IQ893" s="116"/>
      <c r="IR893" s="116"/>
      <c r="IS893" s="116"/>
      <c r="IT893" s="116"/>
      <c r="IU893" s="116"/>
      <c r="IV893" s="116"/>
    </row>
    <row r="894" spans="1:256" s="664" customFormat="1" hidden="1" x14ac:dyDescent="0.2">
      <c r="A894" s="139"/>
      <c r="B894" s="140" t="s">
        <v>989</v>
      </c>
      <c r="C894" s="127">
        <v>0</v>
      </c>
      <c r="D894" s="127">
        <v>0</v>
      </c>
      <c r="E894" s="419">
        <v>0</v>
      </c>
      <c r="F894" s="419">
        <v>0</v>
      </c>
      <c r="G894" s="162">
        <v>300000</v>
      </c>
      <c r="H894" s="118"/>
      <c r="IP894" s="116"/>
      <c r="IQ894" s="116"/>
      <c r="IR894" s="116"/>
      <c r="IS894" s="116"/>
      <c r="IT894" s="116"/>
      <c r="IU894" s="116"/>
      <c r="IV894" s="116"/>
    </row>
    <row r="895" spans="1:256" s="664" customFormat="1" hidden="1" x14ac:dyDescent="0.2">
      <c r="A895" s="667"/>
      <c r="B895" s="140" t="s">
        <v>990</v>
      </c>
      <c r="C895" s="419">
        <v>117750</v>
      </c>
      <c r="D895" s="419">
        <v>117750</v>
      </c>
      <c r="E895" s="419">
        <v>117750</v>
      </c>
      <c r="F895" s="419">
        <v>117750</v>
      </c>
      <c r="G895" s="164">
        <v>0</v>
      </c>
      <c r="H895" s="118"/>
      <c r="IP895" s="116"/>
      <c r="IQ895" s="116"/>
      <c r="IR895" s="116"/>
      <c r="IS895" s="116"/>
      <c r="IT895" s="116"/>
      <c r="IU895" s="116"/>
      <c r="IV895" s="116"/>
    </row>
    <row r="896" spans="1:256" s="664" customFormat="1" ht="15.75" hidden="1" x14ac:dyDescent="0.25">
      <c r="A896" s="668"/>
      <c r="B896" s="66" t="s">
        <v>991</v>
      </c>
      <c r="C896" s="669">
        <v>574000</v>
      </c>
      <c r="D896" s="669">
        <v>0</v>
      </c>
      <c r="E896" s="669">
        <v>0</v>
      </c>
      <c r="F896" s="670">
        <v>0</v>
      </c>
      <c r="G896" s="669">
        <v>0</v>
      </c>
      <c r="H896" s="118"/>
      <c r="IP896" s="116"/>
      <c r="IQ896" s="116"/>
      <c r="IR896" s="116"/>
      <c r="IS896" s="116"/>
      <c r="IT896" s="116"/>
      <c r="IU896" s="116"/>
      <c r="IV896" s="116"/>
    </row>
    <row r="897" spans="1:256" s="664" customFormat="1" hidden="1" x14ac:dyDescent="0.2">
      <c r="A897" s="671">
        <v>3699</v>
      </c>
      <c r="B897" s="665" t="s">
        <v>992</v>
      </c>
      <c r="C897" s="227">
        <v>574000</v>
      </c>
      <c r="D897" s="227">
        <v>0</v>
      </c>
      <c r="E897" s="227">
        <v>0</v>
      </c>
      <c r="F897" s="227">
        <v>0</v>
      </c>
      <c r="G897" s="227">
        <v>0</v>
      </c>
      <c r="H897" s="96"/>
      <c r="IP897" s="116"/>
      <c r="IQ897" s="116"/>
      <c r="IR897" s="116"/>
      <c r="IS897" s="116"/>
      <c r="IT897" s="116"/>
      <c r="IU897" s="116"/>
      <c r="IV897" s="116"/>
    </row>
    <row r="898" spans="1:256" s="674" customFormat="1" hidden="1" x14ac:dyDescent="0.2">
      <c r="A898" s="672"/>
      <c r="B898" s="673"/>
      <c r="C898" s="419"/>
      <c r="D898" s="419"/>
      <c r="E898" s="419"/>
      <c r="F898" s="419"/>
      <c r="G898" s="419"/>
      <c r="H898" s="96"/>
      <c r="IP898" s="1"/>
      <c r="IQ898" s="1"/>
      <c r="IR898" s="1"/>
      <c r="IS898" s="1"/>
      <c r="IT898" s="1"/>
      <c r="IU898" s="1"/>
      <c r="IV898" s="1"/>
    </row>
    <row r="899" spans="1:256" s="289" customFormat="1" ht="20.25" hidden="1" x14ac:dyDescent="0.3">
      <c r="A899" s="675"/>
      <c r="B899" s="676" t="s">
        <v>54</v>
      </c>
      <c r="C899" s="677">
        <f>SUM(C900:C906,C908:C910,C913,C919)</f>
        <v>39215960</v>
      </c>
      <c r="D899" s="677">
        <f>SUM(D900:D906,D908:D910,D913,D919)</f>
        <v>110513968.37</v>
      </c>
      <c r="E899" s="677">
        <f>SUM(E900:E906,E908:E910,E913,E919)</f>
        <v>104362912.75</v>
      </c>
      <c r="F899" s="678">
        <f>SUM(F900:F906,F908:F910,F913,F919)</f>
        <v>111132121.87</v>
      </c>
      <c r="G899" s="677">
        <f>SUM(G900:G906,G908:G910,G913,G919)</f>
        <v>36184308.620000005</v>
      </c>
      <c r="H899" s="96"/>
    </row>
    <row r="900" spans="1:256" s="682" customFormat="1" ht="15.75" hidden="1" x14ac:dyDescent="0.2">
      <c r="A900" s="679" t="s">
        <v>993</v>
      </c>
      <c r="B900" s="680" t="s">
        <v>994</v>
      </c>
      <c r="C900" s="681">
        <v>50000</v>
      </c>
      <c r="D900" s="681">
        <v>50000</v>
      </c>
      <c r="E900" s="681">
        <v>50000</v>
      </c>
      <c r="F900" s="681">
        <v>50000</v>
      </c>
      <c r="G900" s="227">
        <v>10000</v>
      </c>
      <c r="H900" s="96"/>
    </row>
    <row r="901" spans="1:256" s="682" customFormat="1" ht="48.75" hidden="1" x14ac:dyDescent="0.2">
      <c r="A901" s="683" t="s">
        <v>995</v>
      </c>
      <c r="B901" s="684" t="s">
        <v>996</v>
      </c>
      <c r="C901" s="227">
        <f>12860.75+242500</f>
        <v>255360.75</v>
      </c>
      <c r="D901" s="227">
        <f>12860.75+242500</f>
        <v>255360.75</v>
      </c>
      <c r="E901" s="227">
        <f>12860.75+242500</f>
        <v>255360.75</v>
      </c>
      <c r="F901" s="227">
        <f>7186.9+120577.86</f>
        <v>127764.76</v>
      </c>
      <c r="G901" s="227">
        <f>6808.62+242500</f>
        <v>249308.62</v>
      </c>
      <c r="H901" s="118"/>
    </row>
    <row r="902" spans="1:256" s="116" customFormat="1" ht="12.75" hidden="1" customHeight="1" x14ac:dyDescent="0.3">
      <c r="A902" s="123">
        <v>3113</v>
      </c>
      <c r="B902" s="137" t="s">
        <v>997</v>
      </c>
      <c r="C902" s="171">
        <v>0</v>
      </c>
      <c r="D902" s="171">
        <f>26198.73+1237.11</f>
        <v>27435.84</v>
      </c>
      <c r="E902" s="171">
        <f>26198.73+1237.11</f>
        <v>27435.84</v>
      </c>
      <c r="F902" s="171">
        <f>26198.73+1237.11</f>
        <v>27435.84</v>
      </c>
      <c r="G902" s="227">
        <v>0</v>
      </c>
      <c r="H902" s="96"/>
      <c r="N902" s="685"/>
    </row>
    <row r="903" spans="1:256" s="116" customFormat="1" ht="12.75" hidden="1" customHeight="1" x14ac:dyDescent="0.3">
      <c r="A903" s="123">
        <v>3311</v>
      </c>
      <c r="B903" s="137" t="s">
        <v>998</v>
      </c>
      <c r="C903" s="171">
        <v>0</v>
      </c>
      <c r="D903" s="171">
        <v>291160.94</v>
      </c>
      <c r="E903" s="171">
        <v>291160.94</v>
      </c>
      <c r="F903" s="171">
        <v>291160.94</v>
      </c>
      <c r="G903" s="227">
        <v>0</v>
      </c>
      <c r="H903" s="96"/>
      <c r="N903" s="685"/>
    </row>
    <row r="904" spans="1:256" s="116" customFormat="1" ht="12.75" hidden="1" customHeight="1" x14ac:dyDescent="0.3">
      <c r="A904" s="123">
        <v>3392</v>
      </c>
      <c r="B904" s="137" t="s">
        <v>999</v>
      </c>
      <c r="C904" s="171">
        <v>0</v>
      </c>
      <c r="D904" s="171">
        <v>214337.64</v>
      </c>
      <c r="E904" s="171">
        <v>214337.64</v>
      </c>
      <c r="F904" s="171">
        <v>214337.64</v>
      </c>
      <c r="G904" s="227">
        <v>0</v>
      </c>
      <c r="H904" s="96"/>
      <c r="N904" s="685"/>
    </row>
    <row r="905" spans="1:256" s="116" customFormat="1" ht="12.75" hidden="1" customHeight="1" x14ac:dyDescent="0.3">
      <c r="A905" s="123">
        <v>3634</v>
      </c>
      <c r="B905" s="137" t="s">
        <v>1000</v>
      </c>
      <c r="C905" s="171">
        <v>0</v>
      </c>
      <c r="D905" s="171">
        <v>7703155</v>
      </c>
      <c r="E905" s="171">
        <v>7703155</v>
      </c>
      <c r="F905" s="171">
        <v>7703693</v>
      </c>
      <c r="G905" s="227">
        <v>8000000</v>
      </c>
      <c r="H905" s="96"/>
      <c r="N905" s="686"/>
    </row>
    <row r="906" spans="1:256" s="682" customFormat="1" ht="15.75" hidden="1" x14ac:dyDescent="0.2">
      <c r="A906" s="269">
        <v>3639</v>
      </c>
      <c r="B906" s="665" t="s">
        <v>1001</v>
      </c>
      <c r="C906" s="227">
        <f>C907</f>
        <v>150000</v>
      </c>
      <c r="D906" s="227">
        <f>D907</f>
        <v>150000</v>
      </c>
      <c r="E906" s="227">
        <f>E907</f>
        <v>100000</v>
      </c>
      <c r="F906" s="227">
        <f>F907</f>
        <v>47016</v>
      </c>
      <c r="G906" s="227">
        <f>G907</f>
        <v>150000</v>
      </c>
      <c r="H906" s="96"/>
    </row>
    <row r="907" spans="1:256" s="682" customFormat="1" ht="12.75" hidden="1" customHeight="1" x14ac:dyDescent="0.2">
      <c r="A907" s="123"/>
      <c r="B907" s="666" t="s">
        <v>1002</v>
      </c>
      <c r="C907" s="162">
        <f>150*1000</f>
        <v>150000</v>
      </c>
      <c r="D907" s="162">
        <v>150000</v>
      </c>
      <c r="E907" s="127">
        <v>100000</v>
      </c>
      <c r="F907" s="127">
        <v>47016</v>
      </c>
      <c r="G907" s="162">
        <v>150000</v>
      </c>
      <c r="H907" s="96"/>
    </row>
    <row r="908" spans="1:256" hidden="1" x14ac:dyDescent="0.2">
      <c r="A908" s="123">
        <v>6171</v>
      </c>
      <c r="B908" s="687" t="s">
        <v>1003</v>
      </c>
      <c r="C908" s="227">
        <v>200000</v>
      </c>
      <c r="D908" s="227">
        <v>200000</v>
      </c>
      <c r="E908" s="138">
        <v>100000</v>
      </c>
      <c r="F908" s="138">
        <v>3509</v>
      </c>
      <c r="G908" s="227">
        <v>150000</v>
      </c>
      <c r="H908" s="118"/>
    </row>
    <row r="909" spans="1:256" hidden="1" x14ac:dyDescent="0.2">
      <c r="A909" s="123">
        <v>6310</v>
      </c>
      <c r="B909" s="137" t="s">
        <v>1004</v>
      </c>
      <c r="C909" s="138">
        <v>350000</v>
      </c>
      <c r="D909" s="138">
        <v>350000</v>
      </c>
      <c r="E909" s="171">
        <v>320000</v>
      </c>
      <c r="F909" s="138">
        <v>217186.23</v>
      </c>
      <c r="G909" s="227">
        <v>320000</v>
      </c>
      <c r="H909" s="96"/>
    </row>
    <row r="910" spans="1:256" hidden="1" x14ac:dyDescent="0.2">
      <c r="A910" s="123">
        <v>6399</v>
      </c>
      <c r="B910" s="137" t="s">
        <v>1005</v>
      </c>
      <c r="C910" s="138">
        <f>SUM(C911:C912)</f>
        <v>28000000</v>
      </c>
      <c r="D910" s="138">
        <f>SUM(D911:D912)</f>
        <v>23831976</v>
      </c>
      <c r="E910" s="138">
        <f>SUM(E911:E912)</f>
        <v>25015870</v>
      </c>
      <c r="F910" s="138">
        <f>SUM(F911:F912)</f>
        <v>25015870</v>
      </c>
      <c r="G910" s="138">
        <f>SUM(G911:G912)</f>
        <v>26000000</v>
      </c>
      <c r="H910" s="96"/>
    </row>
    <row r="911" spans="1:256" hidden="1" x14ac:dyDescent="0.2">
      <c r="A911" s="139"/>
      <c r="B911" s="140" t="s">
        <v>1006</v>
      </c>
      <c r="C911" s="127">
        <v>25000000</v>
      </c>
      <c r="D911" s="138">
        <v>22015870</v>
      </c>
      <c r="E911" s="138">
        <v>22015870</v>
      </c>
      <c r="F911" s="138">
        <v>22015870</v>
      </c>
      <c r="G911" s="127">
        <v>23000000</v>
      </c>
      <c r="H911" s="96"/>
    </row>
    <row r="912" spans="1:256" hidden="1" x14ac:dyDescent="0.2">
      <c r="A912" s="139"/>
      <c r="B912" s="140" t="s">
        <v>1007</v>
      </c>
      <c r="C912" s="127">
        <v>3000000</v>
      </c>
      <c r="D912" s="127">
        <v>1816106</v>
      </c>
      <c r="E912" s="162">
        <v>3000000</v>
      </c>
      <c r="F912" s="162">
        <v>3000000</v>
      </c>
      <c r="G912" s="162">
        <v>3000000</v>
      </c>
      <c r="H912" s="96"/>
    </row>
    <row r="913" spans="1:14" s="116" customFormat="1" ht="12.75" hidden="1" customHeight="1" x14ac:dyDescent="0.3">
      <c r="A913" s="123">
        <v>6402</v>
      </c>
      <c r="B913" s="137" t="s">
        <v>1008</v>
      </c>
      <c r="C913" s="138">
        <f>SUM(C914:C918)</f>
        <v>0</v>
      </c>
      <c r="D913" s="138">
        <f>SUM(D914:D918)</f>
        <v>60592.58</v>
      </c>
      <c r="E913" s="138">
        <f>SUM(E914:E918)</f>
        <v>60592.58</v>
      </c>
      <c r="F913" s="138">
        <f>SUM(F914:F918)</f>
        <v>60592.58</v>
      </c>
      <c r="G913" s="138">
        <f>SUM(G914:G918)</f>
        <v>0</v>
      </c>
      <c r="H913" s="96"/>
      <c r="N913" s="686"/>
    </row>
    <row r="914" spans="1:14" s="2" customFormat="1" ht="12.75" hidden="1" customHeight="1" x14ac:dyDescent="0.3">
      <c r="A914" s="125"/>
      <c r="B914" s="372" t="s">
        <v>1009</v>
      </c>
      <c r="C914" s="127">
        <v>0</v>
      </c>
      <c r="D914" s="127">
        <v>2283</v>
      </c>
      <c r="E914" s="127">
        <v>2283</v>
      </c>
      <c r="F914" s="127">
        <v>2283</v>
      </c>
      <c r="G914" s="162">
        <v>0</v>
      </c>
      <c r="H914" s="96"/>
      <c r="N914" s="686"/>
    </row>
    <row r="915" spans="1:14" s="2" customFormat="1" ht="12.75" hidden="1" customHeight="1" x14ac:dyDescent="0.3">
      <c r="A915" s="125"/>
      <c r="B915" s="372" t="s">
        <v>1010</v>
      </c>
      <c r="C915" s="127">
        <v>0</v>
      </c>
      <c r="D915" s="127">
        <v>7004</v>
      </c>
      <c r="E915" s="127">
        <v>7004</v>
      </c>
      <c r="F915" s="127">
        <v>7004</v>
      </c>
      <c r="G915" s="162">
        <v>0</v>
      </c>
      <c r="H915" s="96"/>
      <c r="N915" s="686"/>
    </row>
    <row r="916" spans="1:14" s="2" customFormat="1" ht="12.75" hidden="1" customHeight="1" x14ac:dyDescent="0.3">
      <c r="A916" s="125"/>
      <c r="B916" s="372" t="s">
        <v>1011</v>
      </c>
      <c r="C916" s="127">
        <v>0</v>
      </c>
      <c r="D916" s="127">
        <v>31176</v>
      </c>
      <c r="E916" s="127">
        <v>31176</v>
      </c>
      <c r="F916" s="127">
        <v>31176</v>
      </c>
      <c r="G916" s="162">
        <v>0</v>
      </c>
      <c r="H916" s="96"/>
      <c r="N916" s="686"/>
    </row>
    <row r="917" spans="1:14" s="2" customFormat="1" ht="12.75" hidden="1" customHeight="1" x14ac:dyDescent="0.3">
      <c r="A917" s="125"/>
      <c r="B917" s="372" t="s">
        <v>1012</v>
      </c>
      <c r="C917" s="127">
        <v>0</v>
      </c>
      <c r="D917" s="127">
        <v>5607</v>
      </c>
      <c r="E917" s="127">
        <v>5607</v>
      </c>
      <c r="F917" s="127">
        <v>5607</v>
      </c>
      <c r="G917" s="162">
        <v>0</v>
      </c>
      <c r="H917" s="96"/>
      <c r="N917" s="686"/>
    </row>
    <row r="918" spans="1:14" s="2" customFormat="1" ht="12.75" hidden="1" customHeight="1" x14ac:dyDescent="0.3">
      <c r="A918" s="125"/>
      <c r="B918" s="372" t="s">
        <v>1013</v>
      </c>
      <c r="C918" s="127">
        <v>0</v>
      </c>
      <c r="D918" s="127">
        <v>14522.58</v>
      </c>
      <c r="E918" s="127">
        <v>14522.58</v>
      </c>
      <c r="F918" s="127">
        <v>14522.58</v>
      </c>
      <c r="G918" s="162">
        <v>0</v>
      </c>
      <c r="H918" s="96"/>
      <c r="N918" s="686"/>
    </row>
    <row r="919" spans="1:14" s="289" customFormat="1" ht="15.75" hidden="1" x14ac:dyDescent="0.25">
      <c r="A919" s="123">
        <v>6409</v>
      </c>
      <c r="B919" s="137" t="s">
        <v>1014</v>
      </c>
      <c r="C919" s="138">
        <f>SUM(C920:C921)</f>
        <v>10210599.25</v>
      </c>
      <c r="D919" s="138">
        <f>SUM(D920:D921)</f>
        <v>77379949.620000005</v>
      </c>
      <c r="E919" s="138">
        <f>SUM(E920:E921)</f>
        <v>70225000</v>
      </c>
      <c r="F919" s="138">
        <f>SUM(F920:F921)</f>
        <v>77373555.88000001</v>
      </c>
      <c r="G919" s="138">
        <f>SUM(G920:G921)</f>
        <v>1305000</v>
      </c>
      <c r="H919" s="96"/>
    </row>
    <row r="920" spans="1:14" s="116" customFormat="1" hidden="1" x14ac:dyDescent="0.2">
      <c r="A920" s="139"/>
      <c r="B920" s="140" t="s">
        <v>1015</v>
      </c>
      <c r="C920" s="127">
        <f>10000*1000-0.75+600</f>
        <v>10000599.25</v>
      </c>
      <c r="D920" s="127">
        <v>77154949.620000005</v>
      </c>
      <c r="E920" s="127">
        <v>70000000</v>
      </c>
      <c r="F920" s="127">
        <v>77154949.620000005</v>
      </c>
      <c r="G920" s="162">
        <v>1000000</v>
      </c>
      <c r="H920" s="96"/>
    </row>
    <row r="921" spans="1:14" s="116" customFormat="1" ht="36.75" hidden="1" x14ac:dyDescent="0.2">
      <c r="A921" s="688"/>
      <c r="B921" s="689" t="s">
        <v>1016</v>
      </c>
      <c r="C921" s="690">
        <v>210000</v>
      </c>
      <c r="D921" s="690">
        <v>225000</v>
      </c>
      <c r="E921" s="419">
        <v>225000</v>
      </c>
      <c r="F921" s="127">
        <v>218606.26</v>
      </c>
      <c r="G921" s="162">
        <f>(5+80+50+80+30+5+60)*1000-5000</f>
        <v>305000</v>
      </c>
      <c r="H921" s="118"/>
    </row>
    <row r="922" spans="1:14" s="116" customFormat="1" ht="23.25" hidden="1" x14ac:dyDescent="0.35">
      <c r="A922" s="691"/>
      <c r="B922" s="692" t="s">
        <v>55</v>
      </c>
      <c r="C922" s="693">
        <f>SUM(C266+C354+C481+C486+C492+C503+C507+C511+C604+C608+C625+C633+C673+C679+C702+C885+C899)</f>
        <v>870089265</v>
      </c>
      <c r="D922" s="693">
        <f>SUM(D266+D354+D481+D486+D492+D503+D507+D511+D604+D608+D625+D633+D673+D679+D702+D885+D899)</f>
        <v>866332786.38999999</v>
      </c>
      <c r="E922" s="693">
        <f>SUM(E266+E354+E481+E486+E492+E503+E507+E511+E604+E608+E625+E633+E673+E679+E702+E885+E899)</f>
        <v>772802863.4000001</v>
      </c>
      <c r="F922" s="693">
        <f>SUM(F266+F354+F481+F486+F492+F503+F507+F511+F604+F608+F625+F633+F673+F679+F702+F885+F899)</f>
        <v>495324827.22000003</v>
      </c>
      <c r="G922" s="693">
        <f>SUM(G266+G354+G481+G486+G492+G503+G507+G511+G604+G608+G625+G633+G673+G679+G702+G885+G899)</f>
        <v>886320745.25</v>
      </c>
      <c r="H922" s="118"/>
    </row>
    <row r="923" spans="1:14" hidden="1" x14ac:dyDescent="0.2">
      <c r="B923" s="694"/>
      <c r="F923" s="1"/>
    </row>
    <row r="924" spans="1:14" x14ac:dyDescent="0.2">
      <c r="B924" s="695"/>
      <c r="F924" s="1"/>
    </row>
    <row r="925" spans="1:14" s="116" customFormat="1" x14ac:dyDescent="0.2">
      <c r="A925" s="1"/>
      <c r="B925" s="1"/>
      <c r="C925" s="1"/>
      <c r="D925" s="1"/>
      <c r="E925" s="1"/>
      <c r="F925" s="2"/>
      <c r="G925" s="1"/>
      <c r="H925" s="1"/>
    </row>
    <row r="926" spans="1:14" s="116" customFormat="1" x14ac:dyDescent="0.2">
      <c r="A926" s="1"/>
      <c r="B926" s="1"/>
      <c r="C926" s="1"/>
      <c r="D926" s="1"/>
      <c r="E926" s="1"/>
      <c r="F926" s="2"/>
      <c r="G926" s="1"/>
      <c r="H926" s="1"/>
    </row>
  </sheetData>
  <sheetProtection selectLockedCells="1" selectUnlockedCells="1"/>
  <printOptions horizontalCentered="1"/>
  <pageMargins left="0" right="0" top="0.39374999999999999" bottom="0.39374999999999999" header="0.51180555555555551" footer="0"/>
  <pageSetup paperSize="9" firstPageNumber="0" fitToHeight="0" orientation="landscape" horizontalDpi="300" verticalDpi="300"/>
  <headerFooter alignWithMargins="0">
    <oddFooter>&amp;C&amp;P</oddFooter>
  </headerFooter>
  <rowBreaks count="2" manualBreakCount="2">
    <brk id="50" max="16383" man="1"/>
    <brk id="263" max="16383" man="1"/>
  </rowBreaks>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22"/>
  </sheetPr>
  <dimension ref="A1:IU38"/>
  <sheetViews>
    <sheetView tabSelected="1" topLeftCell="B1" zoomScale="89" zoomScaleNormal="89" zoomScaleSheetLayoutView="87" workbookViewId="0">
      <pane ySplit="2" topLeftCell="A7" activePane="bottomLeft" state="frozen"/>
      <selection pane="bottomLeft" activeCell="F9" sqref="F9"/>
    </sheetView>
  </sheetViews>
  <sheetFormatPr defaultColWidth="9.5703125" defaultRowHeight="12.75" x14ac:dyDescent="0.2"/>
  <cols>
    <col min="1" max="1" width="20.85546875" style="1" hidden="1" customWidth="1"/>
    <col min="2" max="2" width="84.7109375" style="1" customWidth="1"/>
    <col min="3" max="3" width="26.28515625" style="1" customWidth="1"/>
    <col min="4" max="4" width="26.140625" style="1" customWidth="1"/>
    <col min="5" max="5" width="26.28515625" style="1" customWidth="1"/>
    <col min="6" max="6" width="26.28515625" style="2" customWidth="1"/>
    <col min="7" max="7" width="26.28515625" style="1" customWidth="1"/>
    <col min="8" max="9" width="24.28515625" style="1" hidden="1" customWidth="1"/>
    <col min="10" max="16384" width="9.5703125" style="1"/>
  </cols>
  <sheetData>
    <row r="1" spans="1:10" ht="16.5" thickBot="1" x14ac:dyDescent="0.3">
      <c r="G1" s="830" t="s">
        <v>0</v>
      </c>
    </row>
    <row r="2" spans="1:10" s="12" customFormat="1" ht="91.9" customHeight="1" thickBot="1" x14ac:dyDescent="0.25">
      <c r="A2" s="794" t="s">
        <v>1</v>
      </c>
      <c r="B2" s="833" t="s">
        <v>2040</v>
      </c>
      <c r="C2" s="831" t="s">
        <v>1424</v>
      </c>
      <c r="D2" s="11" t="s">
        <v>1795</v>
      </c>
      <c r="E2" s="11" t="s">
        <v>2033</v>
      </c>
      <c r="F2" s="696" t="s">
        <v>1793</v>
      </c>
      <c r="G2" s="1043" t="s">
        <v>2041</v>
      </c>
      <c r="H2" s="773"/>
      <c r="I2" s="774"/>
    </row>
    <row r="3" spans="1:10" s="12" customFormat="1" ht="28.5" thickBot="1" x14ac:dyDescent="0.35">
      <c r="A3" s="795"/>
      <c r="B3" s="834" t="s">
        <v>56</v>
      </c>
      <c r="C3" s="832"/>
      <c r="D3" s="100"/>
      <c r="E3" s="709"/>
      <c r="F3" s="746"/>
      <c r="G3" s="749"/>
      <c r="H3" s="710" t="s">
        <v>1017</v>
      </c>
      <c r="I3" s="750" t="s">
        <v>1018</v>
      </c>
      <c r="J3" s="697"/>
    </row>
    <row r="4" spans="1:10" s="107" customFormat="1" ht="18.75" thickBot="1" x14ac:dyDescent="0.3">
      <c r="A4" s="796"/>
      <c r="B4" s="835" t="s">
        <v>57</v>
      </c>
      <c r="C4" s="2198">
        <v>520342400</v>
      </c>
      <c r="D4" s="2198">
        <v>515639325.25999999</v>
      </c>
      <c r="E4" s="2198">
        <v>520076147.83999997</v>
      </c>
      <c r="F4" s="2199">
        <v>450628042.74000001</v>
      </c>
      <c r="G4" s="2198">
        <v>545682000</v>
      </c>
      <c r="H4" s="711" t="e">
        <f>SUM(#REF!,#REF!,#REF!,#REF!)</f>
        <v>#REF!</v>
      </c>
      <c r="I4" s="751" t="e">
        <f>SUM(#REF!,#REF!,#REF!,#REF!)</f>
        <v>#REF!</v>
      </c>
      <c r="J4" s="698"/>
    </row>
    <row r="5" spans="1:10" s="116" customFormat="1" ht="18.75" customHeight="1" thickBot="1" x14ac:dyDescent="0.3">
      <c r="A5" s="800"/>
      <c r="B5" s="836" t="s">
        <v>10</v>
      </c>
      <c r="C5" s="2200">
        <v>153980616.31999999</v>
      </c>
      <c r="D5" s="2201">
        <v>150828199.38999999</v>
      </c>
      <c r="E5" s="2201">
        <v>149786193.13999999</v>
      </c>
      <c r="F5" s="2202">
        <v>139449746.31</v>
      </c>
      <c r="G5" s="2198">
        <f>163831937.36+125387.36</f>
        <v>163957324.72000003</v>
      </c>
      <c r="H5" s="730" t="e">
        <f>SUM(#REF!,#REF!,#REF!,#REF!,#REF!,#REF!)</f>
        <v>#REF!</v>
      </c>
      <c r="I5" s="753" t="e">
        <f>SUM(#REF!,#REF!,#REF!,#REF!,#REF!,#REF!)</f>
        <v>#REF!</v>
      </c>
    </row>
    <row r="6" spans="1:10" s="116" customFormat="1" ht="18.75" customHeight="1" thickBot="1" x14ac:dyDescent="0.3">
      <c r="A6" s="802"/>
      <c r="B6" s="836" t="s">
        <v>11</v>
      </c>
      <c r="C6" s="2200">
        <v>87239000</v>
      </c>
      <c r="D6" s="2201">
        <v>84680111</v>
      </c>
      <c r="E6" s="2201">
        <v>70755171</v>
      </c>
      <c r="F6" s="2202">
        <v>62381100.5</v>
      </c>
      <c r="G6" s="2198">
        <v>72976820.010000005</v>
      </c>
      <c r="H6" s="780" t="e">
        <f>SUM(#REF!,#REF!)</f>
        <v>#REF!</v>
      </c>
      <c r="I6" s="754" t="e">
        <f>SUM(#REF!,#REF!)</f>
        <v>#REF!</v>
      </c>
    </row>
    <row r="7" spans="1:10" s="116" customFormat="1" ht="18.75" customHeight="1" thickBot="1" x14ac:dyDescent="0.3">
      <c r="A7" s="802"/>
      <c r="B7" s="836" t="s">
        <v>196</v>
      </c>
      <c r="C7" s="2203">
        <v>66897844.799999997</v>
      </c>
      <c r="D7" s="2202">
        <v>106611837.77</v>
      </c>
      <c r="E7" s="2202">
        <v>106745579.55</v>
      </c>
      <c r="F7" s="2202">
        <v>93190668.200000003</v>
      </c>
      <c r="G7" s="2198">
        <v>56420206.439999998</v>
      </c>
      <c r="H7" s="780" t="e">
        <f>SUM(#REF!,#REF!,#REF!,#REF!,#REF!,#REF!,#REF!,#REF!)</f>
        <v>#REF!</v>
      </c>
      <c r="I7" s="716" t="e">
        <f>SUM(#REF!,#REF!,#REF!,#REF!,#REF!,#REF!,#REF!,#REF!)</f>
        <v>#REF!</v>
      </c>
    </row>
    <row r="8" spans="1:10" s="116" customFormat="1" ht="21" thickBot="1" x14ac:dyDescent="0.35">
      <c r="A8" s="803"/>
      <c r="B8" s="834" t="s">
        <v>13</v>
      </c>
      <c r="C8" s="2204">
        <f t="shared" ref="C8:I8" si="0">SUM(C4+C5+C6+C7)</f>
        <v>828459861.11999989</v>
      </c>
      <c r="D8" s="2205">
        <f t="shared" si="0"/>
        <v>857759473.41999996</v>
      </c>
      <c r="E8" s="2205">
        <f t="shared" si="0"/>
        <v>847363091.52999997</v>
      </c>
      <c r="F8" s="2206">
        <f t="shared" si="0"/>
        <v>745649557.75</v>
      </c>
      <c r="G8" s="2205">
        <f t="shared" si="0"/>
        <v>839036351.17000008</v>
      </c>
      <c r="H8" s="782" t="e">
        <f t="shared" si="0"/>
        <v>#REF!</v>
      </c>
      <c r="I8" s="755" t="e">
        <f t="shared" si="0"/>
        <v>#REF!</v>
      </c>
    </row>
    <row r="9" spans="1:10" s="116" customFormat="1" ht="18.75" thickBot="1" x14ac:dyDescent="0.3">
      <c r="A9" s="802"/>
      <c r="B9" s="836" t="s">
        <v>14</v>
      </c>
      <c r="C9" s="2207">
        <v>172017736.08000001</v>
      </c>
      <c r="D9" s="1673">
        <f>172017736.08-8742723.14</f>
        <v>163275012.94</v>
      </c>
      <c r="E9" s="1673">
        <f>175689443.04-93078106.63</f>
        <v>82611336.409999996</v>
      </c>
      <c r="F9" s="2208">
        <f>170971561.02-210300830.12</f>
        <v>-39329269.099999994</v>
      </c>
      <c r="G9" s="2209">
        <f>174060399.19-400000+24200-125387.36-55000</f>
        <v>173504211.82999998</v>
      </c>
      <c r="H9" s="783" t="e">
        <f>SUM(#REF!)</f>
        <v>#REF!</v>
      </c>
      <c r="I9" s="757" t="e">
        <f>SUM(#REF!)</f>
        <v>#REF!</v>
      </c>
    </row>
    <row r="10" spans="1:10" s="283" customFormat="1" ht="24" customHeight="1" thickBot="1" x14ac:dyDescent="0.45">
      <c r="A10" s="804"/>
      <c r="B10" s="837" t="s">
        <v>15</v>
      </c>
      <c r="C10" s="2210">
        <f t="shared" ref="C10:I10" si="1">SUM(C8+C9)</f>
        <v>1000477597.1999999</v>
      </c>
      <c r="D10" s="1694">
        <f t="shared" si="1"/>
        <v>1021034486.3599999</v>
      </c>
      <c r="E10" s="1694">
        <f t="shared" si="1"/>
        <v>929974427.93999994</v>
      </c>
      <c r="F10" s="2211">
        <f t="shared" si="1"/>
        <v>706320288.64999998</v>
      </c>
      <c r="G10" s="2212">
        <f t="shared" si="1"/>
        <v>1012540563</v>
      </c>
      <c r="H10" s="721" t="e">
        <f t="shared" si="1"/>
        <v>#REF!</v>
      </c>
      <c r="I10" s="758" t="e">
        <f t="shared" si="1"/>
        <v>#REF!</v>
      </c>
    </row>
    <row r="11" spans="1:10" s="116" customFormat="1" ht="21" thickBot="1" x14ac:dyDescent="0.35">
      <c r="A11" s="805"/>
      <c r="B11" s="834" t="s">
        <v>257</v>
      </c>
      <c r="C11" s="2213"/>
      <c r="D11" s="2214"/>
      <c r="E11" s="2215"/>
      <c r="F11" s="2216"/>
      <c r="G11" s="2217"/>
      <c r="H11" s="707"/>
      <c r="I11" s="756"/>
    </row>
    <row r="12" spans="1:10" s="116" customFormat="1" ht="18.75" thickBot="1" x14ac:dyDescent="0.3">
      <c r="A12" s="935"/>
      <c r="B12" s="1044" t="s">
        <v>17</v>
      </c>
      <c r="C12" s="2218">
        <f>C31-C13</f>
        <v>760881693</v>
      </c>
      <c r="D12" s="2218">
        <f>D31-D13</f>
        <v>830064442.99000001</v>
      </c>
      <c r="E12" s="2219">
        <f>E31-E13</f>
        <v>764974427.93999994</v>
      </c>
      <c r="F12" s="2220">
        <f>F31-F13</f>
        <v>592764173.62</v>
      </c>
      <c r="G12" s="2218">
        <f>G31-G13</f>
        <v>732444521</v>
      </c>
      <c r="H12" s="707"/>
      <c r="I12" s="756"/>
    </row>
    <row r="13" spans="1:10" s="116" customFormat="1" ht="18.75" thickBot="1" x14ac:dyDescent="0.3">
      <c r="A13" s="935"/>
      <c r="B13" s="1044" t="s">
        <v>18</v>
      </c>
      <c r="C13" s="2218">
        <v>239595904.19999999</v>
      </c>
      <c r="D13" s="2214">
        <v>190970043.37</v>
      </c>
      <c r="E13" s="2215">
        <v>165000000</v>
      </c>
      <c r="F13" s="2221">
        <v>113556115.03</v>
      </c>
      <c r="G13" s="2222">
        <v>280096042</v>
      </c>
      <c r="H13" s="707"/>
      <c r="I13" s="756"/>
    </row>
    <row r="14" spans="1:10" ht="21" thickBot="1" x14ac:dyDescent="0.35">
      <c r="A14" s="806"/>
      <c r="B14" s="834" t="s">
        <v>258</v>
      </c>
      <c r="C14" s="2223">
        <v>75934044.200000003</v>
      </c>
      <c r="D14" s="1707">
        <v>76799081.200000003</v>
      </c>
      <c r="E14" s="1707">
        <v>62587532.75</v>
      </c>
      <c r="F14" s="2224">
        <v>42692858.439999998</v>
      </c>
      <c r="G14" s="2225">
        <f>90898982-400000+24200</f>
        <v>90523182</v>
      </c>
      <c r="H14" s="693" t="e">
        <f>#REF!+#REF!+#REF!+#REF!</f>
        <v>#REF!</v>
      </c>
      <c r="I14" s="759" t="e">
        <f>#REF!+#REF!+#REF!+#REF!</f>
        <v>#REF!</v>
      </c>
    </row>
    <row r="15" spans="1:10" ht="20.25" customHeight="1" thickBot="1" x14ac:dyDescent="0.35">
      <c r="A15" s="806"/>
      <c r="B15" s="834" t="s">
        <v>1047</v>
      </c>
      <c r="C15" s="2226">
        <v>196635250</v>
      </c>
      <c r="D15" s="2227">
        <v>147903272.44999999</v>
      </c>
      <c r="E15" s="2228">
        <v>124153015.69</v>
      </c>
      <c r="F15" s="2229">
        <v>89270388.510000005</v>
      </c>
      <c r="G15" s="1588">
        <v>268131950</v>
      </c>
      <c r="H15" s="828" t="e">
        <f>#REF!+#REF!+#REF!+#REF!+#REF!</f>
        <v>#REF!</v>
      </c>
      <c r="I15" s="760" t="e">
        <f>#REF!+#REF!+#REF!+#REF!+#REF!</f>
        <v>#REF!</v>
      </c>
    </row>
    <row r="16" spans="1:10" ht="21" thickBot="1" x14ac:dyDescent="0.25">
      <c r="A16" s="813"/>
      <c r="B16" s="838" t="s">
        <v>31</v>
      </c>
      <c r="C16" s="2230">
        <v>15000</v>
      </c>
      <c r="D16" s="2231">
        <v>15000</v>
      </c>
      <c r="E16" s="2232">
        <v>15000</v>
      </c>
      <c r="F16" s="2233">
        <v>7000</v>
      </c>
      <c r="G16" s="2234">
        <v>15000</v>
      </c>
      <c r="H16" s="722" t="e">
        <f>SUM(#REF!)</f>
        <v>#REF!</v>
      </c>
      <c r="I16" s="761" t="e">
        <f>SUM(#REF!)</f>
        <v>#REF!</v>
      </c>
    </row>
    <row r="17" spans="1:255" s="107" customFormat="1" ht="21" thickBot="1" x14ac:dyDescent="0.35">
      <c r="A17" s="814"/>
      <c r="B17" s="834" t="s">
        <v>1104</v>
      </c>
      <c r="C17" s="2235">
        <v>13200772</v>
      </c>
      <c r="D17" s="2231">
        <v>13802650.27</v>
      </c>
      <c r="E17" s="2231">
        <v>13802650.27</v>
      </c>
      <c r="F17" s="2233">
        <v>10570028.17</v>
      </c>
      <c r="G17" s="2236">
        <v>15625044</v>
      </c>
      <c r="H17" s="421" t="e">
        <f>SUM(#REF!)</f>
        <v>#REF!</v>
      </c>
      <c r="I17" s="762" t="e">
        <f>SUM(#REF!)</f>
        <v>#REF!</v>
      </c>
    </row>
    <row r="18" spans="1:255" s="116" customFormat="1" ht="21" thickBot="1" x14ac:dyDescent="0.25">
      <c r="A18" s="807"/>
      <c r="B18" s="839" t="s">
        <v>33</v>
      </c>
      <c r="C18" s="2235">
        <v>10220291</v>
      </c>
      <c r="D18" s="2231">
        <v>10531291</v>
      </c>
      <c r="E18" s="2231">
        <v>10451291</v>
      </c>
      <c r="F18" s="2231">
        <v>8448421.3499999996</v>
      </c>
      <c r="G18" s="2231">
        <v>11266280</v>
      </c>
      <c r="H18" s="662" t="e">
        <f>SUM(#REF!,#REF!,#REF!)</f>
        <v>#REF!</v>
      </c>
      <c r="I18" s="762" t="e">
        <f>SUM(#REF!,#REF!,#REF!)</f>
        <v>#REF!</v>
      </c>
    </row>
    <row r="19" spans="1:255" s="116" customFormat="1" ht="21" thickBot="1" x14ac:dyDescent="0.35">
      <c r="A19" s="808"/>
      <c r="B19" s="834" t="s">
        <v>34</v>
      </c>
      <c r="C19" s="2200">
        <v>162000</v>
      </c>
      <c r="D19" s="2201">
        <v>162000</v>
      </c>
      <c r="E19" s="2201">
        <v>115000</v>
      </c>
      <c r="F19" s="2202">
        <v>71783</v>
      </c>
      <c r="G19" s="2237">
        <v>162000</v>
      </c>
      <c r="H19" s="826" t="e">
        <f>SUM(#REF!)</f>
        <v>#REF!</v>
      </c>
      <c r="I19" s="763" t="e">
        <f>SUM(#REF!)</f>
        <v>#REF!</v>
      </c>
    </row>
    <row r="20" spans="1:255" s="116" customFormat="1" ht="21" thickBot="1" x14ac:dyDescent="0.35">
      <c r="A20" s="807"/>
      <c r="B20" s="834" t="s">
        <v>630</v>
      </c>
      <c r="C20" s="2200">
        <v>250000</v>
      </c>
      <c r="D20" s="2201">
        <v>1114200</v>
      </c>
      <c r="E20" s="2201">
        <v>1114200</v>
      </c>
      <c r="F20" s="2202">
        <v>988812.64</v>
      </c>
      <c r="G20" s="2238">
        <v>1000000</v>
      </c>
      <c r="H20" s="436" t="e">
        <f>SUM(#REF!)</f>
        <v>#REF!</v>
      </c>
      <c r="I20" s="763" t="e">
        <f>SUM(#REF!)</f>
        <v>#REF!</v>
      </c>
      <c r="J20" s="107"/>
      <c r="K20" s="107"/>
      <c r="L20" s="107"/>
      <c r="M20" s="107"/>
      <c r="N20" s="107"/>
      <c r="O20" s="107"/>
      <c r="P20" s="107"/>
      <c r="Q20" s="107"/>
      <c r="R20" s="107"/>
      <c r="S20" s="107"/>
      <c r="T20" s="107"/>
      <c r="U20" s="107"/>
      <c r="V20" s="107"/>
      <c r="W20" s="107"/>
      <c r="X20" s="107"/>
      <c r="Y20" s="107"/>
      <c r="Z20" s="107"/>
      <c r="AA20" s="107"/>
      <c r="AB20" s="107"/>
      <c r="AC20" s="107"/>
      <c r="AD20" s="107"/>
      <c r="AE20" s="107"/>
      <c r="AF20" s="107"/>
      <c r="AG20" s="107"/>
      <c r="AH20" s="107"/>
      <c r="AI20" s="107"/>
      <c r="AJ20" s="107"/>
      <c r="AK20" s="107"/>
      <c r="AL20" s="107"/>
      <c r="AM20" s="107"/>
      <c r="AN20" s="107"/>
      <c r="AO20" s="107"/>
      <c r="AP20" s="107"/>
      <c r="AQ20" s="107"/>
      <c r="AR20" s="107"/>
      <c r="AS20" s="107"/>
      <c r="AT20" s="107"/>
      <c r="AU20" s="107"/>
      <c r="AV20" s="107"/>
      <c r="AW20" s="107"/>
      <c r="AX20" s="107"/>
      <c r="AY20" s="107"/>
      <c r="AZ20" s="107"/>
      <c r="BA20" s="107"/>
      <c r="BB20" s="107"/>
    </row>
    <row r="21" spans="1:255" s="701" customFormat="1" ht="21" thickBot="1" x14ac:dyDescent="0.35">
      <c r="A21" s="816"/>
      <c r="B21" s="840" t="s">
        <v>36</v>
      </c>
      <c r="C21" s="2239">
        <v>117668120</v>
      </c>
      <c r="D21" s="1588">
        <v>118295909.52</v>
      </c>
      <c r="E21" s="1588">
        <v>127455503.73</v>
      </c>
      <c r="F21" s="2240">
        <v>101247856.52</v>
      </c>
      <c r="G21" s="1588">
        <f>112769300-55000</f>
        <v>112714300</v>
      </c>
      <c r="H21" s="724" t="e">
        <f>#REF!+#REF!+#REF!</f>
        <v>#REF!</v>
      </c>
      <c r="I21" s="724" t="e">
        <f>#REF!+#REF!+#REF!</f>
        <v>#REF!</v>
      </c>
    </row>
    <row r="22" spans="1:255" ht="21" customHeight="1" thickBot="1" x14ac:dyDescent="0.35">
      <c r="A22" s="817"/>
      <c r="B22" s="834" t="s">
        <v>716</v>
      </c>
      <c r="C22" s="2241">
        <v>28556700</v>
      </c>
      <c r="D22" s="2242">
        <v>28556700</v>
      </c>
      <c r="E22" s="2242">
        <v>28000000</v>
      </c>
      <c r="F22" s="2243">
        <v>21729006.469999999</v>
      </c>
      <c r="G22" s="2244">
        <f>28674400-750000</f>
        <v>27924400</v>
      </c>
      <c r="H22" s="421" t="e">
        <f>#REF!</f>
        <v>#REF!</v>
      </c>
      <c r="I22" s="762" t="e">
        <f>#REF!</f>
        <v>#REF!</v>
      </c>
    </row>
    <row r="23" spans="1:255" ht="21" thickBot="1" x14ac:dyDescent="0.35">
      <c r="A23" s="817"/>
      <c r="B23" s="834" t="s">
        <v>719</v>
      </c>
      <c r="C23" s="2245">
        <v>31499210</v>
      </c>
      <c r="D23" s="2246">
        <v>46385768.509999998</v>
      </c>
      <c r="E23" s="2246">
        <v>46315204.509999998</v>
      </c>
      <c r="F23" s="2247">
        <v>36900550.670000002</v>
      </c>
      <c r="G23" s="1588">
        <v>35630624</v>
      </c>
      <c r="H23" s="829" t="e">
        <f>SUM(#REF!)+#REF!</f>
        <v>#REF!</v>
      </c>
      <c r="I23" s="764" t="e">
        <f>SUM(#REF!)+#REF!</f>
        <v>#REF!</v>
      </c>
    </row>
    <row r="24" spans="1:255" ht="21" thickBot="1" x14ac:dyDescent="0.35">
      <c r="A24" s="817"/>
      <c r="B24" s="834" t="s">
        <v>735</v>
      </c>
      <c r="C24" s="2248">
        <v>166253060</v>
      </c>
      <c r="D24" s="2249">
        <v>166935662</v>
      </c>
      <c r="E24" s="2249">
        <v>166935662</v>
      </c>
      <c r="F24" s="2250">
        <v>131476589.47</v>
      </c>
      <c r="G24" s="2251">
        <v>171743160</v>
      </c>
      <c r="H24" s="727" t="e">
        <f>#REF!+#REF!+#REF!+#REF!</f>
        <v>#REF!</v>
      </c>
      <c r="I24" s="765" t="e">
        <f>#REF!+#REF!+#REF!+#REF!</f>
        <v>#REF!</v>
      </c>
    </row>
    <row r="25" spans="1:255" ht="21" thickBot="1" x14ac:dyDescent="0.35">
      <c r="A25" s="817"/>
      <c r="B25" s="834" t="s">
        <v>43</v>
      </c>
      <c r="C25" s="2252">
        <v>15923250</v>
      </c>
      <c r="D25" s="2198">
        <v>14022694.890000001</v>
      </c>
      <c r="E25" s="2198">
        <v>13310577.109999999</v>
      </c>
      <c r="F25" s="2199">
        <v>13145809.810000001</v>
      </c>
      <c r="G25" s="2253">
        <v>17006123</v>
      </c>
      <c r="H25" s="728" t="e">
        <f>#REF!+#REF!</f>
        <v>#REF!</v>
      </c>
      <c r="I25" s="766" t="e">
        <f>#REF!+#REF!</f>
        <v>#REF!</v>
      </c>
    </row>
    <row r="26" spans="1:255" ht="21" thickBot="1" x14ac:dyDescent="0.25">
      <c r="A26" s="818"/>
      <c r="B26" s="841" t="s">
        <v>777</v>
      </c>
      <c r="C26" s="2235">
        <v>18717400</v>
      </c>
      <c r="D26" s="2231">
        <v>24729128</v>
      </c>
      <c r="E26" s="2231">
        <v>24729128</v>
      </c>
      <c r="F26" s="2233">
        <v>12910386.02</v>
      </c>
      <c r="G26" s="2236">
        <v>19471500</v>
      </c>
      <c r="H26" s="722" t="e">
        <f>#REF!</f>
        <v>#REF!</v>
      </c>
      <c r="I26" s="767" t="e">
        <f>#REF!</f>
        <v>#REF!</v>
      </c>
    </row>
    <row r="27" spans="1:255" ht="21" thickBot="1" x14ac:dyDescent="0.35">
      <c r="A27" s="817"/>
      <c r="B27" s="834" t="s">
        <v>1106</v>
      </c>
      <c r="C27" s="2235">
        <v>87547000</v>
      </c>
      <c r="D27" s="2231">
        <v>92991835.549999997</v>
      </c>
      <c r="E27" s="2231">
        <v>91041835.549999997</v>
      </c>
      <c r="F27" s="2233">
        <v>73107335.950000003</v>
      </c>
      <c r="G27" s="2236">
        <v>67229000</v>
      </c>
      <c r="H27" s="722" t="e">
        <f>SUM(#REF!,#REF!,#REF!,#REF!,#REF!,#REF!,#REF!,#REF!,#REF!,#REF!,#REF!,#REF!,#REF!,#REF!)</f>
        <v>#REF!</v>
      </c>
      <c r="I27" s="768" t="e">
        <f>SUM(#REF!,#REF!,#REF!,#REF!,#REF!,#REF!,#REF!,#REF!,#REF!,#REF!,#REF!,#REF!,#REF!,#REF!)</f>
        <v>#REF!</v>
      </c>
    </row>
    <row r="28" spans="1:255" ht="21" thickBot="1" x14ac:dyDescent="0.25">
      <c r="A28" s="821"/>
      <c r="B28" s="839" t="s">
        <v>803</v>
      </c>
      <c r="C28" s="2254">
        <v>151698000</v>
      </c>
      <c r="D28" s="2255">
        <v>138947425.38</v>
      </c>
      <c r="E28" s="2255">
        <v>117609224.17</v>
      </c>
      <c r="F28" s="2256">
        <v>92868596.790000007</v>
      </c>
      <c r="G28" s="2236">
        <v>136758000</v>
      </c>
      <c r="H28" s="543" t="e">
        <f>SUM(#REF!,#REF!,#REF!,#REF!,#REF!,#REF!,#REF!,#REF!)</f>
        <v>#REF!</v>
      </c>
      <c r="I28" s="769" t="e">
        <f>SUM(#REF!,#REF!,#REF!,#REF!,#REF!,#REF!,#REF!,#REF!,#REF!)</f>
        <v>#REF!</v>
      </c>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c r="HY28"/>
      <c r="HZ28"/>
      <c r="IA28"/>
      <c r="IB28"/>
      <c r="IC28"/>
      <c r="ID28"/>
      <c r="IE28"/>
      <c r="IF28"/>
      <c r="IG28"/>
      <c r="IH28"/>
      <c r="II28"/>
      <c r="IJ28"/>
      <c r="IK28"/>
      <c r="IL28"/>
      <c r="IM28"/>
      <c r="IN28"/>
      <c r="IO28"/>
      <c r="IP28"/>
      <c r="IQ28"/>
      <c r="IR28"/>
      <c r="IS28"/>
      <c r="IT28"/>
      <c r="IU28"/>
    </row>
    <row r="29" spans="1:255" s="664" customFormat="1" ht="21" thickBot="1" x14ac:dyDescent="0.35">
      <c r="A29" s="814"/>
      <c r="B29" s="842" t="s">
        <v>1107</v>
      </c>
      <c r="C29" s="2235">
        <v>1145000</v>
      </c>
      <c r="D29" s="2235">
        <v>1145000</v>
      </c>
      <c r="E29" s="2231">
        <v>1145000</v>
      </c>
      <c r="F29" s="2233">
        <v>208550</v>
      </c>
      <c r="G29" s="2236">
        <v>350000</v>
      </c>
      <c r="H29" s="421" t="e">
        <f>SUM(#REF!+#REF!+#REF!)</f>
        <v>#REF!</v>
      </c>
      <c r="I29" s="762" t="e">
        <f>SUM(#REF!+#REF!+#REF!)</f>
        <v>#REF!</v>
      </c>
      <c r="IO29" s="116"/>
      <c r="IP29" s="116"/>
      <c r="IQ29" s="116"/>
      <c r="IR29" s="116"/>
      <c r="IS29" s="116"/>
      <c r="IT29" s="116"/>
      <c r="IU29" s="116"/>
    </row>
    <row r="30" spans="1:255" s="289" customFormat="1" ht="21" thickBot="1" x14ac:dyDescent="0.35">
      <c r="A30" s="814"/>
      <c r="B30" s="842" t="s">
        <v>54</v>
      </c>
      <c r="C30" s="2200">
        <v>85052500</v>
      </c>
      <c r="D30" s="2201">
        <v>138696867.59</v>
      </c>
      <c r="E30" s="2201">
        <v>101193603.16</v>
      </c>
      <c r="F30" s="2202">
        <v>70676314.840000004</v>
      </c>
      <c r="G30" s="2238">
        <v>36990000</v>
      </c>
      <c r="H30" s="677" t="e">
        <f>SUM(#REF!,#REF!,#REF!)</f>
        <v>#REF!</v>
      </c>
      <c r="I30" s="770" t="e">
        <f>SUM(#REF!,#REF!,#REF!)</f>
        <v>#REF!</v>
      </c>
    </row>
    <row r="31" spans="1:255" s="116" customFormat="1" ht="24" thickBot="1" x14ac:dyDescent="0.4">
      <c r="A31" s="824"/>
      <c r="B31" s="824" t="s">
        <v>55</v>
      </c>
      <c r="C31" s="2257">
        <f t="shared" ref="C31:I31" si="2">SUM(C14+C15+C16+C17+C18+C19+C20+C21+C22+C23+C24+C25+C26+C27+C28+C29+C30)</f>
        <v>1000477597.2</v>
      </c>
      <c r="D31" s="2258">
        <f t="shared" si="2"/>
        <v>1021034486.36</v>
      </c>
      <c r="E31" s="2258">
        <f t="shared" si="2"/>
        <v>929974427.93999994</v>
      </c>
      <c r="F31" s="2259">
        <f t="shared" si="2"/>
        <v>706320288.64999998</v>
      </c>
      <c r="G31" s="2260">
        <f>SUM(G14+G15+G16+G17+G18+G19+G20+G21+G22+G23+G24+G25+G26+G27+G28+G29+G30)</f>
        <v>1012540563</v>
      </c>
      <c r="H31" s="771" t="e">
        <f t="shared" si="2"/>
        <v>#REF!</v>
      </c>
      <c r="I31" s="772" t="e">
        <f t="shared" si="2"/>
        <v>#REF!</v>
      </c>
    </row>
    <row r="32" spans="1:255" x14ac:dyDescent="0.2">
      <c r="B32" s="729"/>
      <c r="C32" s="12"/>
      <c r="D32" s="12"/>
      <c r="E32" s="12"/>
      <c r="F32" s="12"/>
      <c r="G32" s="12"/>
      <c r="H32" s="12"/>
      <c r="I32" s="12"/>
    </row>
    <row r="33" spans="1:9" x14ac:dyDescent="0.2">
      <c r="B33" s="695"/>
      <c r="C33" s="12"/>
      <c r="D33" s="12"/>
      <c r="E33" s="12"/>
      <c r="F33" s="12"/>
      <c r="G33" s="12"/>
      <c r="H33" s="12"/>
      <c r="I33" s="12"/>
    </row>
    <row r="34" spans="1:9" s="116" customFormat="1" x14ac:dyDescent="0.2">
      <c r="A34" s="1"/>
      <c r="B34" s="12"/>
      <c r="C34" s="12"/>
      <c r="D34" s="12"/>
      <c r="E34" s="12"/>
      <c r="F34" s="129"/>
      <c r="G34" s="12"/>
      <c r="H34" s="12"/>
      <c r="I34" s="107"/>
    </row>
    <row r="35" spans="1:9" s="116" customFormat="1" x14ac:dyDescent="0.2">
      <c r="A35" s="1"/>
      <c r="B35" s="12"/>
      <c r="C35" s="12"/>
      <c r="D35" s="12"/>
      <c r="E35" s="12"/>
      <c r="F35" s="129"/>
      <c r="G35" s="12"/>
      <c r="H35" s="12"/>
      <c r="I35" s="107"/>
    </row>
    <row r="36" spans="1:9" x14ac:dyDescent="0.2">
      <c r="B36" s="12"/>
      <c r="C36" s="12"/>
      <c r="D36" s="12"/>
      <c r="E36" s="12"/>
      <c r="F36" s="129"/>
      <c r="G36" s="12"/>
      <c r="H36" s="12"/>
      <c r="I36" s="12"/>
    </row>
    <row r="38" spans="1:9" x14ac:dyDescent="0.2">
      <c r="H38" s="702"/>
    </row>
  </sheetData>
  <sheetProtection selectLockedCells="1" selectUnlockedCells="1"/>
  <autoFilter ref="F2:F38"/>
  <printOptions horizontalCentered="1"/>
  <pageMargins left="3.937007874015748E-2" right="3.937007874015748E-2" top="0.78740157480314965" bottom="0.19685039370078741" header="0.31496062992125984" footer="0.31496062992125984"/>
  <pageSetup paperSize="9" scale="67" firstPageNumber="0" orientation="landscape" horizontalDpi="300" verticalDpi="300" r:id="rId1"/>
  <headerFooter alignWithMargins="0">
    <oddFooter>&amp;C&amp;P</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22"/>
    <pageSetUpPr fitToPage="1"/>
  </sheetPr>
  <dimension ref="A1:IY968"/>
  <sheetViews>
    <sheetView zoomScale="80" zoomScaleNormal="80" zoomScaleSheetLayoutView="80" workbookViewId="0">
      <pane ySplit="2" topLeftCell="A165" activePane="bottomLeft" state="frozen"/>
      <selection pane="bottomLeft" activeCell="F159" sqref="F159"/>
    </sheetView>
  </sheetViews>
  <sheetFormatPr defaultColWidth="9.5703125" defaultRowHeight="12.75" x14ac:dyDescent="0.2"/>
  <cols>
    <col min="1" max="1" width="28.7109375" style="1" customWidth="1"/>
    <col min="2" max="2" width="93.42578125" style="1" customWidth="1"/>
    <col min="3" max="3" width="26" style="1" customWidth="1"/>
    <col min="4" max="4" width="26" style="1" hidden="1" customWidth="1"/>
    <col min="5" max="7" width="26" style="1" customWidth="1"/>
    <col min="8" max="8" width="29.140625" style="2" hidden="1" customWidth="1"/>
    <col min="9" max="9" width="29.28515625" style="1" customWidth="1"/>
    <col min="10" max="10" width="28" style="1" hidden="1" customWidth="1"/>
    <col min="11" max="11" width="0.140625" style="1" customWidth="1"/>
    <col min="12" max="14" width="23.5703125" style="1" customWidth="1"/>
    <col min="15" max="16384" width="9.5703125" style="1"/>
  </cols>
  <sheetData>
    <row r="1" spans="1:12" ht="16.5" thickBot="1" x14ac:dyDescent="0.3">
      <c r="I1" s="830" t="s">
        <v>1105</v>
      </c>
    </row>
    <row r="2" spans="1:12" s="12" customFormat="1" ht="91.9" customHeight="1" thickBot="1" x14ac:dyDescent="0.25">
      <c r="A2" s="933" t="s">
        <v>1794</v>
      </c>
      <c r="B2" s="953" t="s">
        <v>2039</v>
      </c>
      <c r="C2" s="951" t="s">
        <v>1424</v>
      </c>
      <c r="D2" s="11" t="s">
        <v>1425</v>
      </c>
      <c r="E2" s="11" t="s">
        <v>1795</v>
      </c>
      <c r="F2" s="11" t="s">
        <v>1837</v>
      </c>
      <c r="G2" s="1233" t="s">
        <v>1793</v>
      </c>
      <c r="H2" s="1233" t="s">
        <v>1426</v>
      </c>
      <c r="I2" s="1502" t="s">
        <v>2042</v>
      </c>
      <c r="J2" s="1502" t="s">
        <v>1435</v>
      </c>
      <c r="K2" s="1502" t="s">
        <v>1435</v>
      </c>
    </row>
    <row r="3" spans="1:12" s="12" customFormat="1" ht="36" customHeight="1" thickBot="1" x14ac:dyDescent="0.35">
      <c r="A3" s="934"/>
      <c r="B3" s="954" t="s">
        <v>56</v>
      </c>
      <c r="C3" s="952"/>
      <c r="D3" s="100"/>
      <c r="E3" s="1489"/>
      <c r="F3" s="709"/>
      <c r="G3" s="1438"/>
      <c r="H3" s="1071"/>
      <c r="I3" s="1046"/>
      <c r="J3" s="1268" t="s">
        <v>1796</v>
      </c>
      <c r="K3" s="1506" t="s">
        <v>1698</v>
      </c>
      <c r="L3" s="697"/>
    </row>
    <row r="4" spans="1:12" s="107" customFormat="1" ht="18.75" thickBot="1" x14ac:dyDescent="0.3">
      <c r="A4" s="997"/>
      <c r="B4" s="955" t="s">
        <v>57</v>
      </c>
      <c r="C4" s="945">
        <f t="shared" ref="C4:I4" si="0">SUM(C5:C16,C20:C25,C32:C34)</f>
        <v>520342400</v>
      </c>
      <c r="D4" s="728">
        <f t="shared" si="0"/>
        <v>515095037.25999999</v>
      </c>
      <c r="E4" s="728">
        <f t="shared" si="0"/>
        <v>515639325.25999999</v>
      </c>
      <c r="F4" s="728">
        <f t="shared" si="0"/>
        <v>520076147.83999997</v>
      </c>
      <c r="G4" s="1072">
        <f t="shared" si="0"/>
        <v>450628042.73999995</v>
      </c>
      <c r="H4" s="1072">
        <f t="shared" si="0"/>
        <v>383670987</v>
      </c>
      <c r="I4" s="1503">
        <f t="shared" si="0"/>
        <v>545682000</v>
      </c>
      <c r="J4" s="1382">
        <f>SUM(J5:J16,J21,J22:J25,J32:J34)</f>
        <v>509995263</v>
      </c>
      <c r="K4" s="1507">
        <f>SUM(K5:K16,K21,K22:K25,K32:K34)</f>
        <v>521257000</v>
      </c>
      <c r="L4" s="698"/>
    </row>
    <row r="5" spans="1:12" s="107" customFormat="1" ht="12.75" customHeight="1" x14ac:dyDescent="0.2">
      <c r="A5" s="998">
        <v>1111</v>
      </c>
      <c r="B5" s="956" t="s">
        <v>1339</v>
      </c>
      <c r="C5" s="999">
        <f>(42800000*0.161362/100)*1000-4062936</f>
        <v>65000000</v>
      </c>
      <c r="D5" s="999">
        <f>(42800000*0.161362/100)*1000-4062936</f>
        <v>65000000</v>
      </c>
      <c r="E5" s="999">
        <f>(42800000*0.161362/100)*1000-4062936</f>
        <v>65000000</v>
      </c>
      <c r="F5" s="999">
        <f>(42800000*0.161362/100)*1000-4062936</f>
        <v>65000000</v>
      </c>
      <c r="G5" s="1436">
        <v>57349376.770000003</v>
      </c>
      <c r="H5" s="1234">
        <v>46788337.270000003</v>
      </c>
      <c r="I5" s="1504">
        <v>76180000</v>
      </c>
      <c r="J5" s="2269">
        <f>(50700000*0.156773/100)*1000</f>
        <v>79483911</v>
      </c>
      <c r="K5" s="2264">
        <v>80000000</v>
      </c>
      <c r="L5" s="2268"/>
    </row>
    <row r="6" spans="1:12" s="116" customFormat="1" ht="12.75" customHeight="1" x14ac:dyDescent="0.2">
      <c r="A6" s="797">
        <v>1111</v>
      </c>
      <c r="B6" s="921" t="s">
        <v>1229</v>
      </c>
      <c r="C6" s="1000">
        <f>(2500000*0.24754/100)*1000-188500</f>
        <v>6000000</v>
      </c>
      <c r="D6" s="1000">
        <f>(2500000*0.24754/100)*1000-188500</f>
        <v>6000000</v>
      </c>
      <c r="E6" s="1000">
        <f>(2500000*0.24754/100)*1000-188500</f>
        <v>6000000</v>
      </c>
      <c r="F6" s="1000">
        <f>(2500000*0.24754/100)*1000-188500</f>
        <v>6000000</v>
      </c>
      <c r="G6" s="1436">
        <v>5385613.0800000001</v>
      </c>
      <c r="H6" s="439">
        <v>4166587.24</v>
      </c>
      <c r="I6" s="1505">
        <v>7440000</v>
      </c>
      <c r="J6" s="2270"/>
      <c r="K6" s="2265"/>
      <c r="L6" s="2268"/>
    </row>
    <row r="7" spans="1:12" s="116" customFormat="1" ht="12.75" customHeight="1" x14ac:dyDescent="0.2">
      <c r="A7" s="797">
        <v>1112</v>
      </c>
      <c r="B7" s="921" t="s">
        <v>1228</v>
      </c>
      <c r="C7" s="1001">
        <f>(2800000*0.161362/100)*1000-518136</f>
        <v>4000000</v>
      </c>
      <c r="D7" s="1001">
        <f>(2800000*0.161362/100)*1000-518136</f>
        <v>4000000</v>
      </c>
      <c r="E7" s="1001">
        <f>(2800000*0.161362/100)*1000-518136</f>
        <v>4000000</v>
      </c>
      <c r="F7" s="1001">
        <v>4500000</v>
      </c>
      <c r="G7" s="1436">
        <v>4257957.66</v>
      </c>
      <c r="H7" s="1234">
        <v>2986212.14</v>
      </c>
      <c r="I7" s="1505">
        <v>5470000</v>
      </c>
      <c r="J7" s="1001">
        <f>(3500000*0.156773/100)*1000</f>
        <v>5487055</v>
      </c>
      <c r="K7" s="1508">
        <v>6000000</v>
      </c>
      <c r="L7" s="1436"/>
    </row>
    <row r="8" spans="1:12" s="116" customFormat="1" ht="12.75" customHeight="1" x14ac:dyDescent="0.2">
      <c r="A8" s="797">
        <v>1113</v>
      </c>
      <c r="B8" s="921" t="s">
        <v>1230</v>
      </c>
      <c r="C8" s="1001">
        <f>(9000000*0.161362/100)*1000-1522580</f>
        <v>13000000</v>
      </c>
      <c r="D8" s="1001">
        <f>(9000000*0.161362/100)*1000-1522580</f>
        <v>13000000</v>
      </c>
      <c r="E8" s="1001">
        <f>(9000000*0.161362/100)*1000-1522580</f>
        <v>13000000</v>
      </c>
      <c r="F8" s="1001">
        <v>17000000</v>
      </c>
      <c r="G8" s="1436">
        <v>14658580.050000001</v>
      </c>
      <c r="H8" s="439">
        <v>11360375.300000001</v>
      </c>
      <c r="I8" s="1505">
        <v>14850000</v>
      </c>
      <c r="J8" s="1001">
        <f>(9300000*0.156773/100)*1000</f>
        <v>14579889</v>
      </c>
      <c r="K8" s="1508">
        <v>14000000</v>
      </c>
      <c r="L8" s="1436"/>
    </row>
    <row r="9" spans="1:12" s="116" customFormat="1" ht="12.75" customHeight="1" x14ac:dyDescent="0.2">
      <c r="A9" s="797">
        <v>1121</v>
      </c>
      <c r="B9" s="921" t="s">
        <v>1231</v>
      </c>
      <c r="C9" s="1001">
        <f>(63100000*0.161362/100)*1000-1819422</f>
        <v>100000000</v>
      </c>
      <c r="D9" s="1001">
        <f>(63100000*0.161362/100)*1000-1819422</f>
        <v>100000000</v>
      </c>
      <c r="E9" s="1001">
        <f>(63100000*0.161362/100)*1000-1819422</f>
        <v>100000000</v>
      </c>
      <c r="F9" s="1001">
        <v>108000000</v>
      </c>
      <c r="G9" s="1436">
        <v>103845604.63</v>
      </c>
      <c r="H9" s="439">
        <v>85054147.239999995</v>
      </c>
      <c r="I9" s="1505">
        <f>119931345-1345</f>
        <v>119930000</v>
      </c>
      <c r="J9" s="1505">
        <v>109390000</v>
      </c>
      <c r="K9" s="1508">
        <v>120000000</v>
      </c>
      <c r="L9" s="1436"/>
    </row>
    <row r="10" spans="1:12" s="116" customFormat="1" ht="25.5" customHeight="1" x14ac:dyDescent="0.2">
      <c r="A10" s="797">
        <v>1122</v>
      </c>
      <c r="B10" s="790" t="s">
        <v>1233</v>
      </c>
      <c r="C10" s="718">
        <v>40000000</v>
      </c>
      <c r="D10" s="718">
        <f>40000000-10050300</f>
        <v>29949700</v>
      </c>
      <c r="E10" s="718">
        <f>40000000-10050300</f>
        <v>29949700</v>
      </c>
      <c r="F10" s="718">
        <v>29949700</v>
      </c>
      <c r="G10" s="718">
        <v>29949700</v>
      </c>
      <c r="H10" s="897">
        <f>40000000-10050300</f>
        <v>29949700</v>
      </c>
      <c r="I10" s="718">
        <v>30000000</v>
      </c>
      <c r="J10" s="884">
        <v>30000000</v>
      </c>
      <c r="K10" s="699">
        <v>30000000</v>
      </c>
      <c r="L10" s="916"/>
    </row>
    <row r="11" spans="1:12" s="116" customFormat="1" ht="12.75" customHeight="1" x14ac:dyDescent="0.2">
      <c r="A11" s="797">
        <v>1211</v>
      </c>
      <c r="B11" s="921" t="s">
        <v>1232</v>
      </c>
      <c r="C11" s="1001">
        <f>(152800000*0.161362/100)*1000-1561136</f>
        <v>245000000.00000003</v>
      </c>
      <c r="D11" s="1001">
        <f>(152800000*0.161362/100)*1000-1561136</f>
        <v>245000000.00000003</v>
      </c>
      <c r="E11" s="1001">
        <f>(152800000*0.161362/100)*1000-1561136</f>
        <v>245000000.00000003</v>
      </c>
      <c r="F11" s="494">
        <v>230000000</v>
      </c>
      <c r="G11" s="1234">
        <v>183695117.49000001</v>
      </c>
      <c r="H11" s="439">
        <v>154797525.06999999</v>
      </c>
      <c r="I11" s="1001">
        <v>233630000</v>
      </c>
      <c r="J11" s="1269">
        <v>234532408</v>
      </c>
      <c r="K11" s="1508">
        <v>234000000</v>
      </c>
      <c r="L11" s="1436"/>
    </row>
    <row r="12" spans="1:12" s="116" customFormat="1" ht="25.5" x14ac:dyDescent="0.2">
      <c r="A12" s="797">
        <v>1334</v>
      </c>
      <c r="B12" s="790" t="s">
        <v>1234</v>
      </c>
      <c r="C12" s="885">
        <v>50000</v>
      </c>
      <c r="D12" s="138">
        <v>70000</v>
      </c>
      <c r="E12" s="138">
        <v>70000</v>
      </c>
      <c r="F12" s="138">
        <v>70000</v>
      </c>
      <c r="G12" s="1183">
        <v>69433</v>
      </c>
      <c r="H12" s="712">
        <v>68232.7</v>
      </c>
      <c r="I12" s="1089">
        <v>50000</v>
      </c>
      <c r="J12" s="1270">
        <v>50000</v>
      </c>
      <c r="K12" s="1509">
        <v>50000</v>
      </c>
      <c r="L12" s="894"/>
    </row>
    <row r="13" spans="1:12" s="116" customFormat="1" x14ac:dyDescent="0.2">
      <c r="A13" s="797">
        <v>1335</v>
      </c>
      <c r="B13" s="921" t="s">
        <v>1235</v>
      </c>
      <c r="C13" s="885">
        <v>5000</v>
      </c>
      <c r="D13" s="138">
        <v>5000</v>
      </c>
      <c r="E13" s="138">
        <v>5000</v>
      </c>
      <c r="F13" s="138">
        <v>2500</v>
      </c>
      <c r="G13" s="1183">
        <v>1778.04</v>
      </c>
      <c r="H13" s="439">
        <v>1778.04</v>
      </c>
      <c r="I13" s="1089">
        <v>2000</v>
      </c>
      <c r="J13" s="1270">
        <v>2000</v>
      </c>
      <c r="K13" s="1270">
        <v>2000</v>
      </c>
    </row>
    <row r="14" spans="1:12" s="116" customFormat="1" x14ac:dyDescent="0.2">
      <c r="A14" s="797">
        <v>1336</v>
      </c>
      <c r="B14" s="921" t="s">
        <v>1236</v>
      </c>
      <c r="C14" s="885">
        <v>8400</v>
      </c>
      <c r="D14" s="138">
        <v>8400</v>
      </c>
      <c r="E14" s="138">
        <v>8400</v>
      </c>
      <c r="F14" s="138">
        <v>8400</v>
      </c>
      <c r="G14" s="138">
        <v>8400</v>
      </c>
      <c r="H14" s="439">
        <v>8400</v>
      </c>
      <c r="I14" s="1089">
        <v>0</v>
      </c>
      <c r="J14" s="1270">
        <v>0</v>
      </c>
      <c r="K14" s="1271">
        <v>0</v>
      </c>
    </row>
    <row r="15" spans="1:12" s="116" customFormat="1" x14ac:dyDescent="0.2">
      <c r="A15" s="797">
        <v>1341</v>
      </c>
      <c r="B15" s="921" t="s">
        <v>1798</v>
      </c>
      <c r="C15" s="885">
        <v>600000</v>
      </c>
      <c r="D15" s="227">
        <v>600000</v>
      </c>
      <c r="E15" s="227">
        <v>600000</v>
      </c>
      <c r="F15" s="138">
        <v>620000</v>
      </c>
      <c r="G15" s="1183">
        <v>606124.39</v>
      </c>
      <c r="H15" s="439">
        <v>585348.97</v>
      </c>
      <c r="I15" s="1089">
        <v>600000</v>
      </c>
      <c r="J15" s="1139">
        <v>600000</v>
      </c>
      <c r="K15" s="1139">
        <v>600000</v>
      </c>
    </row>
    <row r="16" spans="1:12" s="116" customFormat="1" x14ac:dyDescent="0.2">
      <c r="A16" s="797">
        <v>1343</v>
      </c>
      <c r="B16" s="921" t="s">
        <v>1237</v>
      </c>
      <c r="C16" s="778">
        <f>SUM(C17:C19)</f>
        <v>270000</v>
      </c>
      <c r="D16" s="778">
        <f t="shared" ref="D16:K16" si="1">SUM(D17:D19)</f>
        <v>471454</v>
      </c>
      <c r="E16" s="778">
        <f t="shared" si="1"/>
        <v>532272</v>
      </c>
      <c r="F16" s="778">
        <f t="shared" si="1"/>
        <v>570000</v>
      </c>
      <c r="G16" s="1545">
        <f t="shared" si="1"/>
        <v>545915</v>
      </c>
      <c r="H16" s="1073">
        <f t="shared" si="1"/>
        <v>498972</v>
      </c>
      <c r="I16" s="778">
        <f t="shared" si="1"/>
        <v>425000</v>
      </c>
      <c r="J16" s="1272">
        <f t="shared" si="1"/>
        <v>425000</v>
      </c>
      <c r="K16" s="1272">
        <f t="shared" si="1"/>
        <v>425000</v>
      </c>
    </row>
    <row r="17" spans="1:35" x14ac:dyDescent="0.2">
      <c r="A17" s="1002" t="s">
        <v>1103</v>
      </c>
      <c r="B17" s="922" t="s">
        <v>1238</v>
      </c>
      <c r="C17" s="886">
        <v>120000</v>
      </c>
      <c r="D17" s="127">
        <v>288914</v>
      </c>
      <c r="E17" s="127">
        <v>313032</v>
      </c>
      <c r="F17" s="127">
        <v>350000</v>
      </c>
      <c r="G17" s="1546">
        <v>331519</v>
      </c>
      <c r="H17" s="228">
        <v>288914</v>
      </c>
      <c r="I17" s="1090">
        <v>250000</v>
      </c>
      <c r="J17" s="1191">
        <v>250000</v>
      </c>
      <c r="K17" s="1273">
        <v>250000</v>
      </c>
    </row>
    <row r="18" spans="1:35" x14ac:dyDescent="0.2">
      <c r="A18" s="799"/>
      <c r="B18" s="922" t="s">
        <v>1422</v>
      </c>
      <c r="C18" s="886">
        <v>65000</v>
      </c>
      <c r="D18" s="127">
        <v>65000</v>
      </c>
      <c r="E18" s="127">
        <f>41700+60000</f>
        <v>101700</v>
      </c>
      <c r="F18" s="127">
        <v>100000</v>
      </c>
      <c r="G18" s="1546">
        <f>41700+53356</f>
        <v>95056</v>
      </c>
      <c r="H18" s="228">
        <v>92518</v>
      </c>
      <c r="I18" s="1090">
        <v>90000</v>
      </c>
      <c r="J18" s="1191">
        <v>90000</v>
      </c>
      <c r="K18" s="1273">
        <v>90000</v>
      </c>
    </row>
    <row r="19" spans="1:35" x14ac:dyDescent="0.2">
      <c r="A19" s="799"/>
      <c r="B19" s="922" t="s">
        <v>1423</v>
      </c>
      <c r="C19" s="886">
        <v>85000</v>
      </c>
      <c r="D19" s="127">
        <v>117540</v>
      </c>
      <c r="E19" s="127">
        <v>117540</v>
      </c>
      <c r="F19" s="127">
        <v>120000</v>
      </c>
      <c r="G19" s="1546">
        <v>119340</v>
      </c>
      <c r="H19" s="228">
        <v>117540</v>
      </c>
      <c r="I19" s="1090">
        <v>85000</v>
      </c>
      <c r="J19" s="1383">
        <v>85000</v>
      </c>
      <c r="K19" s="1274">
        <v>85000</v>
      </c>
    </row>
    <row r="20" spans="1:35" ht="25.5" x14ac:dyDescent="0.2">
      <c r="A20" s="1003">
        <v>1345</v>
      </c>
      <c r="B20" s="789" t="s">
        <v>1799</v>
      </c>
      <c r="C20" s="885">
        <v>12500000</v>
      </c>
      <c r="D20" s="896">
        <v>12500000</v>
      </c>
      <c r="E20" s="1490">
        <v>12500000</v>
      </c>
      <c r="F20" s="896">
        <v>12600000</v>
      </c>
      <c r="G20" s="1246">
        <v>12401905.25</v>
      </c>
      <c r="H20" s="1091">
        <v>11976178.24</v>
      </c>
      <c r="I20" s="1089">
        <v>17500000</v>
      </c>
      <c r="J20" s="1275">
        <v>12500000</v>
      </c>
      <c r="K20" s="1275">
        <v>17500000</v>
      </c>
    </row>
    <row r="21" spans="1:35" s="107" customFormat="1" ht="24.75" x14ac:dyDescent="0.2">
      <c r="A21" s="797">
        <v>1346</v>
      </c>
      <c r="B21" s="790" t="s">
        <v>1239</v>
      </c>
      <c r="C21" s="885">
        <v>121000</v>
      </c>
      <c r="D21" s="227">
        <v>174900</v>
      </c>
      <c r="E21" s="1490">
        <v>183000</v>
      </c>
      <c r="F21" s="227">
        <v>190000</v>
      </c>
      <c r="G21" s="1091">
        <v>184200</v>
      </c>
      <c r="H21" s="1091">
        <v>180700</v>
      </c>
      <c r="I21" s="1089">
        <v>180000</v>
      </c>
      <c r="J21" s="1139">
        <v>180000</v>
      </c>
      <c r="K21" s="1139"/>
    </row>
    <row r="22" spans="1:35" s="107" customFormat="1" x14ac:dyDescent="0.2">
      <c r="A22" s="797">
        <v>1353</v>
      </c>
      <c r="B22" s="921" t="s">
        <v>1240</v>
      </c>
      <c r="C22" s="885">
        <v>550000</v>
      </c>
      <c r="D22" s="138">
        <v>550000</v>
      </c>
      <c r="E22" s="138">
        <v>628700</v>
      </c>
      <c r="F22" s="138">
        <v>725000</v>
      </c>
      <c r="G22" s="1183">
        <v>709700</v>
      </c>
      <c r="H22" s="439">
        <v>546000</v>
      </c>
      <c r="I22" s="1261">
        <v>750000</v>
      </c>
      <c r="J22" s="1191">
        <v>550000</v>
      </c>
      <c r="K22" s="1066">
        <v>550000</v>
      </c>
    </row>
    <row r="23" spans="1:35" s="116" customFormat="1" ht="12.75" customHeight="1" x14ac:dyDescent="0.2">
      <c r="A23" s="797">
        <v>1356</v>
      </c>
      <c r="B23" s="921" t="s">
        <v>1241</v>
      </c>
      <c r="C23" s="718">
        <v>250000</v>
      </c>
      <c r="D23" s="138">
        <v>250000</v>
      </c>
      <c r="E23" s="138">
        <v>250000</v>
      </c>
      <c r="F23" s="138">
        <v>242547.84</v>
      </c>
      <c r="G23" s="1183">
        <v>242547.84</v>
      </c>
      <c r="H23" s="439">
        <v>242547.84</v>
      </c>
      <c r="I23" s="718">
        <v>250000</v>
      </c>
      <c r="J23" s="884">
        <v>250000</v>
      </c>
      <c r="K23" s="1066">
        <v>250000</v>
      </c>
    </row>
    <row r="24" spans="1:35" s="116" customFormat="1" ht="12.75" customHeight="1" x14ac:dyDescent="0.2">
      <c r="A24" s="797">
        <v>1359</v>
      </c>
      <c r="B24" s="921" t="s">
        <v>1832</v>
      </c>
      <c r="C24" s="718">
        <v>0</v>
      </c>
      <c r="D24" s="138">
        <v>0</v>
      </c>
      <c r="E24" s="138">
        <v>0</v>
      </c>
      <c r="F24" s="138">
        <v>35000</v>
      </c>
      <c r="G24" s="1183">
        <v>35000</v>
      </c>
      <c r="H24" s="439">
        <v>48000</v>
      </c>
      <c r="I24" s="718">
        <v>0</v>
      </c>
      <c r="J24" s="884">
        <v>0</v>
      </c>
      <c r="K24" s="1066">
        <v>0</v>
      </c>
    </row>
    <row r="25" spans="1:35" s="116" customFormat="1" ht="12.75" customHeight="1" x14ac:dyDescent="0.2">
      <c r="A25" s="797">
        <v>1361</v>
      </c>
      <c r="B25" s="921" t="s">
        <v>1243</v>
      </c>
      <c r="C25" s="778">
        <f>SUM(C26:C31)</f>
        <v>8488000</v>
      </c>
      <c r="D25" s="778">
        <f t="shared" ref="D25:K25" si="2">SUM(D26:D31)</f>
        <v>8488000</v>
      </c>
      <c r="E25" s="778">
        <f t="shared" si="2"/>
        <v>8884670</v>
      </c>
      <c r="F25" s="778">
        <f t="shared" si="2"/>
        <v>10363000</v>
      </c>
      <c r="G25" s="1073">
        <f t="shared" si="2"/>
        <v>9600430</v>
      </c>
      <c r="H25" s="1073">
        <f t="shared" si="2"/>
        <v>7906420</v>
      </c>
      <c r="I25" s="778">
        <f t="shared" si="2"/>
        <v>8825000</v>
      </c>
      <c r="J25" s="1272">
        <f t="shared" si="2"/>
        <v>8825000</v>
      </c>
      <c r="K25" s="1272">
        <f t="shared" si="2"/>
        <v>8740000</v>
      </c>
    </row>
    <row r="26" spans="1:35" s="12" customFormat="1" ht="12.75" customHeight="1" x14ac:dyDescent="0.2">
      <c r="A26" s="799"/>
      <c r="B26" s="922" t="s">
        <v>1242</v>
      </c>
      <c r="C26" s="886">
        <v>5400000</v>
      </c>
      <c r="D26" s="127">
        <v>5400000</v>
      </c>
      <c r="E26" s="127">
        <f>716670+5000000+80000</f>
        <v>5796670</v>
      </c>
      <c r="F26" s="127">
        <v>6000000</v>
      </c>
      <c r="G26" s="228">
        <f>764785+4731800+123850</f>
        <v>5620435</v>
      </c>
      <c r="H26" s="228">
        <f>669610+3823700+94850</f>
        <v>4588160</v>
      </c>
      <c r="I26" s="1090">
        <v>5500000</v>
      </c>
      <c r="J26" s="1191">
        <v>5500000</v>
      </c>
      <c r="K26" s="1273">
        <v>5600000</v>
      </c>
    </row>
    <row r="27" spans="1:35" ht="27.75" customHeight="1" x14ac:dyDescent="0.2">
      <c r="A27" s="798" t="s">
        <v>1244</v>
      </c>
      <c r="B27" s="924" t="s">
        <v>1833</v>
      </c>
      <c r="C27" s="886">
        <v>400000</v>
      </c>
      <c r="D27" s="127">
        <v>400000</v>
      </c>
      <c r="E27" s="127">
        <v>400000</v>
      </c>
      <c r="F27" s="127">
        <v>450000</v>
      </c>
      <c r="G27" s="228">
        <f>9000+10130+403800+820</f>
        <v>423750</v>
      </c>
      <c r="H27" s="228">
        <v>341430</v>
      </c>
      <c r="I27" s="1090">
        <v>416000</v>
      </c>
      <c r="J27" s="1276">
        <v>416000</v>
      </c>
      <c r="K27" s="1276">
        <v>416000</v>
      </c>
    </row>
    <row r="28" spans="1:35" ht="12.75" customHeight="1" x14ac:dyDescent="0.2">
      <c r="A28" s="799"/>
      <c r="B28" s="922" t="s">
        <v>1834</v>
      </c>
      <c r="C28" s="886">
        <v>1000000</v>
      </c>
      <c r="D28" s="127">
        <v>1000000</v>
      </c>
      <c r="E28" s="127">
        <v>1000000</v>
      </c>
      <c r="F28" s="127">
        <v>1200000</v>
      </c>
      <c r="G28" s="228">
        <v>1071850</v>
      </c>
      <c r="H28" s="228">
        <v>827250</v>
      </c>
      <c r="I28" s="1090">
        <v>1000000</v>
      </c>
      <c r="J28" s="1191">
        <v>1000000</v>
      </c>
      <c r="K28" s="1273">
        <v>1000000</v>
      </c>
    </row>
    <row r="29" spans="1:35" s="146" customFormat="1" ht="24" customHeight="1" x14ac:dyDescent="0.2">
      <c r="A29" s="1004" t="s">
        <v>1268</v>
      </c>
      <c r="B29" s="924" t="s">
        <v>2024</v>
      </c>
      <c r="C29" s="733">
        <v>1500000</v>
      </c>
      <c r="D29" s="127">
        <v>1500000</v>
      </c>
      <c r="E29" s="127">
        <v>1500000</v>
      </c>
      <c r="F29" s="127">
        <v>2500000</v>
      </c>
      <c r="G29" s="228">
        <v>2274995</v>
      </c>
      <c r="H29" s="228">
        <f>600+1453700+117855+33630+23015+326300+9800+2000+350+4530+900+100+1400</f>
        <v>1974180</v>
      </c>
      <c r="I29" s="733">
        <v>1719000</v>
      </c>
      <c r="J29" s="1276">
        <v>1719000</v>
      </c>
      <c r="K29" s="1276">
        <v>1719000</v>
      </c>
      <c r="L29" s="145"/>
      <c r="M29" s="145"/>
      <c r="N29" s="145"/>
      <c r="O29" s="145"/>
      <c r="P29" s="145"/>
      <c r="Q29" s="145"/>
      <c r="R29" s="145"/>
      <c r="S29" s="145"/>
      <c r="T29" s="145"/>
      <c r="U29" s="145"/>
      <c r="V29" s="145"/>
      <c r="W29" s="145"/>
      <c r="X29" s="145"/>
      <c r="Y29" s="145"/>
      <c r="Z29" s="145"/>
      <c r="AA29" s="145"/>
      <c r="AB29" s="145"/>
      <c r="AC29" s="145"/>
      <c r="AD29" s="145"/>
      <c r="AE29" s="145"/>
      <c r="AF29" s="145"/>
      <c r="AG29" s="145"/>
      <c r="AH29" s="145"/>
      <c r="AI29" s="145"/>
    </row>
    <row r="30" spans="1:35" ht="12.75" customHeight="1" x14ac:dyDescent="0.2">
      <c r="A30" s="799"/>
      <c r="B30" s="922" t="s">
        <v>1835</v>
      </c>
      <c r="C30" s="733">
        <v>182000</v>
      </c>
      <c r="D30" s="127">
        <v>182000</v>
      </c>
      <c r="E30" s="127">
        <f>102000+80000</f>
        <v>182000</v>
      </c>
      <c r="F30" s="127">
        <v>208000</v>
      </c>
      <c r="G30" s="228">
        <f>100650+94550+7000+3200</f>
        <v>205400</v>
      </c>
      <c r="H30" s="228">
        <v>172200</v>
      </c>
      <c r="I30" s="733">
        <v>185000</v>
      </c>
      <c r="J30" s="1303">
        <v>185000</v>
      </c>
      <c r="K30" s="1274"/>
    </row>
    <row r="31" spans="1:35" ht="12.75" customHeight="1" x14ac:dyDescent="0.2">
      <c r="A31" s="798" t="s">
        <v>1428</v>
      </c>
      <c r="B31" s="922" t="s">
        <v>1836</v>
      </c>
      <c r="C31" s="886">
        <v>6000</v>
      </c>
      <c r="D31" s="127">
        <v>6000</v>
      </c>
      <c r="E31" s="127">
        <v>6000</v>
      </c>
      <c r="F31" s="127">
        <v>5000</v>
      </c>
      <c r="G31" s="228">
        <v>4000</v>
      </c>
      <c r="H31" s="228">
        <v>3200</v>
      </c>
      <c r="I31" s="1090">
        <v>5000</v>
      </c>
      <c r="J31" s="1304">
        <v>5000</v>
      </c>
      <c r="K31" s="1273">
        <v>5000</v>
      </c>
    </row>
    <row r="32" spans="1:35" ht="12.75" customHeight="1" x14ac:dyDescent="0.2">
      <c r="A32" s="1004" t="s">
        <v>1429</v>
      </c>
      <c r="B32" s="931" t="s">
        <v>1245</v>
      </c>
      <c r="C32" s="885">
        <v>2500000</v>
      </c>
      <c r="D32" s="138">
        <v>3059345.14</v>
      </c>
      <c r="E32" s="138">
        <v>3059345.14</v>
      </c>
      <c r="F32" s="138">
        <v>3200000</v>
      </c>
      <c r="G32" s="439">
        <v>2559345.14</v>
      </c>
      <c r="H32" s="439">
        <v>2559345.14</v>
      </c>
      <c r="I32" s="1089">
        <v>2640000</v>
      </c>
      <c r="J32" s="2266">
        <v>5640000</v>
      </c>
      <c r="K32" s="1270">
        <v>2640000</v>
      </c>
    </row>
    <row r="33" spans="1:64" ht="12.75" customHeight="1" x14ac:dyDescent="0.2">
      <c r="A33" s="1004" t="s">
        <v>1430</v>
      </c>
      <c r="B33" s="931" t="s">
        <v>1246</v>
      </c>
      <c r="C33" s="885">
        <v>11000000</v>
      </c>
      <c r="D33" s="138">
        <v>14968238.119999999</v>
      </c>
      <c r="E33" s="138">
        <v>14968238.119999999</v>
      </c>
      <c r="F33" s="138">
        <v>20000000</v>
      </c>
      <c r="G33" s="439">
        <v>15151835.310000001</v>
      </c>
      <c r="H33" s="439">
        <v>14968238.119999999</v>
      </c>
      <c r="I33" s="1089">
        <v>3000000</v>
      </c>
      <c r="J33" s="2267"/>
      <c r="K33" s="1270">
        <v>3000000</v>
      </c>
    </row>
    <row r="34" spans="1:64" s="116" customFormat="1" ht="12.75" customHeight="1" x14ac:dyDescent="0.2">
      <c r="A34" s="851" t="s">
        <v>1431</v>
      </c>
      <c r="B34" s="921" t="s">
        <v>1247</v>
      </c>
      <c r="C34" s="718">
        <v>11000000</v>
      </c>
      <c r="D34" s="884">
        <v>11000000</v>
      </c>
      <c r="E34" s="884">
        <v>11000000</v>
      </c>
      <c r="F34" s="884">
        <v>11000000</v>
      </c>
      <c r="G34" s="699">
        <f>9133677.96+235801.13</f>
        <v>9369479.0900000017</v>
      </c>
      <c r="H34" s="439">
        <v>8977941.6899999995</v>
      </c>
      <c r="I34" s="718">
        <v>23960000</v>
      </c>
      <c r="J34" s="1270">
        <v>20000000</v>
      </c>
      <c r="K34" s="1270">
        <v>21000000</v>
      </c>
    </row>
    <row r="35" spans="1:64" s="116" customFormat="1" ht="12.75" customHeight="1" thickBot="1" x14ac:dyDescent="0.25">
      <c r="A35" s="1005"/>
      <c r="B35" s="957"/>
      <c r="C35" s="779"/>
      <c r="D35" s="700"/>
      <c r="E35" s="700"/>
      <c r="F35" s="713"/>
      <c r="G35" s="1439"/>
      <c r="H35" s="714"/>
      <c r="I35" s="779"/>
      <c r="J35" s="1384"/>
      <c r="K35" s="1277"/>
    </row>
    <row r="36" spans="1:64" s="116" customFormat="1" ht="18.75" customHeight="1" thickBot="1" x14ac:dyDescent="0.3">
      <c r="A36" s="1006"/>
      <c r="B36" s="958" t="s">
        <v>10</v>
      </c>
      <c r="C36" s="436">
        <f t="shared" ref="C36:I36" si="3">SUM(C37,C49:C52,C64:C65,C79:C79,C92:C94,C112:C113)</f>
        <v>153980616.31999999</v>
      </c>
      <c r="D36" s="436">
        <f t="shared" si="3"/>
        <v>154867882.59</v>
      </c>
      <c r="E36" s="2186">
        <f t="shared" si="3"/>
        <v>150828199.39000002</v>
      </c>
      <c r="F36" s="2186">
        <f>SUM(F37,F49:F52,F64:F65,F79:F79,F91:F94,F112:F113)</f>
        <v>149786193.13999999</v>
      </c>
      <c r="G36" s="2186">
        <f>SUM(G37,G49:G52,G64:G65,G79:G79,G91:G94,G112:G113)</f>
        <v>139449746.31</v>
      </c>
      <c r="H36" s="436">
        <f t="shared" si="3"/>
        <v>119539431.50999996</v>
      </c>
      <c r="I36" s="436">
        <f t="shared" si="3"/>
        <v>163957324.72000003</v>
      </c>
      <c r="J36" s="1322">
        <f>SUM(J37,J49:J52,J64:J65,J79:J79,J92:J94,J113:J113)</f>
        <v>11147000</v>
      </c>
      <c r="K36" s="1278">
        <f>SUM(K37,K49:K52,K64:K65,K79:K79,K92:K94,K113:K113)</f>
        <v>6262000</v>
      </c>
      <c r="L36" s="107"/>
      <c r="M36" s="107"/>
      <c r="N36" s="107"/>
      <c r="O36" s="107"/>
      <c r="P36" s="107"/>
      <c r="Q36" s="107"/>
      <c r="R36" s="107"/>
      <c r="S36" s="107"/>
      <c r="T36" s="107"/>
      <c r="U36" s="107"/>
      <c r="V36" s="107"/>
      <c r="W36" s="107"/>
      <c r="X36" s="107"/>
      <c r="Y36" s="107"/>
      <c r="Z36" s="107"/>
      <c r="AA36" s="107"/>
      <c r="AB36" s="107"/>
      <c r="AC36" s="107"/>
      <c r="AD36" s="107"/>
      <c r="AE36" s="107"/>
      <c r="AF36" s="107"/>
      <c r="AG36" s="107"/>
      <c r="AH36" s="107"/>
      <c r="AI36" s="107"/>
      <c r="AJ36" s="107"/>
      <c r="AK36" s="107"/>
      <c r="AL36" s="107"/>
      <c r="AM36" s="107"/>
      <c r="AN36" s="107"/>
      <c r="AO36" s="107"/>
      <c r="AP36" s="107"/>
      <c r="AQ36" s="107"/>
      <c r="AR36" s="107"/>
      <c r="AS36" s="107"/>
      <c r="AT36" s="107"/>
      <c r="AU36" s="107"/>
      <c r="AV36" s="107"/>
      <c r="AW36" s="107"/>
      <c r="AX36" s="107"/>
      <c r="AY36" s="107"/>
      <c r="AZ36" s="107"/>
      <c r="BA36" s="107"/>
      <c r="BB36" s="107"/>
      <c r="BC36" s="107"/>
      <c r="BD36" s="107"/>
      <c r="BE36" s="107"/>
      <c r="BF36" s="107"/>
      <c r="BG36" s="107"/>
      <c r="BH36" s="107"/>
      <c r="BI36" s="107"/>
      <c r="BJ36" s="107"/>
      <c r="BK36" s="107"/>
      <c r="BL36" s="107"/>
    </row>
    <row r="37" spans="1:64" s="116" customFormat="1" ht="12.75" customHeight="1" x14ac:dyDescent="0.2">
      <c r="A37" s="938">
        <v>2111</v>
      </c>
      <c r="B37" s="956" t="s">
        <v>1248</v>
      </c>
      <c r="C37" s="1054">
        <f>SUM(C38:C48)</f>
        <v>14425500</v>
      </c>
      <c r="D37" s="1521">
        <f>SUM(D39:D48)</f>
        <v>14725500</v>
      </c>
      <c r="E37" s="1745">
        <f>SUM(E38:E48)</f>
        <v>16237591.67</v>
      </c>
      <c r="F37" s="1745">
        <f>SUM(F38:F48)</f>
        <v>17043430</v>
      </c>
      <c r="G37" s="2187">
        <f>SUM(G38:G48)</f>
        <v>15618577.1</v>
      </c>
      <c r="H37" s="1853">
        <f>SUM(H39:H48)</f>
        <v>12962975.859999999</v>
      </c>
      <c r="I37" s="732">
        <f>SUM(I38:I48)</f>
        <v>16515400</v>
      </c>
      <c r="J37" s="1319">
        <f>SUM(J39:J48)</f>
        <v>1750000</v>
      </c>
      <c r="K37" s="1279">
        <f>SUM(K39:K48)</f>
        <v>0</v>
      </c>
      <c r="L37" s="107"/>
      <c r="M37" s="107"/>
      <c r="N37" s="107"/>
      <c r="O37" s="107"/>
      <c r="P37" s="107"/>
      <c r="Q37" s="107"/>
      <c r="R37" s="107"/>
      <c r="S37" s="107"/>
      <c r="T37" s="107"/>
      <c r="U37" s="107"/>
      <c r="V37" s="107"/>
      <c r="W37" s="107"/>
      <c r="X37" s="107"/>
      <c r="Y37" s="107"/>
      <c r="Z37" s="107"/>
      <c r="AA37" s="107"/>
      <c r="AB37" s="107"/>
      <c r="AC37" s="107"/>
      <c r="AD37" s="107"/>
      <c r="AE37" s="107"/>
      <c r="AF37" s="107"/>
      <c r="AG37" s="107"/>
      <c r="AH37" s="107"/>
      <c r="AI37" s="107"/>
      <c r="AJ37" s="107"/>
      <c r="AK37" s="107"/>
      <c r="AL37" s="107"/>
      <c r="AM37" s="107"/>
      <c r="AN37" s="107"/>
      <c r="AO37" s="107"/>
      <c r="AP37" s="107"/>
      <c r="AQ37" s="107"/>
      <c r="AR37" s="107"/>
      <c r="AS37" s="107"/>
      <c r="AT37" s="107"/>
      <c r="AU37" s="107"/>
      <c r="AV37" s="107"/>
      <c r="AW37" s="107"/>
      <c r="AX37" s="107"/>
      <c r="AY37" s="107"/>
      <c r="AZ37" s="107"/>
      <c r="BA37" s="107"/>
      <c r="BB37" s="107"/>
      <c r="BC37" s="107"/>
      <c r="BD37" s="107"/>
      <c r="BE37" s="107"/>
      <c r="BF37" s="107"/>
      <c r="BG37" s="107"/>
      <c r="BH37" s="107"/>
      <c r="BI37" s="107"/>
      <c r="BJ37" s="107"/>
      <c r="BK37" s="107"/>
      <c r="BL37" s="107"/>
    </row>
    <row r="38" spans="1:64" s="116" customFormat="1" ht="12.75" customHeight="1" x14ac:dyDescent="0.2">
      <c r="A38" s="2136"/>
      <c r="B38" s="2176" t="s">
        <v>2035</v>
      </c>
      <c r="C38" s="2026">
        <v>0</v>
      </c>
      <c r="D38" s="2177"/>
      <c r="E38" s="2000">
        <v>0</v>
      </c>
      <c r="F38" s="2000">
        <v>360</v>
      </c>
      <c r="G38" s="2112">
        <v>360</v>
      </c>
      <c r="H38" s="2179"/>
      <c r="I38" s="2026">
        <v>0</v>
      </c>
      <c r="J38" s="2175"/>
      <c r="K38" s="2175"/>
      <c r="L38" s="107"/>
      <c r="M38" s="107"/>
      <c r="N38" s="107"/>
      <c r="O38" s="107"/>
      <c r="P38" s="107"/>
      <c r="Q38" s="107"/>
      <c r="R38" s="107"/>
      <c r="S38" s="107"/>
      <c r="T38" s="107"/>
      <c r="U38" s="107"/>
      <c r="V38" s="107"/>
      <c r="W38" s="107"/>
      <c r="X38" s="107"/>
      <c r="Y38" s="107"/>
      <c r="Z38" s="107"/>
      <c r="AA38" s="107"/>
      <c r="AB38" s="107"/>
      <c r="AC38" s="107"/>
      <c r="AD38" s="107"/>
      <c r="AE38" s="107"/>
      <c r="AF38" s="107"/>
      <c r="AG38" s="107"/>
      <c r="AH38" s="107"/>
      <c r="AI38" s="107"/>
      <c r="AJ38" s="107"/>
      <c r="AK38" s="107"/>
      <c r="AL38" s="107"/>
      <c r="AM38" s="107"/>
      <c r="AN38" s="107"/>
      <c r="AO38" s="107"/>
      <c r="AP38" s="107"/>
      <c r="AQ38" s="107"/>
      <c r="AR38" s="107"/>
      <c r="AS38" s="107"/>
      <c r="AT38" s="107"/>
      <c r="AU38" s="107"/>
      <c r="AV38" s="107"/>
      <c r="AW38" s="107"/>
      <c r="AX38" s="107"/>
      <c r="AY38" s="107"/>
      <c r="AZ38" s="107"/>
      <c r="BA38" s="107"/>
      <c r="BB38" s="107"/>
      <c r="BC38" s="107"/>
      <c r="BD38" s="107"/>
      <c r="BE38" s="107"/>
      <c r="BF38" s="107"/>
      <c r="BG38" s="107"/>
      <c r="BH38" s="107"/>
      <c r="BI38" s="107"/>
      <c r="BJ38" s="107"/>
      <c r="BK38" s="107"/>
      <c r="BL38" s="107"/>
    </row>
    <row r="39" spans="1:64" ht="12.75" customHeight="1" x14ac:dyDescent="0.2">
      <c r="A39" s="745"/>
      <c r="B39" s="922" t="s">
        <v>1249</v>
      </c>
      <c r="C39" s="886">
        <v>800000</v>
      </c>
      <c r="D39" s="228">
        <v>800000</v>
      </c>
      <c r="E39" s="1572">
        <v>800000</v>
      </c>
      <c r="F39" s="1572">
        <v>700000</v>
      </c>
      <c r="G39" s="1286">
        <v>576158.56999999995</v>
      </c>
      <c r="H39" s="457">
        <v>399247.01</v>
      </c>
      <c r="I39" s="1090">
        <v>800000</v>
      </c>
      <c r="J39" s="1191">
        <v>800000</v>
      </c>
      <c r="K39" s="1273"/>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c r="AW39" s="12"/>
      <c r="AX39" s="12"/>
      <c r="AY39" s="12"/>
      <c r="AZ39" s="12"/>
      <c r="BA39" s="12"/>
      <c r="BB39" s="12"/>
      <c r="BC39" s="12"/>
      <c r="BD39" s="12"/>
      <c r="BE39" s="12"/>
      <c r="BF39" s="12"/>
      <c r="BG39" s="12"/>
      <c r="BH39" s="12"/>
      <c r="BI39" s="12"/>
      <c r="BJ39" s="12"/>
      <c r="BK39" s="12"/>
      <c r="BL39" s="12"/>
    </row>
    <row r="40" spans="1:64" s="12" customFormat="1" ht="12.75" customHeight="1" x14ac:dyDescent="0.2">
      <c r="A40" s="801"/>
      <c r="B40" s="922" t="s">
        <v>1250</v>
      </c>
      <c r="C40" s="886">
        <v>869000</v>
      </c>
      <c r="D40" s="228">
        <v>869000</v>
      </c>
      <c r="E40" s="1572">
        <v>869000</v>
      </c>
      <c r="F40" s="1572">
        <v>1250000</v>
      </c>
      <c r="G40" s="1286">
        <f>1121530+71300.51+4479</f>
        <v>1197309.51</v>
      </c>
      <c r="H40" s="457">
        <v>845102.26</v>
      </c>
      <c r="I40" s="1090">
        <v>950000</v>
      </c>
      <c r="J40" s="1191">
        <v>950000</v>
      </c>
      <c r="K40" s="1273"/>
    </row>
    <row r="41" spans="1:64" s="12" customFormat="1" ht="12.75" customHeight="1" x14ac:dyDescent="0.2">
      <c r="A41" s="801"/>
      <c r="B41" s="922" t="s">
        <v>2036</v>
      </c>
      <c r="C41" s="2026">
        <v>0</v>
      </c>
      <c r="D41" s="2179"/>
      <c r="E41" s="2000">
        <v>20000</v>
      </c>
      <c r="F41" s="1572">
        <v>20000</v>
      </c>
      <c r="G41" s="2112">
        <v>20000</v>
      </c>
      <c r="H41" s="457"/>
      <c r="I41" s="2026">
        <v>0</v>
      </c>
      <c r="J41" s="1191"/>
      <c r="K41" s="1273"/>
    </row>
    <row r="42" spans="1:64" s="12" customFormat="1" ht="12.75" customHeight="1" x14ac:dyDescent="0.2">
      <c r="A42" s="801"/>
      <c r="B42" s="922" t="s">
        <v>2037</v>
      </c>
      <c r="C42" s="2026">
        <v>0</v>
      </c>
      <c r="D42" s="2179"/>
      <c r="E42" s="2000">
        <v>87410</v>
      </c>
      <c r="F42" s="1572">
        <v>92570</v>
      </c>
      <c r="G42" s="2112">
        <v>92570</v>
      </c>
      <c r="H42" s="457"/>
      <c r="I42" s="2026">
        <v>0</v>
      </c>
      <c r="J42" s="1191"/>
      <c r="K42" s="1273"/>
    </row>
    <row r="43" spans="1:64" s="849" customFormat="1" ht="12.75" customHeight="1" x14ac:dyDescent="0.2">
      <c r="A43" s="801"/>
      <c r="B43" s="1547" t="s">
        <v>1253</v>
      </c>
      <c r="C43" s="1053">
        <v>5555000</v>
      </c>
      <c r="D43" s="1501">
        <v>5555000</v>
      </c>
      <c r="E43" s="1099">
        <v>6959681.6699999999</v>
      </c>
      <c r="F43" s="1572">
        <v>7250000</v>
      </c>
      <c r="G43" s="2112">
        <v>6959681.6699999999</v>
      </c>
      <c r="H43" s="1176">
        <v>6143119.9000000004</v>
      </c>
      <c r="I43" s="1099">
        <v>6700000</v>
      </c>
      <c r="J43" s="1287"/>
      <c r="K43" s="1280"/>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c r="AY43" s="12"/>
      <c r="AZ43" s="12"/>
      <c r="BA43" s="12"/>
      <c r="BB43" s="12"/>
      <c r="BC43" s="12"/>
      <c r="BD43" s="12"/>
      <c r="BE43" s="12"/>
      <c r="BF43" s="12"/>
      <c r="BG43" s="12"/>
      <c r="BH43" s="12"/>
      <c r="BI43" s="12"/>
      <c r="BJ43" s="12"/>
      <c r="BK43" s="12"/>
      <c r="BL43" s="12"/>
    </row>
    <row r="44" spans="1:64" s="849" customFormat="1" ht="12.75" customHeight="1" x14ac:dyDescent="0.2">
      <c r="A44" s="801"/>
      <c r="B44" s="1547" t="s">
        <v>1254</v>
      </c>
      <c r="C44" s="1053">
        <v>1850000</v>
      </c>
      <c r="D44" s="1501">
        <v>1850000</v>
      </c>
      <c r="E44" s="1099">
        <v>1850000</v>
      </c>
      <c r="F44" s="1572">
        <v>1600000</v>
      </c>
      <c r="G44" s="1286">
        <v>1372076.35</v>
      </c>
      <c r="H44" s="1176">
        <v>1113180.69</v>
      </c>
      <c r="I44" s="1099">
        <v>2049000</v>
      </c>
      <c r="J44" s="1287"/>
      <c r="K44" s="1280"/>
      <c r="L44" s="12"/>
      <c r="M44" s="12"/>
      <c r="N44" s="12"/>
      <c r="O44" s="12"/>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c r="AY44" s="12"/>
      <c r="AZ44" s="12"/>
      <c r="BA44" s="12"/>
      <c r="BB44" s="12"/>
      <c r="BC44" s="12"/>
      <c r="BD44" s="12"/>
      <c r="BE44" s="12"/>
      <c r="BF44" s="12"/>
      <c r="BG44" s="12"/>
      <c r="BH44" s="12"/>
      <c r="BI44" s="12"/>
      <c r="BJ44" s="12"/>
      <c r="BK44" s="12"/>
      <c r="BL44" s="12"/>
    </row>
    <row r="45" spans="1:64" s="849" customFormat="1" ht="12.75" customHeight="1" x14ac:dyDescent="0.2">
      <c r="A45" s="801"/>
      <c r="B45" s="1547" t="s">
        <v>2038</v>
      </c>
      <c r="C45" s="1053">
        <v>2600000</v>
      </c>
      <c r="D45" s="1501">
        <v>2600000</v>
      </c>
      <c r="E45" s="1099">
        <v>2600000</v>
      </c>
      <c r="F45" s="2000">
        <v>2600000</v>
      </c>
      <c r="G45" s="2112">
        <v>2193614</v>
      </c>
      <c r="H45" s="1176">
        <v>1701792</v>
      </c>
      <c r="I45" s="1099">
        <v>2955900</v>
      </c>
      <c r="J45" s="1287"/>
      <c r="K45" s="1280"/>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c r="AY45" s="12"/>
      <c r="AZ45" s="12"/>
      <c r="BA45" s="12"/>
      <c r="BB45" s="12"/>
      <c r="BC45" s="12"/>
      <c r="BD45" s="12"/>
      <c r="BE45" s="12"/>
      <c r="BF45" s="12"/>
      <c r="BG45" s="12"/>
      <c r="BH45" s="12"/>
      <c r="BI45" s="12"/>
      <c r="BJ45" s="12"/>
      <c r="BK45" s="12"/>
      <c r="BL45" s="12"/>
    </row>
    <row r="46" spans="1:64" ht="12.75" customHeight="1" x14ac:dyDescent="0.2">
      <c r="A46" s="801"/>
      <c r="B46" s="1547" t="s">
        <v>1340</v>
      </c>
      <c r="C46" s="1053">
        <v>2700000</v>
      </c>
      <c r="D46" s="1444">
        <v>3000000</v>
      </c>
      <c r="E46" s="1099">
        <f>1000000+700000+1300000</f>
        <v>3000000</v>
      </c>
      <c r="F46" s="2000">
        <f>1400000+700000+1400000</f>
        <v>3500000</v>
      </c>
      <c r="G46" s="2112">
        <f>1267626+627005+1282837</f>
        <v>3177468</v>
      </c>
      <c r="H46" s="1548">
        <v>2760283</v>
      </c>
      <c r="I46" s="1099">
        <v>3000000</v>
      </c>
      <c r="J46" s="1287"/>
      <c r="K46" s="1280"/>
      <c r="L46" s="12"/>
      <c r="M46" s="12"/>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c r="AY46" s="12"/>
      <c r="AZ46" s="12"/>
      <c r="BA46" s="12"/>
      <c r="BB46" s="12"/>
      <c r="BC46" s="12"/>
      <c r="BD46" s="12"/>
      <c r="BE46" s="12"/>
      <c r="BF46" s="12"/>
      <c r="BG46" s="12"/>
      <c r="BH46" s="12"/>
      <c r="BI46" s="12"/>
      <c r="BJ46" s="12"/>
      <c r="BK46" s="12"/>
      <c r="BL46" s="12"/>
    </row>
    <row r="47" spans="1:64" ht="12.75" customHeight="1" x14ac:dyDescent="0.2">
      <c r="A47" s="801"/>
      <c r="B47" s="1547" t="s">
        <v>1251</v>
      </c>
      <c r="C47" s="1053">
        <v>51000</v>
      </c>
      <c r="D47" s="1546">
        <v>51000</v>
      </c>
      <c r="E47" s="1416">
        <v>51000</v>
      </c>
      <c r="F47" s="1416">
        <v>30000</v>
      </c>
      <c r="G47" s="1647">
        <v>25200</v>
      </c>
      <c r="H47" s="1616">
        <v>0</v>
      </c>
      <c r="I47" s="1099">
        <v>60000</v>
      </c>
      <c r="J47" s="1287"/>
      <c r="K47" s="1280"/>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c r="AY47" s="12"/>
      <c r="AZ47" s="12"/>
      <c r="BA47" s="12"/>
      <c r="BB47" s="12"/>
      <c r="BC47" s="12"/>
      <c r="BD47" s="12"/>
      <c r="BE47" s="12"/>
      <c r="BF47" s="12"/>
      <c r="BG47" s="12"/>
      <c r="BH47" s="12"/>
      <c r="BI47" s="12"/>
      <c r="BJ47" s="12"/>
      <c r="BK47" s="12"/>
      <c r="BL47" s="12"/>
    </row>
    <row r="48" spans="1:64" ht="12.75" customHeight="1" x14ac:dyDescent="0.2">
      <c r="A48" s="801"/>
      <c r="B48" s="1547" t="s">
        <v>1252</v>
      </c>
      <c r="C48" s="1053">
        <v>500</v>
      </c>
      <c r="D48" s="1546">
        <v>500</v>
      </c>
      <c r="E48" s="1572">
        <v>500</v>
      </c>
      <c r="F48" s="1572">
        <v>500</v>
      </c>
      <c r="G48" s="1286">
        <f>303+3836</f>
        <v>4139</v>
      </c>
      <c r="H48" s="1176">
        <v>251</v>
      </c>
      <c r="I48" s="1099">
        <v>500</v>
      </c>
      <c r="J48" s="1287"/>
      <c r="K48" s="1280"/>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c r="AY48" s="12"/>
      <c r="AZ48" s="12"/>
      <c r="BA48" s="12"/>
      <c r="BB48" s="12"/>
      <c r="BC48" s="12"/>
      <c r="BD48" s="12"/>
      <c r="BE48" s="12"/>
      <c r="BF48" s="12"/>
      <c r="BG48" s="12"/>
      <c r="BH48" s="12"/>
      <c r="BI48" s="12"/>
      <c r="BJ48" s="12"/>
      <c r="BK48" s="12"/>
      <c r="BL48" s="12"/>
    </row>
    <row r="49" spans="1:64" s="850" customFormat="1" ht="12.75" customHeight="1" x14ac:dyDescent="0.2">
      <c r="A49" s="745">
        <v>2119</v>
      </c>
      <c r="B49" s="1550" t="s">
        <v>1512</v>
      </c>
      <c r="C49" s="1182">
        <v>4041000</v>
      </c>
      <c r="D49" s="1183">
        <v>4041000</v>
      </c>
      <c r="E49" s="1052">
        <v>4041000</v>
      </c>
      <c r="F49" s="1052">
        <v>3000000</v>
      </c>
      <c r="G49" s="1282">
        <v>2098812.7599999998</v>
      </c>
      <c r="H49" s="1045">
        <v>2047777.38</v>
      </c>
      <c r="I49" s="1261">
        <v>3000000</v>
      </c>
      <c r="J49" s="1089">
        <v>3000000</v>
      </c>
      <c r="K49" s="1139">
        <v>3000000</v>
      </c>
      <c r="L49" s="107"/>
      <c r="M49" s="107"/>
      <c r="N49" s="107"/>
      <c r="O49" s="107"/>
      <c r="P49" s="107"/>
      <c r="Q49" s="107"/>
      <c r="R49" s="107"/>
      <c r="S49" s="107"/>
      <c r="T49" s="107"/>
      <c r="U49" s="107"/>
      <c r="V49" s="107"/>
      <c r="W49" s="107"/>
      <c r="X49" s="107"/>
      <c r="Y49" s="107"/>
      <c r="Z49" s="107"/>
      <c r="AA49" s="107"/>
      <c r="AB49" s="107"/>
      <c r="AC49" s="107"/>
      <c r="AD49" s="107"/>
      <c r="AE49" s="107"/>
      <c r="AF49" s="107"/>
      <c r="AG49" s="107"/>
      <c r="AH49" s="107"/>
      <c r="AI49" s="107"/>
      <c r="AJ49" s="107"/>
      <c r="AK49" s="107"/>
      <c r="AL49" s="107"/>
      <c r="AM49" s="107"/>
      <c r="AN49" s="107"/>
      <c r="AO49" s="107"/>
      <c r="AP49" s="107"/>
      <c r="AQ49" s="107"/>
      <c r="AR49" s="107"/>
      <c r="AS49" s="107"/>
      <c r="AT49" s="107"/>
      <c r="AU49" s="107"/>
      <c r="AV49" s="107"/>
      <c r="AW49" s="107"/>
      <c r="AX49" s="107"/>
      <c r="AY49" s="107"/>
      <c r="AZ49" s="107"/>
      <c r="BA49" s="107"/>
      <c r="BB49" s="107"/>
      <c r="BC49" s="107"/>
      <c r="BD49" s="107"/>
      <c r="BE49" s="107"/>
      <c r="BF49" s="107"/>
      <c r="BG49" s="107"/>
      <c r="BH49" s="107"/>
      <c r="BI49" s="107"/>
      <c r="BJ49" s="107"/>
      <c r="BK49" s="107"/>
      <c r="BL49" s="107"/>
    </row>
    <row r="50" spans="1:64" s="116" customFormat="1" ht="12.75" customHeight="1" x14ac:dyDescent="0.2">
      <c r="A50" s="745">
        <v>2122</v>
      </c>
      <c r="B50" s="1194" t="s">
        <v>1753</v>
      </c>
      <c r="C50" s="1195">
        <f>3482748.36+196380+4788</f>
        <v>3683916.36</v>
      </c>
      <c r="D50" s="1246">
        <v>3728367.36</v>
      </c>
      <c r="E50" s="1261">
        <f>355760+274848.24+157064+(937300+384+262743-3504)+325206+71650+156477+119631+175356+522020+632671.12</f>
        <v>3987606.3600000003</v>
      </c>
      <c r="F50" s="2115">
        <v>3728367.36</v>
      </c>
      <c r="G50" s="2110">
        <f>355760+274848.24+157064+937684+325206+71650+156477+119631+175356+522020+632671.12</f>
        <v>3728367.3600000003</v>
      </c>
      <c r="H50" s="1478">
        <v>632941.12</v>
      </c>
      <c r="I50" s="1195">
        <f>SUM(355760+288696.24+157064+934180+398227+74093+156477+126060+522020+175356+962729.12)</f>
        <v>4150662.3600000003</v>
      </c>
      <c r="J50" s="1285"/>
      <c r="K50" s="1281"/>
      <c r="L50" s="107"/>
      <c r="M50" s="107"/>
      <c r="N50" s="107"/>
      <c r="O50" s="107"/>
      <c r="P50" s="107"/>
      <c r="Q50" s="107"/>
      <c r="R50" s="107"/>
      <c r="S50" s="107"/>
      <c r="T50" s="107"/>
      <c r="U50" s="107"/>
      <c r="V50" s="107"/>
      <c r="W50" s="107"/>
      <c r="X50" s="107"/>
      <c r="Y50" s="107"/>
      <c r="Z50" s="107"/>
      <c r="AA50" s="107"/>
      <c r="AB50" s="107"/>
      <c r="AC50" s="107"/>
      <c r="AD50" s="107"/>
      <c r="AE50" s="107"/>
      <c r="AF50" s="107"/>
      <c r="AG50" s="107"/>
      <c r="AH50" s="107"/>
      <c r="AI50" s="107"/>
      <c r="AJ50" s="107"/>
      <c r="AK50" s="107"/>
      <c r="AL50" s="107"/>
      <c r="AM50" s="107"/>
      <c r="AN50" s="107"/>
      <c r="AO50" s="107"/>
      <c r="AP50" s="107"/>
      <c r="AQ50" s="107"/>
      <c r="AR50" s="107"/>
      <c r="AS50" s="107"/>
      <c r="AT50" s="107"/>
      <c r="AU50" s="107"/>
      <c r="AV50" s="107"/>
      <c r="AW50" s="107"/>
      <c r="AX50" s="107"/>
      <c r="AY50" s="107"/>
      <c r="AZ50" s="107"/>
      <c r="BA50" s="107"/>
      <c r="BB50" s="107"/>
      <c r="BC50" s="107"/>
      <c r="BD50" s="107"/>
      <c r="BE50" s="107"/>
      <c r="BF50" s="107"/>
      <c r="BG50" s="107"/>
      <c r="BH50" s="107"/>
      <c r="BI50" s="107"/>
      <c r="BJ50" s="107"/>
      <c r="BK50" s="107"/>
      <c r="BL50" s="107"/>
    </row>
    <row r="51" spans="1:64" s="116" customFormat="1" ht="12.75" customHeight="1" x14ac:dyDescent="0.2">
      <c r="A51" s="745">
        <v>2131</v>
      </c>
      <c r="B51" s="1550" t="s">
        <v>1511</v>
      </c>
      <c r="C51" s="1182">
        <v>1150000</v>
      </c>
      <c r="D51" s="1183">
        <v>1150000</v>
      </c>
      <c r="E51" s="1052">
        <v>1150000</v>
      </c>
      <c r="F51" s="1052">
        <v>1100000</v>
      </c>
      <c r="G51" s="1282">
        <v>1081316.8600000001</v>
      </c>
      <c r="H51" s="1045">
        <v>1009654.12</v>
      </c>
      <c r="I51" s="1261">
        <v>1000000</v>
      </c>
      <c r="J51" s="1089">
        <v>1000000</v>
      </c>
      <c r="K51" s="1139">
        <v>1000000</v>
      </c>
      <c r="L51" s="107"/>
      <c r="M51" s="107"/>
      <c r="N51" s="107"/>
      <c r="O51" s="107"/>
      <c r="P51" s="107"/>
      <c r="Q51" s="107"/>
      <c r="R51" s="107"/>
      <c r="S51" s="107"/>
      <c r="T51" s="107"/>
      <c r="U51" s="107"/>
      <c r="V51" s="107"/>
      <c r="W51" s="107"/>
      <c r="X51" s="107"/>
      <c r="Y51" s="107"/>
      <c r="Z51" s="107"/>
      <c r="AA51" s="107"/>
      <c r="AB51" s="107"/>
      <c r="AC51" s="107"/>
      <c r="AD51" s="107"/>
      <c r="AE51" s="107"/>
      <c r="AF51" s="107"/>
      <c r="AG51" s="107"/>
      <c r="AH51" s="107"/>
      <c r="AI51" s="107"/>
      <c r="AJ51" s="107"/>
      <c r="AK51" s="107"/>
      <c r="AL51" s="107"/>
      <c r="AM51" s="107"/>
      <c r="AN51" s="107"/>
      <c r="AO51" s="107"/>
      <c r="AP51" s="107"/>
      <c r="AQ51" s="107"/>
      <c r="AR51" s="107"/>
      <c r="AS51" s="107"/>
      <c r="AT51" s="107"/>
      <c r="AU51" s="107"/>
      <c r="AV51" s="107"/>
      <c r="AW51" s="107"/>
      <c r="AX51" s="107"/>
      <c r="AY51" s="107"/>
      <c r="AZ51" s="107"/>
      <c r="BA51" s="107"/>
      <c r="BB51" s="107"/>
      <c r="BC51" s="107"/>
      <c r="BD51" s="107"/>
      <c r="BE51" s="107"/>
      <c r="BF51" s="107"/>
      <c r="BG51" s="107"/>
      <c r="BH51" s="107"/>
      <c r="BI51" s="107"/>
      <c r="BJ51" s="107"/>
      <c r="BK51" s="107"/>
      <c r="BL51" s="107"/>
    </row>
    <row r="52" spans="1:64" s="116" customFormat="1" ht="12.75" customHeight="1" x14ac:dyDescent="0.2">
      <c r="A52" s="745">
        <v>2132</v>
      </c>
      <c r="B52" s="1194" t="s">
        <v>1263</v>
      </c>
      <c r="C52" s="1052">
        <f>SUM(C53:C63)</f>
        <v>98533661.960000008</v>
      </c>
      <c r="D52" s="1183">
        <f t="shared" ref="D52:K52" si="4">SUM(D53:D63)</f>
        <v>91152123.960000008</v>
      </c>
      <c r="E52" s="1052">
        <f t="shared" si="4"/>
        <v>91161123.960000008</v>
      </c>
      <c r="F52" s="1052">
        <f t="shared" si="4"/>
        <v>91324447.129999995</v>
      </c>
      <c r="G52" s="1282">
        <f t="shared" si="4"/>
        <v>86057192.280000001</v>
      </c>
      <c r="H52" s="1045">
        <f t="shared" si="4"/>
        <v>70855506.729999989</v>
      </c>
      <c r="I52" s="1052">
        <f>SUM(I53:I63)</f>
        <v>105248875</v>
      </c>
      <c r="J52" s="1282">
        <f t="shared" si="4"/>
        <v>1932000</v>
      </c>
      <c r="K52" s="1282">
        <f t="shared" si="4"/>
        <v>1932000</v>
      </c>
      <c r="L52" s="107"/>
      <c r="M52" s="107"/>
      <c r="N52" s="107"/>
      <c r="O52" s="107"/>
      <c r="P52" s="107"/>
      <c r="Q52" s="107"/>
      <c r="R52" s="107"/>
      <c r="S52" s="107"/>
      <c r="T52" s="107"/>
      <c r="U52" s="107"/>
      <c r="V52" s="107"/>
      <c r="W52" s="107"/>
      <c r="X52" s="107"/>
      <c r="Y52" s="107"/>
      <c r="Z52" s="107"/>
      <c r="AA52" s="107"/>
      <c r="AB52" s="107"/>
      <c r="AC52" s="107"/>
      <c r="AD52" s="107"/>
      <c r="AE52" s="107"/>
      <c r="AF52" s="107"/>
      <c r="AG52" s="107"/>
      <c r="AH52" s="107"/>
      <c r="AI52" s="107"/>
      <c r="AJ52" s="107"/>
      <c r="AK52" s="107"/>
      <c r="AL52" s="107"/>
      <c r="AM52" s="107"/>
      <c r="AN52" s="107"/>
      <c r="AO52" s="107"/>
      <c r="AP52" s="107"/>
      <c r="AQ52" s="107"/>
      <c r="AR52" s="107"/>
      <c r="AS52" s="107"/>
      <c r="AT52" s="107"/>
      <c r="AU52" s="107"/>
      <c r="AV52" s="107"/>
      <c r="AW52" s="107"/>
      <c r="AX52" s="107"/>
      <c r="AY52" s="107"/>
      <c r="AZ52" s="107"/>
      <c r="BA52" s="107"/>
      <c r="BB52" s="107"/>
      <c r="BC52" s="107"/>
      <c r="BD52" s="107"/>
      <c r="BE52" s="107"/>
      <c r="BF52" s="107"/>
      <c r="BG52" s="107"/>
      <c r="BH52" s="107"/>
      <c r="BI52" s="107"/>
      <c r="BJ52" s="107"/>
      <c r="BK52" s="107"/>
      <c r="BL52" s="107"/>
    </row>
    <row r="53" spans="1:64" ht="12.75" customHeight="1" x14ac:dyDescent="0.2">
      <c r="A53" s="801"/>
      <c r="B53" s="1547" t="s">
        <v>1264</v>
      </c>
      <c r="C53" s="1053">
        <v>750000</v>
      </c>
      <c r="D53" s="1546">
        <v>750000</v>
      </c>
      <c r="E53" s="1572">
        <v>750000</v>
      </c>
      <c r="F53" s="1572">
        <v>761329.5</v>
      </c>
      <c r="G53" s="1286">
        <v>761329.5</v>
      </c>
      <c r="H53" s="1176">
        <v>746604.5</v>
      </c>
      <c r="I53" s="1099">
        <v>810000</v>
      </c>
      <c r="J53" s="1090">
        <v>810000</v>
      </c>
      <c r="K53" s="1094">
        <v>810000</v>
      </c>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c r="AY53" s="12"/>
      <c r="AZ53" s="12"/>
      <c r="BA53" s="12"/>
      <c r="BB53" s="12"/>
      <c r="BC53" s="12"/>
      <c r="BD53" s="12"/>
      <c r="BE53" s="12"/>
      <c r="BF53" s="12"/>
      <c r="BG53" s="12"/>
      <c r="BH53" s="12"/>
      <c r="BI53" s="12"/>
      <c r="BJ53" s="12"/>
      <c r="BK53" s="12"/>
      <c r="BL53" s="12"/>
    </row>
    <row r="54" spans="1:64" ht="12.75" customHeight="1" x14ac:dyDescent="0.2">
      <c r="A54" s="801"/>
      <c r="B54" s="1547" t="s">
        <v>1265</v>
      </c>
      <c r="C54" s="1053">
        <v>0</v>
      </c>
      <c r="D54" s="1546">
        <v>0</v>
      </c>
      <c r="E54" s="1572">
        <v>0</v>
      </c>
      <c r="F54" s="1572">
        <v>7000</v>
      </c>
      <c r="G54" s="1286">
        <v>4424</v>
      </c>
      <c r="H54" s="1176">
        <v>4424</v>
      </c>
      <c r="I54" s="1099">
        <v>7000</v>
      </c>
      <c r="J54" s="1287">
        <v>7000</v>
      </c>
      <c r="K54" s="1280">
        <v>7000</v>
      </c>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c r="AY54" s="12"/>
      <c r="AZ54" s="12"/>
      <c r="BA54" s="12"/>
      <c r="BB54" s="12"/>
      <c r="BC54" s="12"/>
      <c r="BD54" s="12"/>
      <c r="BE54" s="12"/>
      <c r="BF54" s="12"/>
      <c r="BG54" s="12"/>
      <c r="BH54" s="12"/>
      <c r="BI54" s="12"/>
      <c r="BJ54" s="12"/>
      <c r="BK54" s="12"/>
      <c r="BL54" s="12"/>
    </row>
    <row r="55" spans="1:64" ht="12.75" customHeight="1" x14ac:dyDescent="0.2">
      <c r="A55" s="801"/>
      <c r="B55" s="1547" t="s">
        <v>1341</v>
      </c>
      <c r="C55" s="1053">
        <v>600000</v>
      </c>
      <c r="D55" s="1546">
        <v>600000</v>
      </c>
      <c r="E55" s="1572">
        <v>600000</v>
      </c>
      <c r="F55" s="1572">
        <v>700000</v>
      </c>
      <c r="G55" s="1286">
        <v>542762.61</v>
      </c>
      <c r="H55" s="1176">
        <v>542762.61</v>
      </c>
      <c r="I55" s="1099">
        <v>600000</v>
      </c>
      <c r="J55" s="1090">
        <v>600000</v>
      </c>
      <c r="K55" s="1094">
        <v>600000</v>
      </c>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c r="AY55" s="12"/>
      <c r="AZ55" s="12"/>
      <c r="BA55" s="12"/>
      <c r="BB55" s="12"/>
      <c r="BC55" s="12"/>
      <c r="BD55" s="12"/>
      <c r="BE55" s="12"/>
      <c r="BF55" s="12"/>
      <c r="BG55" s="12"/>
      <c r="BH55" s="12"/>
      <c r="BI55" s="12"/>
      <c r="BJ55" s="12"/>
      <c r="BK55" s="12"/>
      <c r="BL55" s="12"/>
    </row>
    <row r="56" spans="1:64" s="849" customFormat="1" ht="12.75" customHeight="1" x14ac:dyDescent="0.2">
      <c r="A56" s="801"/>
      <c r="B56" s="1547" t="s">
        <v>1266</v>
      </c>
      <c r="C56" s="1053">
        <v>300000</v>
      </c>
      <c r="D56" s="1444">
        <v>300000</v>
      </c>
      <c r="E56" s="1099">
        <v>309000</v>
      </c>
      <c r="F56" s="1572">
        <v>308993.67</v>
      </c>
      <c r="G56" s="1286">
        <v>308993.67</v>
      </c>
      <c r="H56" s="1176">
        <v>308993.67</v>
      </c>
      <c r="I56" s="1099">
        <v>340000</v>
      </c>
      <c r="J56" s="1283"/>
      <c r="K56" s="1280"/>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c r="AY56" s="12"/>
      <c r="AZ56" s="12"/>
      <c r="BA56" s="12"/>
      <c r="BB56" s="12"/>
      <c r="BC56" s="12"/>
      <c r="BD56" s="12"/>
      <c r="BE56" s="12"/>
      <c r="BF56" s="12"/>
      <c r="BG56" s="12"/>
      <c r="BH56" s="12"/>
      <c r="BI56" s="12"/>
      <c r="BJ56" s="12"/>
      <c r="BK56" s="12"/>
      <c r="BL56" s="12"/>
    </row>
    <row r="57" spans="1:64" s="849" customFormat="1" ht="12.75" customHeight="1" x14ac:dyDescent="0.2">
      <c r="A57" s="801"/>
      <c r="B57" s="1552" t="s">
        <v>1499</v>
      </c>
      <c r="C57" s="1053">
        <v>60721000</v>
      </c>
      <c r="D57" s="1444">
        <v>60721000</v>
      </c>
      <c r="E57" s="1099">
        <v>60721000</v>
      </c>
      <c r="F57" s="2000">
        <v>60721000</v>
      </c>
      <c r="G57" s="1286">
        <f>56627358.89+459600</f>
        <v>57086958.890000001</v>
      </c>
      <c r="H57" s="1176">
        <v>43981290.920000002</v>
      </c>
      <c r="I57" s="1099">
        <v>75480000</v>
      </c>
      <c r="J57" s="1283"/>
      <c r="K57" s="1280"/>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c r="AY57" s="12"/>
      <c r="AZ57" s="12"/>
      <c r="BA57" s="12"/>
      <c r="BB57" s="12"/>
      <c r="BC57" s="12"/>
      <c r="BD57" s="12"/>
      <c r="BE57" s="12"/>
      <c r="BF57" s="12"/>
      <c r="BG57" s="12"/>
      <c r="BH57" s="12"/>
      <c r="BI57" s="12"/>
      <c r="BJ57" s="12"/>
      <c r="BK57" s="12"/>
      <c r="BL57" s="12"/>
    </row>
    <row r="58" spans="1:64" ht="12.75" customHeight="1" x14ac:dyDescent="0.2">
      <c r="A58" s="801"/>
      <c r="B58" s="1552" t="s">
        <v>1510</v>
      </c>
      <c r="C58" s="1053">
        <v>110123.96</v>
      </c>
      <c r="D58" s="1546">
        <v>110123.96</v>
      </c>
      <c r="E58" s="1572">
        <v>110123.96</v>
      </c>
      <c r="F58" s="1572">
        <v>110123.96</v>
      </c>
      <c r="G58" s="1286">
        <v>94802.89</v>
      </c>
      <c r="H58" s="1176">
        <v>80008.97</v>
      </c>
      <c r="I58" s="1099">
        <v>180875</v>
      </c>
      <c r="J58" s="1287"/>
      <c r="K58" s="1280"/>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c r="AY58" s="12"/>
      <c r="AZ58" s="12"/>
      <c r="BA58" s="12"/>
      <c r="BB58" s="12"/>
      <c r="BC58" s="12"/>
      <c r="BD58" s="12"/>
      <c r="BE58" s="12"/>
      <c r="BF58" s="12"/>
      <c r="BG58" s="12"/>
      <c r="BH58" s="12"/>
      <c r="BI58" s="12"/>
      <c r="BJ58" s="12"/>
      <c r="BK58" s="12"/>
      <c r="BL58" s="12"/>
    </row>
    <row r="59" spans="1:64" ht="12.75" customHeight="1" x14ac:dyDescent="0.2">
      <c r="A59" s="801"/>
      <c r="B59" s="1547" t="s">
        <v>1596</v>
      </c>
      <c r="C59" s="1053">
        <v>470000</v>
      </c>
      <c r="D59" s="1546">
        <v>470000</v>
      </c>
      <c r="E59" s="1572">
        <v>470000</v>
      </c>
      <c r="F59" s="1572">
        <v>500000</v>
      </c>
      <c r="G59" s="1286">
        <v>497685.07</v>
      </c>
      <c r="H59" s="1176">
        <v>420483.73</v>
      </c>
      <c r="I59" s="1099">
        <v>500000</v>
      </c>
      <c r="J59" s="1090">
        <v>500000</v>
      </c>
      <c r="K59" s="1094">
        <v>500000</v>
      </c>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c r="AY59" s="12"/>
      <c r="AZ59" s="12"/>
      <c r="BA59" s="12"/>
      <c r="BB59" s="12"/>
      <c r="BC59" s="12"/>
      <c r="BD59" s="12"/>
      <c r="BE59" s="12"/>
      <c r="BF59" s="12"/>
      <c r="BG59" s="12"/>
      <c r="BH59" s="12"/>
      <c r="BI59" s="12"/>
      <c r="BJ59" s="12"/>
      <c r="BK59" s="12"/>
      <c r="BL59" s="12"/>
    </row>
    <row r="60" spans="1:64" s="849" customFormat="1" ht="24.75" x14ac:dyDescent="0.2">
      <c r="A60" s="801"/>
      <c r="B60" s="1553" t="s">
        <v>1500</v>
      </c>
      <c r="C60" s="1053">
        <v>16666000</v>
      </c>
      <c r="D60" s="1444">
        <v>16666000</v>
      </c>
      <c r="E60" s="1099">
        <v>16666000</v>
      </c>
      <c r="F60" s="2000">
        <v>16666000</v>
      </c>
      <c r="G60" s="1286">
        <v>15213497.65</v>
      </c>
      <c r="H60" s="1176">
        <v>13242394.33</v>
      </c>
      <c r="I60" s="1099">
        <v>15796000</v>
      </c>
      <c r="J60" s="1283"/>
      <c r="K60" s="1280"/>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c r="AY60" s="12"/>
      <c r="AZ60" s="12"/>
      <c r="BA60" s="12"/>
      <c r="BB60" s="12"/>
      <c r="BC60" s="12"/>
      <c r="BD60" s="12"/>
      <c r="BE60" s="12"/>
      <c r="BF60" s="12"/>
      <c r="BG60" s="12"/>
      <c r="BH60" s="12"/>
      <c r="BI60" s="12"/>
      <c r="BJ60" s="12"/>
      <c r="BK60" s="12"/>
      <c r="BL60" s="12"/>
    </row>
    <row r="61" spans="1:64" s="849" customFormat="1" ht="12.75" customHeight="1" x14ac:dyDescent="0.2">
      <c r="A61" s="801"/>
      <c r="B61" s="1547" t="s">
        <v>1342</v>
      </c>
      <c r="C61" s="1053">
        <v>18881538</v>
      </c>
      <c r="D61" s="1444">
        <v>11500000</v>
      </c>
      <c r="E61" s="1099">
        <v>11500000</v>
      </c>
      <c r="F61" s="2000">
        <v>11500000</v>
      </c>
      <c r="G61" s="1286">
        <v>11500000</v>
      </c>
      <c r="H61" s="1176">
        <v>11500000</v>
      </c>
      <c r="I61" s="1099">
        <v>11500000</v>
      </c>
      <c r="J61" s="1283"/>
      <c r="K61" s="1280"/>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c r="AY61" s="12"/>
      <c r="AZ61" s="12"/>
      <c r="BA61" s="12"/>
      <c r="BB61" s="12"/>
      <c r="BC61" s="12"/>
      <c r="BD61" s="12"/>
      <c r="BE61" s="12"/>
      <c r="BF61" s="12"/>
      <c r="BG61" s="12"/>
      <c r="BH61" s="12"/>
      <c r="BI61" s="12"/>
      <c r="BJ61" s="12"/>
      <c r="BK61" s="12"/>
      <c r="BL61" s="12"/>
    </row>
    <row r="62" spans="1:64" s="849" customFormat="1" ht="12.75" customHeight="1" x14ac:dyDescent="0.2">
      <c r="A62" s="801"/>
      <c r="B62" s="1547" t="s">
        <v>1146</v>
      </c>
      <c r="C62" s="1053">
        <v>20000</v>
      </c>
      <c r="D62" s="1444">
        <v>20000</v>
      </c>
      <c r="E62" s="1099">
        <v>20000</v>
      </c>
      <c r="F62" s="1572">
        <v>25000</v>
      </c>
      <c r="G62" s="1286">
        <v>23000</v>
      </c>
      <c r="H62" s="1176">
        <v>18450</v>
      </c>
      <c r="I62" s="1099">
        <v>20000</v>
      </c>
      <c r="J62" s="1283"/>
      <c r="K62" s="1280"/>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c r="AY62" s="12"/>
      <c r="AZ62" s="12"/>
      <c r="BA62" s="12"/>
      <c r="BB62" s="12"/>
      <c r="BC62" s="12"/>
      <c r="BD62" s="12"/>
      <c r="BE62" s="12"/>
      <c r="BF62" s="12"/>
      <c r="BG62" s="12"/>
      <c r="BH62" s="12"/>
      <c r="BI62" s="12"/>
      <c r="BJ62" s="12"/>
      <c r="BK62" s="12"/>
      <c r="BL62" s="12"/>
    </row>
    <row r="63" spans="1:64" ht="12.75" customHeight="1" x14ac:dyDescent="0.2">
      <c r="A63" s="1554"/>
      <c r="B63" s="1547" t="s">
        <v>1452</v>
      </c>
      <c r="C63" s="1053">
        <v>15000</v>
      </c>
      <c r="D63" s="1546">
        <v>15000</v>
      </c>
      <c r="E63" s="1572">
        <v>15000</v>
      </c>
      <c r="F63" s="1572">
        <v>25000</v>
      </c>
      <c r="G63" s="1286">
        <v>23738</v>
      </c>
      <c r="H63" s="1176">
        <v>10094</v>
      </c>
      <c r="I63" s="1099">
        <v>15000</v>
      </c>
      <c r="J63" s="1287">
        <v>15000</v>
      </c>
      <c r="K63" s="1280">
        <v>15000</v>
      </c>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c r="AY63" s="12"/>
      <c r="AZ63" s="12"/>
      <c r="BA63" s="12"/>
      <c r="BB63" s="12"/>
      <c r="BC63" s="12"/>
      <c r="BD63" s="12"/>
      <c r="BE63" s="12"/>
      <c r="BF63" s="12"/>
      <c r="BG63" s="12"/>
      <c r="BH63" s="12"/>
      <c r="BI63" s="12"/>
      <c r="BJ63" s="12"/>
      <c r="BK63" s="12"/>
      <c r="BL63" s="12"/>
    </row>
    <row r="64" spans="1:64" s="116" customFormat="1" ht="12.75" customHeight="1" x14ac:dyDescent="0.2">
      <c r="A64" s="1555">
        <v>2141</v>
      </c>
      <c r="B64" s="1194" t="s">
        <v>118</v>
      </c>
      <c r="C64" s="1182">
        <v>10000</v>
      </c>
      <c r="D64" s="1594">
        <v>10000</v>
      </c>
      <c r="E64" s="1261">
        <v>10000</v>
      </c>
      <c r="F64" s="1052">
        <v>3000</v>
      </c>
      <c r="G64" s="1282">
        <f>2608.4+29.33</f>
        <v>2637.73</v>
      </c>
      <c r="H64" s="1045">
        <v>1751.12</v>
      </c>
      <c r="I64" s="1261">
        <v>10000</v>
      </c>
      <c r="J64" s="1285">
        <v>20000</v>
      </c>
      <c r="K64" s="1281">
        <v>20000</v>
      </c>
      <c r="L64" s="107"/>
      <c r="M64" s="107"/>
      <c r="N64" s="107"/>
      <c r="O64" s="107"/>
      <c r="P64" s="107"/>
      <c r="Q64" s="107"/>
      <c r="R64" s="107"/>
      <c r="S64" s="107"/>
      <c r="T64" s="107"/>
      <c r="U64" s="107"/>
      <c r="V64" s="107"/>
      <c r="W64" s="107"/>
      <c r="X64" s="107"/>
      <c r="Y64" s="107"/>
      <c r="Z64" s="107"/>
      <c r="AA64" s="107"/>
      <c r="AB64" s="107"/>
      <c r="AC64" s="107"/>
      <c r="AD64" s="107"/>
      <c r="AE64" s="107"/>
      <c r="AF64" s="107"/>
      <c r="AG64" s="107"/>
      <c r="AH64" s="107"/>
      <c r="AI64" s="107"/>
      <c r="AJ64" s="107"/>
      <c r="AK64" s="107"/>
      <c r="AL64" s="107"/>
      <c r="AM64" s="107"/>
      <c r="AN64" s="107"/>
      <c r="AO64" s="107"/>
      <c r="AP64" s="107"/>
      <c r="AQ64" s="107"/>
      <c r="AR64" s="107"/>
      <c r="AS64" s="107"/>
      <c r="AT64" s="107"/>
      <c r="AU64" s="107"/>
      <c r="AV64" s="107"/>
      <c r="AW64" s="107"/>
      <c r="AX64" s="107"/>
      <c r="AY64" s="107"/>
      <c r="AZ64" s="107"/>
      <c r="BA64" s="107"/>
      <c r="BB64" s="107"/>
      <c r="BC64" s="107"/>
      <c r="BD64" s="107"/>
      <c r="BE64" s="107"/>
      <c r="BF64" s="107"/>
      <c r="BG64" s="107"/>
      <c r="BH64" s="107"/>
      <c r="BI64" s="107"/>
      <c r="BJ64" s="107"/>
      <c r="BK64" s="107"/>
      <c r="BL64" s="107"/>
    </row>
    <row r="65" spans="1:64" s="116" customFormat="1" ht="12.75" customHeight="1" x14ac:dyDescent="0.2">
      <c r="A65" s="1555">
        <v>2212</v>
      </c>
      <c r="B65" s="1194" t="s">
        <v>1262</v>
      </c>
      <c r="C65" s="1052">
        <f t="shared" ref="C65:K65" si="5">SUM(C66:C78)</f>
        <v>11537000</v>
      </c>
      <c r="D65" s="1556">
        <f t="shared" si="5"/>
        <v>11775158.67</v>
      </c>
      <c r="E65" s="1052">
        <f t="shared" si="5"/>
        <v>11889514.35</v>
      </c>
      <c r="F65" s="1052">
        <f t="shared" si="5"/>
        <v>11543914.35</v>
      </c>
      <c r="G65" s="1282">
        <f t="shared" si="5"/>
        <v>9312565.5900000017</v>
      </c>
      <c r="H65" s="1045">
        <f t="shared" si="5"/>
        <v>6221519.0700000003</v>
      </c>
      <c r="I65" s="1052">
        <f>SUM(I66:I78)</f>
        <v>11730000</v>
      </c>
      <c r="J65" s="884">
        <f t="shared" si="5"/>
        <v>235000</v>
      </c>
      <c r="K65" s="884">
        <f t="shared" si="5"/>
        <v>100000</v>
      </c>
      <c r="L65" s="107"/>
      <c r="M65" s="107"/>
      <c r="N65" s="107"/>
      <c r="O65" s="107"/>
      <c r="P65" s="107"/>
      <c r="Q65" s="107"/>
      <c r="R65" s="107"/>
      <c r="S65" s="107"/>
      <c r="T65" s="107"/>
      <c r="U65" s="107"/>
      <c r="V65" s="107"/>
      <c r="W65" s="107"/>
      <c r="X65" s="107"/>
      <c r="Y65" s="107"/>
      <c r="Z65" s="107"/>
      <c r="AA65" s="107"/>
      <c r="AB65" s="107"/>
      <c r="AC65" s="107"/>
      <c r="AD65" s="107"/>
      <c r="AE65" s="107"/>
      <c r="AF65" s="107"/>
      <c r="AG65" s="107"/>
      <c r="AH65" s="107"/>
      <c r="AI65" s="107"/>
      <c r="AJ65" s="107"/>
      <c r="AK65" s="107"/>
      <c r="AL65" s="107"/>
      <c r="AM65" s="107"/>
      <c r="AN65" s="107"/>
      <c r="AO65" s="107"/>
      <c r="AP65" s="107"/>
      <c r="AQ65" s="107"/>
      <c r="AR65" s="107"/>
      <c r="AS65" s="107"/>
      <c r="AT65" s="107"/>
      <c r="AU65" s="107"/>
      <c r="AV65" s="107"/>
      <c r="AW65" s="107"/>
      <c r="AX65" s="107"/>
      <c r="AY65" s="107"/>
      <c r="AZ65" s="107"/>
      <c r="BA65" s="107"/>
      <c r="BB65" s="107"/>
      <c r="BC65" s="107"/>
      <c r="BD65" s="107"/>
      <c r="BE65" s="107"/>
      <c r="BF65" s="107"/>
      <c r="BG65" s="107"/>
      <c r="BH65" s="107"/>
      <c r="BI65" s="107"/>
      <c r="BJ65" s="107"/>
      <c r="BK65" s="107"/>
      <c r="BL65" s="107"/>
    </row>
    <row r="66" spans="1:64" ht="12.75" customHeight="1" x14ac:dyDescent="0.2">
      <c r="A66" s="1557" t="s">
        <v>1343</v>
      </c>
      <c r="B66" s="1547" t="s">
        <v>1445</v>
      </c>
      <c r="C66" s="1053">
        <v>12000</v>
      </c>
      <c r="D66" s="1546">
        <v>12000</v>
      </c>
      <c r="E66" s="1572">
        <v>12000</v>
      </c>
      <c r="F66" s="1572">
        <v>35000</v>
      </c>
      <c r="G66" s="1286">
        <v>33900</v>
      </c>
      <c r="H66" s="1176">
        <v>20200</v>
      </c>
      <c r="I66" s="1099">
        <v>15000</v>
      </c>
      <c r="J66" s="1287">
        <v>15000</v>
      </c>
      <c r="K66" s="1280">
        <v>15000</v>
      </c>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c r="AY66" s="12"/>
      <c r="AZ66" s="12"/>
      <c r="BA66" s="12"/>
      <c r="BB66" s="12"/>
      <c r="BC66" s="12"/>
      <c r="BD66" s="12"/>
      <c r="BE66" s="12"/>
      <c r="BF66" s="12"/>
      <c r="BG66" s="12"/>
      <c r="BH66" s="12"/>
      <c r="BI66" s="12"/>
      <c r="BJ66" s="12"/>
      <c r="BK66" s="12"/>
      <c r="BL66" s="12"/>
    </row>
    <row r="67" spans="1:64" ht="12.75" customHeight="1" x14ac:dyDescent="0.2">
      <c r="A67" s="1554"/>
      <c r="B67" s="1547" t="s">
        <v>121</v>
      </c>
      <c r="C67" s="1053">
        <v>55000</v>
      </c>
      <c r="D67" s="1546">
        <v>55000</v>
      </c>
      <c r="E67" s="1572">
        <v>91600</v>
      </c>
      <c r="F67" s="1572">
        <v>110000</v>
      </c>
      <c r="G67" s="1286">
        <v>105375</v>
      </c>
      <c r="H67" s="1176">
        <v>96925</v>
      </c>
      <c r="I67" s="1099">
        <v>100000</v>
      </c>
      <c r="J67" s="1287">
        <v>55000</v>
      </c>
      <c r="K67" s="1280">
        <v>55000</v>
      </c>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c r="AY67" s="12"/>
      <c r="AZ67" s="12"/>
      <c r="BA67" s="12"/>
      <c r="BB67" s="12"/>
      <c r="BC67" s="12"/>
      <c r="BD67" s="12"/>
      <c r="BE67" s="12"/>
      <c r="BF67" s="12"/>
      <c r="BG67" s="12"/>
      <c r="BH67" s="12"/>
      <c r="BI67" s="12"/>
      <c r="BJ67" s="12"/>
      <c r="BK67" s="12"/>
      <c r="BL67" s="12"/>
    </row>
    <row r="68" spans="1:64" ht="12.75" customHeight="1" x14ac:dyDescent="0.2">
      <c r="A68" s="1554"/>
      <c r="B68" s="1547" t="s">
        <v>1513</v>
      </c>
      <c r="C68" s="1053">
        <v>0</v>
      </c>
      <c r="D68" s="1546">
        <v>144589.67000000001</v>
      </c>
      <c r="E68" s="1572">
        <v>144589.67000000001</v>
      </c>
      <c r="F68" s="1572">
        <v>144589.67000000001</v>
      </c>
      <c r="G68" s="1286">
        <v>144589.67000000001</v>
      </c>
      <c r="H68" s="1176">
        <v>144589.67000000001</v>
      </c>
      <c r="I68" s="1099">
        <v>0</v>
      </c>
      <c r="J68" s="1287">
        <v>0</v>
      </c>
      <c r="K68" s="1280">
        <v>0</v>
      </c>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c r="AY68" s="12"/>
      <c r="AZ68" s="12"/>
      <c r="BA68" s="12"/>
      <c r="BB68" s="12"/>
      <c r="BC68" s="12"/>
      <c r="BD68" s="12"/>
      <c r="BE68" s="12"/>
      <c r="BF68" s="12"/>
      <c r="BG68" s="12"/>
      <c r="BH68" s="12"/>
      <c r="BI68" s="12"/>
      <c r="BJ68" s="12"/>
      <c r="BK68" s="12"/>
      <c r="BL68" s="12"/>
    </row>
    <row r="69" spans="1:64" ht="12.75" customHeight="1" x14ac:dyDescent="0.2">
      <c r="A69" s="1554"/>
      <c r="B69" s="1547" t="s">
        <v>1951</v>
      </c>
      <c r="C69" s="1558">
        <v>2500000</v>
      </c>
      <c r="D69" s="1559">
        <v>2500000</v>
      </c>
      <c r="E69" s="1597">
        <v>2500000</v>
      </c>
      <c r="F69" s="1597">
        <v>2400000</v>
      </c>
      <c r="G69" s="1288">
        <v>1967833.61</v>
      </c>
      <c r="H69" s="1596">
        <v>1666395</v>
      </c>
      <c r="I69" s="1558">
        <v>2500000</v>
      </c>
      <c r="J69" s="1287"/>
      <c r="K69" s="1280"/>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c r="AY69" s="12"/>
      <c r="AZ69" s="12"/>
      <c r="BA69" s="12"/>
      <c r="BB69" s="12"/>
      <c r="BC69" s="12"/>
      <c r="BD69" s="12"/>
      <c r="BE69" s="12"/>
      <c r="BF69" s="12"/>
      <c r="BG69" s="12"/>
      <c r="BH69" s="12"/>
      <c r="BI69" s="12"/>
      <c r="BJ69" s="12"/>
      <c r="BK69" s="12"/>
      <c r="BL69" s="12"/>
    </row>
    <row r="70" spans="1:64" ht="12.75" customHeight="1" x14ac:dyDescent="0.2">
      <c r="A70" s="1554"/>
      <c r="B70" s="1547" t="s">
        <v>1344</v>
      </c>
      <c r="C70" s="1558">
        <v>7500000</v>
      </c>
      <c r="D70" s="1559">
        <v>7500000</v>
      </c>
      <c r="E70" s="1597">
        <v>7500000</v>
      </c>
      <c r="F70" s="1597">
        <v>7000000</v>
      </c>
      <c r="G70" s="1288">
        <v>5818622.9800000004</v>
      </c>
      <c r="H70" s="1596">
        <v>3336744</v>
      </c>
      <c r="I70" s="1558">
        <v>7500000</v>
      </c>
      <c r="J70" s="1283"/>
      <c r="K70" s="1283"/>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c r="AY70" s="12"/>
      <c r="AZ70" s="12"/>
      <c r="BA70" s="12"/>
      <c r="BB70" s="12"/>
      <c r="BC70" s="12"/>
      <c r="BD70" s="12"/>
      <c r="BE70" s="12"/>
      <c r="BF70" s="12"/>
      <c r="BG70" s="12"/>
      <c r="BH70" s="12"/>
      <c r="BI70" s="12"/>
      <c r="BJ70" s="12"/>
      <c r="BK70" s="12"/>
      <c r="BL70" s="12"/>
    </row>
    <row r="71" spans="1:64" ht="12.75" customHeight="1" x14ac:dyDescent="0.2">
      <c r="A71" s="1554"/>
      <c r="B71" s="1100" t="s">
        <v>1456</v>
      </c>
      <c r="C71" s="1558">
        <v>0</v>
      </c>
      <c r="D71" s="1559">
        <v>0</v>
      </c>
      <c r="E71" s="1597">
        <v>12000</v>
      </c>
      <c r="F71" s="1597">
        <v>160000</v>
      </c>
      <c r="G71" s="1288">
        <v>155700</v>
      </c>
      <c r="H71" s="1596">
        <v>131700</v>
      </c>
      <c r="I71" s="1558">
        <v>150000</v>
      </c>
      <c r="J71" s="1283">
        <v>150000</v>
      </c>
      <c r="K71" s="1283">
        <v>15000</v>
      </c>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c r="AY71" s="12"/>
      <c r="AZ71" s="12"/>
      <c r="BA71" s="12"/>
      <c r="BB71" s="12"/>
      <c r="BC71" s="12"/>
      <c r="BD71" s="12"/>
      <c r="BE71" s="12"/>
      <c r="BF71" s="12"/>
      <c r="BG71" s="12"/>
      <c r="BH71" s="12"/>
      <c r="BI71" s="12"/>
      <c r="BJ71" s="12"/>
      <c r="BK71" s="12"/>
      <c r="BL71" s="12"/>
    </row>
    <row r="72" spans="1:64" s="849" customFormat="1" ht="12.75" customHeight="1" x14ac:dyDescent="0.2">
      <c r="A72" s="1554"/>
      <c r="B72" s="1547" t="s">
        <v>1147</v>
      </c>
      <c r="C72" s="1053">
        <v>400000</v>
      </c>
      <c r="D72" s="1546">
        <v>400000</v>
      </c>
      <c r="E72" s="1572">
        <v>400000</v>
      </c>
      <c r="F72" s="1572">
        <v>0</v>
      </c>
      <c r="G72" s="1286">
        <v>0</v>
      </c>
      <c r="H72" s="1176">
        <v>0</v>
      </c>
      <c r="I72" s="1099">
        <v>400000</v>
      </c>
      <c r="J72" s="1283"/>
      <c r="K72" s="1283"/>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c r="AY72" s="12"/>
      <c r="AZ72" s="12"/>
      <c r="BA72" s="12"/>
      <c r="BB72" s="12"/>
      <c r="BC72" s="12"/>
      <c r="BD72" s="12"/>
      <c r="BE72" s="12"/>
      <c r="BF72" s="12"/>
      <c r="BG72" s="12"/>
      <c r="BH72" s="12"/>
      <c r="BI72" s="12"/>
      <c r="BJ72" s="12"/>
      <c r="BK72" s="12"/>
      <c r="BL72" s="12"/>
    </row>
    <row r="73" spans="1:64" s="849" customFormat="1" ht="12.75" customHeight="1" x14ac:dyDescent="0.2">
      <c r="A73" s="1554"/>
      <c r="B73" s="1547" t="s">
        <v>1328</v>
      </c>
      <c r="C73" s="1053">
        <v>50000</v>
      </c>
      <c r="D73" s="1546">
        <v>50000</v>
      </c>
      <c r="E73" s="1572">
        <v>115755.68</v>
      </c>
      <c r="F73" s="1286">
        <f>115755.68+400000</f>
        <v>515755.68</v>
      </c>
      <c r="G73" s="1286">
        <f>115755.68</f>
        <v>115755.68</v>
      </c>
      <c r="H73" s="1176">
        <v>0</v>
      </c>
      <c r="I73" s="1099">
        <v>50000</v>
      </c>
      <c r="J73" s="1287"/>
      <c r="K73" s="1280"/>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c r="AY73" s="12"/>
      <c r="AZ73" s="12"/>
      <c r="BA73" s="12"/>
      <c r="BB73" s="12"/>
      <c r="BC73" s="12"/>
      <c r="BD73" s="12"/>
      <c r="BE73" s="12"/>
      <c r="BF73" s="12"/>
      <c r="BG73" s="12"/>
      <c r="BH73" s="12"/>
      <c r="BI73" s="12"/>
      <c r="BJ73" s="12"/>
      <c r="BK73" s="12"/>
      <c r="BL73" s="12"/>
    </row>
    <row r="74" spans="1:64" ht="12.75" customHeight="1" x14ac:dyDescent="0.2">
      <c r="A74" s="1554"/>
      <c r="B74" s="1547" t="s">
        <v>126</v>
      </c>
      <c r="C74" s="1053">
        <v>0</v>
      </c>
      <c r="D74" s="1546">
        <v>28500</v>
      </c>
      <c r="E74" s="1572">
        <v>28500</v>
      </c>
      <c r="F74" s="1572">
        <v>56500</v>
      </c>
      <c r="G74" s="1286">
        <v>56500</v>
      </c>
      <c r="H74" s="1176">
        <v>28500</v>
      </c>
      <c r="I74" s="1099">
        <v>0</v>
      </c>
      <c r="J74" s="1287"/>
      <c r="K74" s="1280"/>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c r="AY74" s="12"/>
      <c r="AZ74" s="12"/>
      <c r="BA74" s="12"/>
      <c r="BB74" s="12"/>
      <c r="BC74" s="12"/>
      <c r="BD74" s="12"/>
      <c r="BE74" s="12"/>
      <c r="BF74" s="12"/>
      <c r="BG74" s="12"/>
      <c r="BH74" s="12"/>
      <c r="BI74" s="12"/>
      <c r="BJ74" s="12"/>
      <c r="BK74" s="12"/>
      <c r="BL74" s="12"/>
    </row>
    <row r="75" spans="1:64" ht="12.75" customHeight="1" x14ac:dyDescent="0.2">
      <c r="A75" s="1554"/>
      <c r="B75" s="1547" t="s">
        <v>2044</v>
      </c>
      <c r="C75" s="1053">
        <v>650000</v>
      </c>
      <c r="D75" s="1546">
        <v>650000</v>
      </c>
      <c r="E75" s="1572">
        <v>650000</v>
      </c>
      <c r="F75" s="1572">
        <v>650000</v>
      </c>
      <c r="G75" s="1286">
        <v>498060.4</v>
      </c>
      <c r="H75" s="1176">
        <v>422120.4</v>
      </c>
      <c r="I75" s="1099">
        <v>650000</v>
      </c>
      <c r="J75" s="1287"/>
      <c r="K75" s="1280"/>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c r="AY75" s="12"/>
      <c r="AZ75" s="12"/>
      <c r="BA75" s="12"/>
      <c r="BB75" s="12"/>
      <c r="BC75" s="12"/>
      <c r="BD75" s="12"/>
      <c r="BE75" s="12"/>
      <c r="BF75" s="12"/>
      <c r="BG75" s="12"/>
      <c r="BH75" s="12"/>
      <c r="BI75" s="12"/>
      <c r="BJ75" s="12"/>
      <c r="BK75" s="12"/>
      <c r="BL75" s="12"/>
    </row>
    <row r="76" spans="1:64" ht="12.75" customHeight="1" x14ac:dyDescent="0.2">
      <c r="A76" s="1554"/>
      <c r="B76" s="1547" t="s">
        <v>1267</v>
      </c>
      <c r="C76" s="1558">
        <v>350000</v>
      </c>
      <c r="D76" s="1559">
        <v>350000</v>
      </c>
      <c r="E76" s="1597">
        <v>350000</v>
      </c>
      <c r="F76" s="1597">
        <v>390000</v>
      </c>
      <c r="G76" s="1288">
        <v>335059.25</v>
      </c>
      <c r="H76" s="1596">
        <v>294976</v>
      </c>
      <c r="I76" s="1558">
        <v>350000</v>
      </c>
      <c r="J76" s="1283"/>
      <c r="K76" s="1283"/>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c r="AY76" s="12"/>
      <c r="AZ76" s="12"/>
      <c r="BA76" s="12"/>
      <c r="BB76" s="12"/>
      <c r="BC76" s="12"/>
      <c r="BD76" s="12"/>
      <c r="BE76" s="12"/>
      <c r="BF76" s="12"/>
      <c r="BG76" s="12"/>
      <c r="BH76" s="12"/>
      <c r="BI76" s="12"/>
      <c r="BJ76" s="12"/>
      <c r="BK76" s="12"/>
      <c r="BL76" s="12"/>
    </row>
    <row r="77" spans="1:64" s="146" customFormat="1" ht="12.75" customHeight="1" x14ac:dyDescent="0.2">
      <c r="A77" s="1557"/>
      <c r="B77" s="1547" t="s">
        <v>1457</v>
      </c>
      <c r="C77" s="1053">
        <v>20000</v>
      </c>
      <c r="D77" s="1568">
        <v>20000</v>
      </c>
      <c r="E77" s="1814">
        <v>20000</v>
      </c>
      <c r="F77" s="1572">
        <v>15000</v>
      </c>
      <c r="G77" s="1286">
        <v>13900</v>
      </c>
      <c r="H77" s="1176">
        <v>12300</v>
      </c>
      <c r="I77" s="1099">
        <v>15000</v>
      </c>
      <c r="J77" s="1287">
        <v>15000</v>
      </c>
      <c r="K77" s="1280">
        <v>15000</v>
      </c>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c r="AY77" s="12"/>
      <c r="AZ77" s="12"/>
      <c r="BA77" s="12"/>
      <c r="BB77" s="12"/>
      <c r="BC77" s="12"/>
      <c r="BD77" s="12"/>
      <c r="BE77" s="12"/>
      <c r="BF77" s="12"/>
      <c r="BG77" s="12"/>
      <c r="BH77" s="12"/>
      <c r="BI77" s="12"/>
      <c r="BJ77" s="12"/>
      <c r="BK77" s="12"/>
      <c r="BL77" s="12"/>
    </row>
    <row r="78" spans="1:64" s="146" customFormat="1" ht="12.75" customHeight="1" x14ac:dyDescent="0.2">
      <c r="A78" s="1557"/>
      <c r="B78" s="1547" t="s">
        <v>1438</v>
      </c>
      <c r="C78" s="1053">
        <v>0</v>
      </c>
      <c r="D78" s="1568">
        <v>65069</v>
      </c>
      <c r="E78" s="1814">
        <v>65069</v>
      </c>
      <c r="F78" s="1572">
        <v>67069</v>
      </c>
      <c r="G78" s="1286">
        <v>67269</v>
      </c>
      <c r="H78" s="1176">
        <v>67069</v>
      </c>
      <c r="I78" s="1099">
        <v>0</v>
      </c>
      <c r="J78" s="1287">
        <v>0</v>
      </c>
      <c r="K78" s="1280">
        <v>0</v>
      </c>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c r="AY78" s="12"/>
      <c r="AZ78" s="12"/>
      <c r="BA78" s="12"/>
      <c r="BB78" s="12"/>
      <c r="BC78" s="12"/>
      <c r="BD78" s="12"/>
      <c r="BE78" s="12"/>
      <c r="BF78" s="12"/>
      <c r="BG78" s="12"/>
      <c r="BH78" s="12"/>
      <c r="BI78" s="12"/>
      <c r="BJ78" s="12"/>
      <c r="BK78" s="12"/>
      <c r="BL78" s="12"/>
    </row>
    <row r="79" spans="1:64" s="12" customFormat="1" ht="12.75" customHeight="1" x14ac:dyDescent="0.2">
      <c r="A79" s="1555">
        <v>2229</v>
      </c>
      <c r="B79" s="1194" t="s">
        <v>1345</v>
      </c>
      <c r="C79" s="1561">
        <f>SUM(C80:C90)</f>
        <v>1000000</v>
      </c>
      <c r="D79" s="1562">
        <f t="shared" ref="D79:K79" si="6">SUM(D80:D89)</f>
        <v>8422008.5999999996</v>
      </c>
      <c r="E79" s="1561">
        <f>SUM(E80:E90)</f>
        <v>8472639.0499999989</v>
      </c>
      <c r="F79" s="1561">
        <f>SUM(F80:F90)</f>
        <v>8478129.0499999989</v>
      </c>
      <c r="G79" s="2166">
        <f>SUM(G80:G90)</f>
        <v>8478129.0499999989</v>
      </c>
      <c r="H79" s="1854">
        <f t="shared" si="6"/>
        <v>8425008.5999999996</v>
      </c>
      <c r="I79" s="1561">
        <f>SUM(I80:I90)</f>
        <v>1000000</v>
      </c>
      <c r="J79" s="1284">
        <f t="shared" si="6"/>
        <v>0</v>
      </c>
      <c r="K79" s="1284">
        <f t="shared" si="6"/>
        <v>0</v>
      </c>
      <c r="O79" s="173"/>
    </row>
    <row r="80" spans="1:64" s="12" customFormat="1" ht="12.75" customHeight="1" x14ac:dyDescent="0.2">
      <c r="A80" s="1554"/>
      <c r="B80" s="1547" t="s">
        <v>1440</v>
      </c>
      <c r="C80" s="1053">
        <v>0</v>
      </c>
      <c r="D80" s="1563">
        <f>159661.95+91051.59</f>
        <v>250713.54</v>
      </c>
      <c r="E80" s="1564">
        <f>159661.95+91051.59</f>
        <v>250713.54</v>
      </c>
      <c r="F80" s="1564">
        <f>159661.95+91051.59</f>
        <v>250713.54</v>
      </c>
      <c r="G80" s="2167">
        <f>159661.95+91051.59</f>
        <v>250713.54</v>
      </c>
      <c r="H80" s="1848">
        <f>159661.95+91051.59</f>
        <v>250713.54</v>
      </c>
      <c r="I80" s="1099">
        <v>0</v>
      </c>
      <c r="J80" s="1287">
        <v>0</v>
      </c>
      <c r="K80" s="1280">
        <v>0</v>
      </c>
      <c r="O80" s="173"/>
    </row>
    <row r="81" spans="1:64" s="12" customFormat="1" ht="12.75" customHeight="1" x14ac:dyDescent="0.2">
      <c r="A81" s="1554"/>
      <c r="B81" s="1547" t="s">
        <v>1760</v>
      </c>
      <c r="C81" s="1053">
        <v>0</v>
      </c>
      <c r="D81" s="1444">
        <v>29886.84</v>
      </c>
      <c r="E81" s="1099">
        <v>29886.84</v>
      </c>
      <c r="F81" s="2000">
        <v>29886.84</v>
      </c>
      <c r="G81" s="2112">
        <v>29886.84</v>
      </c>
      <c r="H81" s="1848">
        <v>29886.84</v>
      </c>
      <c r="I81" s="1099">
        <v>0</v>
      </c>
      <c r="J81" s="1287">
        <v>0</v>
      </c>
      <c r="K81" s="1280">
        <v>0</v>
      </c>
      <c r="O81" s="173"/>
    </row>
    <row r="82" spans="1:64" s="12" customFormat="1" ht="12.75" customHeight="1" x14ac:dyDescent="0.2">
      <c r="A82" s="1554"/>
      <c r="B82" s="1547" t="s">
        <v>1762</v>
      </c>
      <c r="C82" s="1053">
        <v>0</v>
      </c>
      <c r="D82" s="1563">
        <v>305600.84999999998</v>
      </c>
      <c r="E82" s="1564">
        <v>305600.84999999998</v>
      </c>
      <c r="F82" s="1564">
        <v>305600.84999999998</v>
      </c>
      <c r="G82" s="2167">
        <v>305600.84999999998</v>
      </c>
      <c r="H82" s="1848">
        <v>305600.84999999998</v>
      </c>
      <c r="I82" s="1099">
        <v>0</v>
      </c>
      <c r="J82" s="1287">
        <v>0</v>
      </c>
      <c r="K82" s="1280">
        <v>0</v>
      </c>
      <c r="O82" s="173"/>
    </row>
    <row r="83" spans="1:64" s="12" customFormat="1" ht="12.75" customHeight="1" x14ac:dyDescent="0.2">
      <c r="A83" s="1554"/>
      <c r="B83" s="1547" t="s">
        <v>1761</v>
      </c>
      <c r="C83" s="1053">
        <v>0</v>
      </c>
      <c r="D83" s="1563">
        <v>151277.28</v>
      </c>
      <c r="E83" s="1564">
        <v>151277.28</v>
      </c>
      <c r="F83" s="1564">
        <v>151277.28</v>
      </c>
      <c r="G83" s="2167">
        <v>151277.28</v>
      </c>
      <c r="H83" s="1848">
        <v>151277.28</v>
      </c>
      <c r="I83" s="1099">
        <v>0</v>
      </c>
      <c r="J83" s="1287">
        <v>0</v>
      </c>
      <c r="K83" s="1280">
        <v>0</v>
      </c>
      <c r="O83" s="173"/>
    </row>
    <row r="84" spans="1:64" s="12" customFormat="1" ht="12.75" customHeight="1" x14ac:dyDescent="0.2">
      <c r="A84" s="1554"/>
      <c r="B84" s="1547" t="s">
        <v>1330</v>
      </c>
      <c r="C84" s="1053">
        <v>1000000</v>
      </c>
      <c r="D84" s="1563">
        <v>5706845.54</v>
      </c>
      <c r="E84" s="1564">
        <v>5706845.54</v>
      </c>
      <c r="F84" s="1564">
        <v>5706845.54</v>
      </c>
      <c r="G84" s="2167">
        <v>5706845.54</v>
      </c>
      <c r="H84" s="1848">
        <v>5706845.54</v>
      </c>
      <c r="I84" s="1099">
        <v>1000000</v>
      </c>
      <c r="J84" s="1287"/>
      <c r="K84" s="1280"/>
      <c r="O84" s="173"/>
    </row>
    <row r="85" spans="1:64" s="12" customFormat="1" ht="12.75" customHeight="1" x14ac:dyDescent="0.2">
      <c r="A85" s="1554"/>
      <c r="B85" s="1547" t="s">
        <v>1447</v>
      </c>
      <c r="C85" s="1099">
        <v>0</v>
      </c>
      <c r="D85" s="1563">
        <v>1457025.42</v>
      </c>
      <c r="E85" s="1564">
        <v>1457025.42</v>
      </c>
      <c r="F85" s="1564">
        <v>1457025.42</v>
      </c>
      <c r="G85" s="2167">
        <v>1457025.42</v>
      </c>
      <c r="H85" s="1848">
        <v>1457025.42</v>
      </c>
      <c r="I85" s="1099">
        <v>0</v>
      </c>
      <c r="J85" s="1287"/>
      <c r="K85" s="1280"/>
      <c r="O85" s="173"/>
    </row>
    <row r="86" spans="1:64" s="12" customFormat="1" ht="12.75" customHeight="1" x14ac:dyDescent="0.2">
      <c r="A86" s="1554"/>
      <c r="B86" s="1547" t="s">
        <v>2032</v>
      </c>
      <c r="C86" s="1053">
        <v>0</v>
      </c>
      <c r="D86" s="1563">
        <f>265673.13+2490</f>
        <v>268163.13</v>
      </c>
      <c r="E86" s="1564">
        <v>265673.13</v>
      </c>
      <c r="F86" s="1564">
        <f>265673.13+2490</f>
        <v>268163.13</v>
      </c>
      <c r="G86" s="1848">
        <f>265673.13+2490</f>
        <v>268163.13</v>
      </c>
      <c r="H86" s="1848">
        <f>265673.13+2490</f>
        <v>268163.13</v>
      </c>
      <c r="I86" s="1564">
        <v>0</v>
      </c>
      <c r="J86" s="1287">
        <v>0</v>
      </c>
      <c r="K86" s="1280">
        <v>0</v>
      </c>
      <c r="O86" s="173"/>
    </row>
    <row r="87" spans="1:64" ht="12.75" customHeight="1" x14ac:dyDescent="0.2">
      <c r="A87" s="1554"/>
      <c r="B87" s="1547" t="s">
        <v>2031</v>
      </c>
      <c r="C87" s="1053">
        <v>0</v>
      </c>
      <c r="D87" s="1563">
        <v>0</v>
      </c>
      <c r="E87" s="1564">
        <v>0</v>
      </c>
      <c r="F87" s="1564">
        <v>3000</v>
      </c>
      <c r="G87" s="2167">
        <v>3000</v>
      </c>
      <c r="H87" s="1848">
        <v>3000</v>
      </c>
      <c r="I87" s="1099">
        <v>0</v>
      </c>
      <c r="J87" s="1287"/>
      <c r="K87" s="1280"/>
      <c r="L87" s="12"/>
      <c r="M87" s="12"/>
      <c r="N87" s="12"/>
      <c r="O87" s="173"/>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c r="AY87" s="12"/>
      <c r="AZ87" s="12"/>
      <c r="BA87" s="12"/>
      <c r="BB87" s="12"/>
      <c r="BC87" s="12"/>
      <c r="BD87" s="12"/>
      <c r="BE87" s="12"/>
      <c r="BF87" s="12"/>
      <c r="BG87" s="12"/>
      <c r="BH87" s="12"/>
      <c r="BI87" s="12"/>
      <c r="BJ87" s="12"/>
      <c r="BK87" s="12"/>
      <c r="BL87" s="12"/>
    </row>
    <row r="88" spans="1:64" ht="12.75" customHeight="1" x14ac:dyDescent="0.2">
      <c r="A88" s="1554"/>
      <c r="B88" s="1547" t="s">
        <v>2025</v>
      </c>
      <c r="C88" s="1053">
        <v>0</v>
      </c>
      <c r="D88" s="1563">
        <v>152496</v>
      </c>
      <c r="E88" s="1564">
        <v>152496</v>
      </c>
      <c r="F88" s="1564">
        <v>152496</v>
      </c>
      <c r="G88" s="2167">
        <v>152496</v>
      </c>
      <c r="H88" s="1848">
        <v>152496</v>
      </c>
      <c r="I88" s="1099">
        <v>0</v>
      </c>
      <c r="J88" s="1287"/>
      <c r="K88" s="1280"/>
      <c r="L88" s="12"/>
      <c r="M88" s="12"/>
      <c r="N88" s="12"/>
      <c r="O88" s="173"/>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c r="AY88" s="12"/>
      <c r="AZ88" s="12"/>
      <c r="BA88" s="12"/>
      <c r="BB88" s="12"/>
      <c r="BC88" s="12"/>
      <c r="BD88" s="12"/>
      <c r="BE88" s="12"/>
      <c r="BF88" s="12"/>
      <c r="BG88" s="12"/>
      <c r="BH88" s="12"/>
      <c r="BI88" s="12"/>
      <c r="BJ88" s="12"/>
      <c r="BK88" s="12"/>
      <c r="BL88" s="12"/>
    </row>
    <row r="89" spans="1:64" ht="12.75" customHeight="1" x14ac:dyDescent="0.2">
      <c r="A89" s="1554"/>
      <c r="B89" s="1547" t="s">
        <v>1446</v>
      </c>
      <c r="C89" s="1053">
        <v>0</v>
      </c>
      <c r="D89" s="1563">
        <v>100000</v>
      </c>
      <c r="E89" s="1564">
        <v>100000</v>
      </c>
      <c r="F89" s="1564">
        <v>100000</v>
      </c>
      <c r="G89" s="2167">
        <v>100000</v>
      </c>
      <c r="H89" s="1848">
        <v>100000</v>
      </c>
      <c r="I89" s="1099">
        <v>0</v>
      </c>
      <c r="J89" s="1287">
        <v>0</v>
      </c>
      <c r="K89" s="1280">
        <v>0</v>
      </c>
      <c r="L89" s="12"/>
      <c r="M89" s="12"/>
      <c r="N89" s="12"/>
      <c r="O89" s="173"/>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c r="AY89" s="12"/>
      <c r="AZ89" s="12"/>
      <c r="BA89" s="12"/>
      <c r="BB89" s="12"/>
      <c r="BC89" s="12"/>
      <c r="BD89" s="12"/>
      <c r="BE89" s="12"/>
      <c r="BF89" s="12"/>
      <c r="BG89" s="12"/>
      <c r="BH89" s="12"/>
      <c r="BI89" s="12"/>
      <c r="BJ89" s="12"/>
      <c r="BK89" s="12"/>
      <c r="BL89" s="12"/>
    </row>
    <row r="90" spans="1:64" ht="12.75" customHeight="1" x14ac:dyDescent="0.2">
      <c r="A90" s="1554"/>
      <c r="B90" s="1547" t="s">
        <v>2045</v>
      </c>
      <c r="C90" s="1099">
        <v>0</v>
      </c>
      <c r="D90" s="1563">
        <f>8015+11895.45+33210</f>
        <v>53120.45</v>
      </c>
      <c r="E90" s="1564">
        <f>8015+11895.45+33210</f>
        <v>53120.45</v>
      </c>
      <c r="F90" s="1564">
        <f>8015+11895.45+33210</f>
        <v>53120.45</v>
      </c>
      <c r="G90" s="2167">
        <f>8015+11895.45+33210</f>
        <v>53120.45</v>
      </c>
      <c r="H90" s="1848">
        <f>8015+11895.45+33210</f>
        <v>53120.45</v>
      </c>
      <c r="I90" s="1099">
        <v>0</v>
      </c>
      <c r="J90" s="1287"/>
      <c r="K90" s="1280"/>
      <c r="L90" s="12"/>
      <c r="M90" s="12"/>
      <c r="N90" s="12"/>
      <c r="O90" s="173"/>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c r="AY90" s="12"/>
      <c r="AZ90" s="12"/>
      <c r="BA90" s="12"/>
      <c r="BB90" s="12"/>
      <c r="BC90" s="12"/>
      <c r="BD90" s="12"/>
      <c r="BE90" s="12"/>
      <c r="BF90" s="12"/>
      <c r="BG90" s="12"/>
      <c r="BH90" s="12"/>
      <c r="BI90" s="12"/>
      <c r="BJ90" s="12"/>
      <c r="BK90" s="12"/>
      <c r="BL90" s="12"/>
    </row>
    <row r="91" spans="1:64" ht="12.75" customHeight="1" x14ac:dyDescent="0.2">
      <c r="A91" s="1681">
        <v>2310</v>
      </c>
      <c r="B91" s="1567" t="s">
        <v>2051</v>
      </c>
      <c r="C91" s="2115">
        <v>0</v>
      </c>
      <c r="D91" s="2182"/>
      <c r="E91" s="2183">
        <v>0</v>
      </c>
      <c r="F91" s="2183">
        <v>3650</v>
      </c>
      <c r="G91" s="2184">
        <v>3650</v>
      </c>
      <c r="H91" s="2185"/>
      <c r="I91" s="2115">
        <v>0</v>
      </c>
      <c r="J91" s="1287"/>
      <c r="K91" s="1280"/>
      <c r="L91" s="12"/>
      <c r="M91" s="12"/>
      <c r="N91" s="12"/>
      <c r="O91" s="173"/>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c r="AY91" s="12"/>
      <c r="AZ91" s="12"/>
      <c r="BA91" s="12"/>
      <c r="BB91" s="12"/>
      <c r="BC91" s="12"/>
      <c r="BD91" s="12"/>
      <c r="BE91" s="12"/>
      <c r="BF91" s="12"/>
      <c r="BG91" s="12"/>
      <c r="BH91" s="12"/>
      <c r="BI91" s="12"/>
      <c r="BJ91" s="12"/>
      <c r="BK91" s="12"/>
      <c r="BL91" s="12"/>
    </row>
    <row r="92" spans="1:64" ht="12.75" customHeight="1" x14ac:dyDescent="0.2">
      <c r="A92" s="1555">
        <v>2321</v>
      </c>
      <c r="B92" s="1194" t="s">
        <v>1346</v>
      </c>
      <c r="C92" s="1182">
        <v>100000</v>
      </c>
      <c r="D92" s="1183">
        <v>105000</v>
      </c>
      <c r="E92" s="1052">
        <v>105000</v>
      </c>
      <c r="F92" s="1052">
        <v>105000</v>
      </c>
      <c r="G92" s="1282">
        <v>105000</v>
      </c>
      <c r="H92" s="1045">
        <v>105000</v>
      </c>
      <c r="I92" s="1261">
        <v>100000</v>
      </c>
      <c r="J92" s="1285">
        <v>100000</v>
      </c>
      <c r="K92" s="1285">
        <v>100000</v>
      </c>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c r="AY92" s="12"/>
      <c r="AZ92" s="12"/>
      <c r="BA92" s="12"/>
      <c r="BB92" s="12"/>
      <c r="BC92" s="12"/>
      <c r="BD92" s="12"/>
      <c r="BE92" s="12"/>
      <c r="BF92" s="12"/>
      <c r="BG92" s="12"/>
      <c r="BH92" s="12"/>
      <c r="BI92" s="12"/>
      <c r="BJ92" s="12"/>
      <c r="BK92" s="12"/>
      <c r="BL92" s="12"/>
    </row>
    <row r="93" spans="1:64" s="849" customFormat="1" ht="12.75" customHeight="1" x14ac:dyDescent="0.2">
      <c r="A93" s="1555">
        <v>2322</v>
      </c>
      <c r="B93" s="1194" t="s">
        <v>146</v>
      </c>
      <c r="C93" s="1182">
        <v>20000</v>
      </c>
      <c r="D93" s="1183">
        <v>286124</v>
      </c>
      <c r="E93" s="1052">
        <v>286124</v>
      </c>
      <c r="F93" s="1282">
        <f>296718+180302</f>
        <v>477020</v>
      </c>
      <c r="G93" s="1282">
        <f>296718+180302</f>
        <v>477020</v>
      </c>
      <c r="H93" s="1045">
        <v>267204</v>
      </c>
      <c r="I93" s="1261">
        <v>100000</v>
      </c>
      <c r="J93" s="1285"/>
      <c r="K93" s="1285"/>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c r="AY93" s="12"/>
      <c r="AZ93" s="12"/>
      <c r="BA93" s="12"/>
      <c r="BB93" s="12"/>
      <c r="BC93" s="12"/>
      <c r="BD93" s="12"/>
      <c r="BE93" s="12"/>
      <c r="BF93" s="12"/>
      <c r="BG93" s="12"/>
      <c r="BH93" s="12"/>
      <c r="BI93" s="12"/>
      <c r="BJ93" s="12"/>
      <c r="BK93" s="12"/>
      <c r="BL93" s="12"/>
    </row>
    <row r="94" spans="1:64" s="116" customFormat="1" ht="12.75" customHeight="1" x14ac:dyDescent="0.2">
      <c r="A94" s="1555">
        <v>2324</v>
      </c>
      <c r="B94" s="1194" t="s">
        <v>147</v>
      </c>
      <c r="C94" s="1052">
        <f t="shared" ref="C94:I94" si="7">SUM(C95:C111)</f>
        <v>4270000</v>
      </c>
      <c r="D94" s="1556">
        <f t="shared" si="7"/>
        <v>6047600</v>
      </c>
      <c r="E94" s="1052">
        <f t="shared" si="7"/>
        <v>6022600</v>
      </c>
      <c r="F94" s="1052">
        <f t="shared" si="7"/>
        <v>5306846.01</v>
      </c>
      <c r="G94" s="1282">
        <f t="shared" si="7"/>
        <v>4972143.3900000006</v>
      </c>
      <c r="H94" s="1045">
        <f t="shared" si="7"/>
        <v>3846748.72</v>
      </c>
      <c r="I94" s="1052">
        <f t="shared" si="7"/>
        <v>3408000</v>
      </c>
      <c r="J94" s="1282">
        <f>SUM(J96:J110)</f>
        <v>3065000</v>
      </c>
      <c r="K94" s="1282">
        <f>SUM(K96:K110)</f>
        <v>65000</v>
      </c>
      <c r="L94" s="107"/>
      <c r="M94" s="107"/>
      <c r="N94" s="107"/>
      <c r="O94" s="107"/>
      <c r="P94" s="107"/>
      <c r="Q94" s="107"/>
      <c r="R94" s="107"/>
      <c r="S94" s="107"/>
      <c r="T94" s="107"/>
      <c r="U94" s="107"/>
      <c r="V94" s="107"/>
      <c r="W94" s="107"/>
      <c r="X94" s="107"/>
      <c r="Y94" s="107"/>
      <c r="Z94" s="107"/>
      <c r="AA94" s="107"/>
      <c r="AB94" s="107"/>
      <c r="AC94" s="107"/>
      <c r="AD94" s="107"/>
      <c r="AE94" s="107"/>
      <c r="AF94" s="107"/>
      <c r="AG94" s="107"/>
      <c r="AH94" s="107"/>
      <c r="AI94" s="107"/>
      <c r="AJ94" s="107"/>
      <c r="AK94" s="107"/>
      <c r="AL94" s="107"/>
      <c r="AM94" s="107"/>
      <c r="AN94" s="107"/>
      <c r="AO94" s="107"/>
      <c r="AP94" s="107"/>
      <c r="AQ94" s="107"/>
      <c r="AR94" s="107"/>
      <c r="AS94" s="107"/>
      <c r="AT94" s="107"/>
      <c r="AU94" s="107"/>
      <c r="AV94" s="107"/>
      <c r="AW94" s="107"/>
      <c r="AX94" s="107"/>
      <c r="AY94" s="107"/>
      <c r="AZ94" s="107"/>
      <c r="BA94" s="107"/>
      <c r="BB94" s="107"/>
      <c r="BC94" s="107"/>
      <c r="BD94" s="107"/>
      <c r="BE94" s="107"/>
      <c r="BF94" s="107"/>
      <c r="BG94" s="107"/>
      <c r="BH94" s="107"/>
      <c r="BI94" s="107"/>
      <c r="BJ94" s="107"/>
      <c r="BK94" s="107"/>
      <c r="BL94" s="107"/>
    </row>
    <row r="95" spans="1:64" s="116" customFormat="1" ht="12.75" customHeight="1" x14ac:dyDescent="0.2">
      <c r="A95" s="1555"/>
      <c r="B95" s="1565" t="s">
        <v>1347</v>
      </c>
      <c r="C95" s="1053">
        <v>0</v>
      </c>
      <c r="D95" s="1546">
        <v>0</v>
      </c>
      <c r="E95" s="1572">
        <v>0</v>
      </c>
      <c r="F95" s="1572">
        <v>1096</v>
      </c>
      <c r="G95" s="1286">
        <v>1096</v>
      </c>
      <c r="H95" s="1176">
        <v>1096</v>
      </c>
      <c r="I95" s="1099">
        <v>0</v>
      </c>
      <c r="J95" s="1286">
        <v>0</v>
      </c>
      <c r="K95" s="1286">
        <v>0</v>
      </c>
      <c r="L95" s="107"/>
      <c r="M95" s="107"/>
      <c r="N95" s="107"/>
      <c r="O95" s="107"/>
      <c r="P95" s="107"/>
      <c r="Q95" s="107"/>
      <c r="R95" s="107"/>
      <c r="S95" s="107"/>
      <c r="T95" s="107"/>
      <c r="U95" s="107"/>
      <c r="V95" s="107"/>
      <c r="W95" s="107"/>
      <c r="X95" s="107"/>
      <c r="Y95" s="107"/>
      <c r="Z95" s="107"/>
      <c r="AA95" s="107"/>
      <c r="AB95" s="107"/>
      <c r="AC95" s="107"/>
      <c r="AD95" s="107"/>
      <c r="AE95" s="107"/>
      <c r="AF95" s="107"/>
      <c r="AG95" s="107"/>
      <c r="AH95" s="107"/>
      <c r="AI95" s="107"/>
      <c r="AJ95" s="107"/>
      <c r="AK95" s="107"/>
      <c r="AL95" s="107"/>
      <c r="AM95" s="107"/>
      <c r="AN95" s="107"/>
      <c r="AO95" s="107"/>
      <c r="AP95" s="107"/>
      <c r="AQ95" s="107"/>
      <c r="AR95" s="107"/>
      <c r="AS95" s="107"/>
      <c r="AT95" s="107"/>
      <c r="AU95" s="107"/>
      <c r="AV95" s="107"/>
      <c r="AW95" s="107"/>
      <c r="AX95" s="107"/>
      <c r="AY95" s="107"/>
      <c r="AZ95" s="107"/>
      <c r="BA95" s="107"/>
      <c r="BB95" s="107"/>
      <c r="BC95" s="107"/>
      <c r="BD95" s="107"/>
      <c r="BE95" s="107"/>
      <c r="BF95" s="107"/>
      <c r="BG95" s="107"/>
      <c r="BH95" s="107"/>
      <c r="BI95" s="107"/>
      <c r="BJ95" s="107"/>
      <c r="BK95" s="107"/>
      <c r="BL95" s="107"/>
    </row>
    <row r="96" spans="1:64" s="116" customFormat="1" ht="12.75" customHeight="1" x14ac:dyDescent="0.2">
      <c r="A96" s="1566" t="s">
        <v>1348</v>
      </c>
      <c r="B96" s="1567" t="s">
        <v>1255</v>
      </c>
      <c r="C96" s="1053">
        <v>12000</v>
      </c>
      <c r="D96" s="1546">
        <v>12000</v>
      </c>
      <c r="E96" s="1572">
        <v>12000</v>
      </c>
      <c r="F96" s="1572">
        <v>12000</v>
      </c>
      <c r="G96" s="1286">
        <v>9820.9699999999993</v>
      </c>
      <c r="H96" s="1176">
        <v>8799.6299999999992</v>
      </c>
      <c r="I96" s="1099">
        <v>15000</v>
      </c>
      <c r="J96" s="1287">
        <v>15000</v>
      </c>
      <c r="K96" s="1287">
        <v>15000</v>
      </c>
      <c r="L96" s="107"/>
      <c r="M96" s="107"/>
      <c r="N96" s="107"/>
      <c r="O96" s="107"/>
      <c r="P96" s="107"/>
      <c r="Q96" s="107"/>
      <c r="R96" s="107"/>
      <c r="S96" s="107"/>
      <c r="T96" s="107"/>
      <c r="U96" s="107"/>
      <c r="V96" s="107"/>
      <c r="W96" s="107"/>
      <c r="X96" s="107"/>
      <c r="Y96" s="107"/>
      <c r="Z96" s="107"/>
      <c r="AA96" s="107"/>
      <c r="AB96" s="107"/>
      <c r="AC96" s="107"/>
      <c r="AD96" s="107"/>
      <c r="AE96" s="107"/>
      <c r="AF96" s="107"/>
      <c r="AG96" s="107"/>
      <c r="AH96" s="107"/>
      <c r="AI96" s="107"/>
      <c r="AJ96" s="107"/>
      <c r="AK96" s="107"/>
      <c r="AL96" s="107"/>
      <c r="AM96" s="107"/>
      <c r="AN96" s="107"/>
      <c r="AO96" s="107"/>
      <c r="AP96" s="107"/>
      <c r="AQ96" s="107"/>
      <c r="AR96" s="107"/>
      <c r="AS96" s="107"/>
      <c r="AT96" s="107"/>
      <c r="AU96" s="107"/>
      <c r="AV96" s="107"/>
      <c r="AW96" s="107"/>
      <c r="AX96" s="107"/>
      <c r="AY96" s="107"/>
      <c r="AZ96" s="107"/>
    </row>
    <row r="97" spans="1:52" s="116" customFormat="1" ht="12.75" customHeight="1" x14ac:dyDescent="0.2">
      <c r="A97" s="1566"/>
      <c r="B97" s="1567" t="s">
        <v>2046</v>
      </c>
      <c r="C97" s="2000">
        <v>0</v>
      </c>
      <c r="D97" s="1546"/>
      <c r="E97" s="1572">
        <v>0</v>
      </c>
      <c r="F97" s="1572">
        <v>169.91</v>
      </c>
      <c r="G97" s="1286">
        <v>169.91</v>
      </c>
      <c r="H97" s="1176"/>
      <c r="I97" s="2000">
        <v>0</v>
      </c>
      <c r="J97" s="1287"/>
      <c r="K97" s="1287"/>
      <c r="L97" s="107"/>
      <c r="M97" s="107"/>
      <c r="N97" s="107"/>
      <c r="O97" s="107"/>
      <c r="P97" s="107"/>
      <c r="Q97" s="107"/>
      <c r="R97" s="107"/>
      <c r="S97" s="107"/>
      <c r="T97" s="107"/>
      <c r="U97" s="107"/>
      <c r="V97" s="107"/>
      <c r="W97" s="107"/>
      <c r="X97" s="107"/>
      <c r="Y97" s="107"/>
      <c r="Z97" s="107"/>
      <c r="AA97" s="107"/>
      <c r="AB97" s="107"/>
      <c r="AC97" s="107"/>
      <c r="AD97" s="107"/>
      <c r="AE97" s="107"/>
      <c r="AF97" s="107"/>
      <c r="AG97" s="107"/>
      <c r="AH97" s="107"/>
      <c r="AI97" s="107"/>
      <c r="AJ97" s="107"/>
      <c r="AK97" s="107"/>
      <c r="AL97" s="107"/>
      <c r="AM97" s="107"/>
      <c r="AN97" s="107"/>
      <c r="AO97" s="107"/>
      <c r="AP97" s="107"/>
      <c r="AQ97" s="107"/>
      <c r="AR97" s="107"/>
      <c r="AS97" s="107"/>
      <c r="AT97" s="107"/>
      <c r="AU97" s="107"/>
      <c r="AV97" s="107"/>
      <c r="AW97" s="107"/>
      <c r="AX97" s="107"/>
      <c r="AY97" s="107"/>
      <c r="AZ97" s="107"/>
    </row>
    <row r="98" spans="1:52" s="116" customFormat="1" ht="12.75" customHeight="1" x14ac:dyDescent="0.2">
      <c r="A98" s="1555"/>
      <c r="B98" s="1567" t="s">
        <v>1443</v>
      </c>
      <c r="C98" s="1053">
        <v>30000</v>
      </c>
      <c r="D98" s="1546">
        <v>30000</v>
      </c>
      <c r="E98" s="1572">
        <v>30000</v>
      </c>
      <c r="F98" s="1572">
        <v>45000</v>
      </c>
      <c r="G98" s="1286">
        <v>42000</v>
      </c>
      <c r="H98" s="1176">
        <v>34000</v>
      </c>
      <c r="I98" s="1099">
        <v>30000</v>
      </c>
      <c r="J98" s="1287">
        <v>30000</v>
      </c>
      <c r="K98" s="1287">
        <v>30000</v>
      </c>
      <c r="L98" s="107"/>
      <c r="M98" s="107"/>
      <c r="N98" s="107"/>
      <c r="O98" s="107"/>
      <c r="P98" s="107"/>
      <c r="Q98" s="107"/>
      <c r="R98" s="107"/>
      <c r="S98" s="107"/>
      <c r="T98" s="107"/>
      <c r="U98" s="107"/>
      <c r="V98" s="107"/>
      <c r="W98" s="107"/>
      <c r="X98" s="107"/>
      <c r="Y98" s="107"/>
      <c r="Z98" s="107"/>
      <c r="AA98" s="107"/>
      <c r="AB98" s="107"/>
      <c r="AC98" s="107"/>
      <c r="AD98" s="107"/>
      <c r="AE98" s="107"/>
      <c r="AF98" s="107"/>
      <c r="AG98" s="107"/>
      <c r="AH98" s="107"/>
      <c r="AI98" s="107"/>
      <c r="AJ98" s="107"/>
      <c r="AK98" s="107"/>
      <c r="AL98" s="107"/>
      <c r="AM98" s="107"/>
      <c r="AN98" s="107"/>
      <c r="AO98" s="107"/>
      <c r="AP98" s="107"/>
      <c r="AQ98" s="107"/>
      <c r="AR98" s="107"/>
      <c r="AS98" s="107"/>
      <c r="AT98" s="107"/>
      <c r="AU98" s="107"/>
      <c r="AV98" s="107"/>
      <c r="AW98" s="107"/>
      <c r="AX98" s="107"/>
      <c r="AY98" s="107"/>
      <c r="AZ98" s="107"/>
    </row>
    <row r="99" spans="1:52" s="116" customFormat="1" ht="12.75" customHeight="1" x14ac:dyDescent="0.2">
      <c r="A99" s="1555"/>
      <c r="B99" s="1567" t="s">
        <v>1256</v>
      </c>
      <c r="C99" s="1099">
        <v>200000</v>
      </c>
      <c r="D99" s="1546">
        <v>200000</v>
      </c>
      <c r="E99" s="1572">
        <v>200000</v>
      </c>
      <c r="F99" s="1814">
        <v>94000</v>
      </c>
      <c r="G99" s="2168">
        <v>76773.039999999994</v>
      </c>
      <c r="H99" s="1815">
        <v>63327</v>
      </c>
      <c r="I99" s="1099">
        <v>100000</v>
      </c>
      <c r="J99" s="1283"/>
      <c r="K99" s="1283"/>
      <c r="L99" s="107"/>
      <c r="M99" s="107"/>
      <c r="N99" s="107"/>
      <c r="O99" s="107"/>
      <c r="P99" s="107"/>
      <c r="Q99" s="107"/>
      <c r="R99" s="107"/>
      <c r="S99" s="107"/>
      <c r="T99" s="107"/>
      <c r="U99" s="107"/>
      <c r="V99" s="107"/>
      <c r="W99" s="107"/>
      <c r="X99" s="107"/>
      <c r="Y99" s="107"/>
      <c r="Z99" s="107"/>
      <c r="AA99" s="107"/>
      <c r="AB99" s="107"/>
      <c r="AC99" s="107"/>
      <c r="AD99" s="107"/>
      <c r="AE99" s="107"/>
      <c r="AF99" s="107"/>
      <c r="AG99" s="107"/>
      <c r="AH99" s="107"/>
      <c r="AI99" s="107"/>
      <c r="AJ99" s="107"/>
      <c r="AK99" s="107"/>
      <c r="AL99" s="107"/>
      <c r="AM99" s="107"/>
      <c r="AN99" s="107"/>
      <c r="AO99" s="107"/>
      <c r="AP99" s="107"/>
      <c r="AQ99" s="107"/>
      <c r="AR99" s="107"/>
      <c r="AS99" s="107"/>
      <c r="AT99" s="107"/>
      <c r="AU99" s="107"/>
      <c r="AV99" s="107"/>
      <c r="AW99" s="107"/>
      <c r="AX99" s="107"/>
      <c r="AY99" s="107"/>
      <c r="AZ99" s="107"/>
    </row>
    <row r="100" spans="1:52" s="850" customFormat="1" ht="12.75" customHeight="1" x14ac:dyDescent="0.2">
      <c r="A100" s="1555"/>
      <c r="B100" s="1567" t="s">
        <v>1257</v>
      </c>
      <c r="C100" s="1053">
        <v>300000</v>
      </c>
      <c r="D100" s="1546">
        <v>300000</v>
      </c>
      <c r="E100" s="1572">
        <f>300000</f>
        <v>300000</v>
      </c>
      <c r="F100" s="1572">
        <v>300000</v>
      </c>
      <c r="G100" s="1286">
        <v>277766.96999999997</v>
      </c>
      <c r="H100" s="1176">
        <v>110996.6</v>
      </c>
      <c r="I100" s="1099">
        <v>150000</v>
      </c>
      <c r="J100" s="1287"/>
      <c r="K100" s="1281"/>
      <c r="L100" s="107"/>
      <c r="M100" s="107"/>
      <c r="N100" s="107"/>
      <c r="O100" s="107"/>
      <c r="P100" s="107"/>
      <c r="Q100" s="107"/>
      <c r="R100" s="107"/>
      <c r="S100" s="107"/>
      <c r="T100" s="107"/>
      <c r="U100" s="107"/>
      <c r="V100" s="107"/>
      <c r="W100" s="107"/>
      <c r="X100" s="107"/>
      <c r="Y100" s="107"/>
      <c r="Z100" s="107"/>
      <c r="AA100" s="107"/>
      <c r="AB100" s="107"/>
      <c r="AC100" s="107"/>
      <c r="AD100" s="107"/>
      <c r="AE100" s="107"/>
      <c r="AF100" s="107"/>
      <c r="AG100" s="107"/>
      <c r="AH100" s="107"/>
      <c r="AI100" s="107"/>
      <c r="AJ100" s="107"/>
      <c r="AK100" s="107"/>
      <c r="AL100" s="107"/>
      <c r="AM100" s="107"/>
      <c r="AN100" s="107"/>
      <c r="AO100" s="107"/>
      <c r="AP100" s="107"/>
      <c r="AQ100" s="107"/>
      <c r="AR100" s="107"/>
      <c r="AS100" s="107"/>
      <c r="AT100" s="107"/>
      <c r="AU100" s="107"/>
      <c r="AV100" s="107"/>
      <c r="AW100" s="107"/>
      <c r="AX100" s="107"/>
      <c r="AY100" s="107"/>
      <c r="AZ100" s="107"/>
    </row>
    <row r="101" spans="1:52" s="850" customFormat="1" ht="12.75" customHeight="1" x14ac:dyDescent="0.2">
      <c r="A101" s="1555"/>
      <c r="B101" s="1567" t="s">
        <v>1598</v>
      </c>
      <c r="C101" s="1053">
        <v>15000</v>
      </c>
      <c r="D101" s="1546">
        <v>15000</v>
      </c>
      <c r="E101" s="1572">
        <v>15000</v>
      </c>
      <c r="F101" s="1564">
        <v>3000</v>
      </c>
      <c r="G101" s="2167">
        <v>1420</v>
      </c>
      <c r="H101" s="1753">
        <v>1420</v>
      </c>
      <c r="I101" s="1099">
        <v>15000</v>
      </c>
      <c r="J101" s="1287"/>
      <c r="K101" s="1281"/>
      <c r="L101" s="107"/>
      <c r="M101" s="107"/>
      <c r="N101" s="107"/>
      <c r="O101" s="107"/>
      <c r="P101" s="107"/>
      <c r="Q101" s="107"/>
      <c r="R101" s="107"/>
      <c r="S101" s="107"/>
      <c r="T101" s="107"/>
      <c r="U101" s="107"/>
      <c r="V101" s="107"/>
      <c r="W101" s="107"/>
      <c r="X101" s="107"/>
      <c r="Y101" s="107"/>
      <c r="Z101" s="107"/>
      <c r="AA101" s="107"/>
      <c r="AB101" s="107"/>
      <c r="AC101" s="107"/>
      <c r="AD101" s="107"/>
      <c r="AE101" s="107"/>
      <c r="AF101" s="107"/>
      <c r="AG101" s="107"/>
      <c r="AH101" s="107"/>
      <c r="AI101" s="107"/>
      <c r="AJ101" s="107"/>
      <c r="AK101" s="107"/>
      <c r="AL101" s="107"/>
      <c r="AM101" s="107"/>
      <c r="AN101" s="107"/>
      <c r="AO101" s="107"/>
      <c r="AP101" s="107"/>
      <c r="AQ101" s="107"/>
      <c r="AR101" s="107"/>
      <c r="AS101" s="107"/>
      <c r="AT101" s="107"/>
      <c r="AU101" s="107"/>
      <c r="AV101" s="107"/>
      <c r="AW101" s="107"/>
      <c r="AX101" s="107"/>
      <c r="AY101" s="107"/>
      <c r="AZ101" s="107"/>
    </row>
    <row r="102" spans="1:52" s="850" customFormat="1" ht="12.75" customHeight="1" x14ac:dyDescent="0.2">
      <c r="A102" s="1555"/>
      <c r="B102" s="1567" t="s">
        <v>1444</v>
      </c>
      <c r="C102" s="1053">
        <v>0</v>
      </c>
      <c r="D102" s="1546">
        <v>145200</v>
      </c>
      <c r="E102" s="1572">
        <v>145200</v>
      </c>
      <c r="F102" s="1564">
        <v>145200</v>
      </c>
      <c r="G102" s="2167">
        <v>145200</v>
      </c>
      <c r="H102" s="1753">
        <v>145200</v>
      </c>
      <c r="I102" s="1099">
        <v>0</v>
      </c>
      <c r="J102" s="1287">
        <v>0</v>
      </c>
      <c r="K102" s="1281">
        <v>0</v>
      </c>
      <c r="L102" s="107"/>
      <c r="M102" s="107"/>
      <c r="N102" s="107"/>
      <c r="O102" s="107"/>
      <c r="P102" s="107"/>
      <c r="Q102" s="107"/>
      <c r="R102" s="107"/>
      <c r="S102" s="107"/>
      <c r="T102" s="107"/>
      <c r="U102" s="107"/>
      <c r="V102" s="107"/>
      <c r="W102" s="107"/>
      <c r="X102" s="107"/>
      <c r="Y102" s="107"/>
      <c r="Z102" s="107"/>
      <c r="AA102" s="107"/>
      <c r="AB102" s="107"/>
      <c r="AC102" s="107"/>
      <c r="AD102" s="107"/>
      <c r="AE102" s="107"/>
      <c r="AF102" s="107"/>
      <c r="AG102" s="107"/>
      <c r="AH102" s="107"/>
      <c r="AI102" s="107"/>
      <c r="AJ102" s="107"/>
      <c r="AK102" s="107"/>
      <c r="AL102" s="107"/>
      <c r="AM102" s="107"/>
      <c r="AN102" s="107"/>
      <c r="AO102" s="107"/>
      <c r="AP102" s="107"/>
      <c r="AQ102" s="107"/>
      <c r="AR102" s="107"/>
      <c r="AS102" s="107"/>
      <c r="AT102" s="107"/>
      <c r="AU102" s="107"/>
      <c r="AV102" s="107"/>
      <c r="AW102" s="107"/>
      <c r="AX102" s="107"/>
      <c r="AY102" s="107"/>
      <c r="AZ102" s="107"/>
    </row>
    <row r="103" spans="1:52" ht="12.75" customHeight="1" x14ac:dyDescent="0.2">
      <c r="A103" s="1569"/>
      <c r="B103" s="1570" t="s">
        <v>1258</v>
      </c>
      <c r="C103" s="1053">
        <v>25000</v>
      </c>
      <c r="D103" s="1546">
        <v>25000</v>
      </c>
      <c r="E103" s="1572">
        <v>25000</v>
      </c>
      <c r="F103" s="1572">
        <v>420</v>
      </c>
      <c r="G103" s="1286">
        <v>399.53</v>
      </c>
      <c r="H103" s="1176">
        <v>378.34</v>
      </c>
      <c r="I103" s="1099">
        <v>5000</v>
      </c>
      <c r="J103" s="1287"/>
      <c r="K103" s="1280"/>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row>
    <row r="104" spans="1:52" s="186" customFormat="1" ht="12.75" customHeight="1" x14ac:dyDescent="0.2">
      <c r="A104" s="1554"/>
      <c r="B104" s="1547" t="s">
        <v>1349</v>
      </c>
      <c r="C104" s="1053">
        <v>600000</v>
      </c>
      <c r="D104" s="1546">
        <v>600000</v>
      </c>
      <c r="E104" s="1572">
        <v>600000</v>
      </c>
      <c r="F104" s="2167">
        <v>0</v>
      </c>
      <c r="G104" s="2167">
        <v>0</v>
      </c>
      <c r="H104" s="1753">
        <v>0</v>
      </c>
      <c r="I104" s="1099">
        <v>0</v>
      </c>
      <c r="J104" s="1287"/>
      <c r="K104" s="1288"/>
      <c r="L104" s="1042"/>
      <c r="M104" s="1042"/>
      <c r="N104" s="1042"/>
      <c r="O104" s="1042"/>
      <c r="P104" s="1042"/>
      <c r="Q104" s="1042"/>
      <c r="R104" s="1042"/>
      <c r="S104" s="1042"/>
      <c r="T104" s="1042"/>
      <c r="U104" s="1042"/>
      <c r="V104" s="1042"/>
      <c r="W104" s="1042"/>
      <c r="X104" s="1042"/>
      <c r="Y104" s="1042"/>
      <c r="Z104" s="1042"/>
      <c r="AA104" s="1042"/>
      <c r="AB104" s="1042"/>
      <c r="AC104" s="1042"/>
      <c r="AD104" s="1042"/>
      <c r="AE104" s="1042"/>
      <c r="AF104" s="1042"/>
      <c r="AG104" s="1042"/>
      <c r="AH104" s="1042"/>
      <c r="AI104" s="1042"/>
      <c r="AJ104" s="1042"/>
      <c r="AK104" s="1042"/>
      <c r="AL104" s="1042"/>
      <c r="AM104" s="1042"/>
      <c r="AN104" s="1042"/>
      <c r="AO104" s="1042"/>
      <c r="AP104" s="1042"/>
      <c r="AQ104" s="1042"/>
      <c r="AR104" s="1042"/>
      <c r="AS104" s="1042"/>
      <c r="AT104" s="1042"/>
      <c r="AU104" s="1042"/>
      <c r="AV104" s="1042"/>
      <c r="AW104" s="1042"/>
      <c r="AX104" s="1042"/>
      <c r="AY104" s="1042"/>
      <c r="AZ104" s="1042"/>
    </row>
    <row r="105" spans="1:52" s="186" customFormat="1" ht="12.75" customHeight="1" x14ac:dyDescent="0.2">
      <c r="A105" s="1554"/>
      <c r="B105" s="1547" t="s">
        <v>1259</v>
      </c>
      <c r="C105" s="1053">
        <v>3000000</v>
      </c>
      <c r="D105" s="1546">
        <v>3000000</v>
      </c>
      <c r="E105" s="1572">
        <v>3000000</v>
      </c>
      <c r="F105" s="1564">
        <v>3000000</v>
      </c>
      <c r="G105" s="2167">
        <v>2730553.58</v>
      </c>
      <c r="H105" s="1753">
        <v>1816640.53</v>
      </c>
      <c r="I105" s="1099">
        <v>3000000</v>
      </c>
      <c r="J105" s="1287">
        <v>3000000</v>
      </c>
      <c r="K105" s="1288"/>
      <c r="L105" s="1042"/>
      <c r="M105" s="1042"/>
      <c r="N105" s="1042"/>
      <c r="O105" s="1042"/>
      <c r="P105" s="1042"/>
      <c r="Q105" s="1042"/>
      <c r="R105" s="1042"/>
      <c r="S105" s="1042"/>
      <c r="T105" s="1042"/>
      <c r="U105" s="1042"/>
      <c r="V105" s="1042"/>
      <c r="W105" s="1042"/>
      <c r="X105" s="1042"/>
      <c r="Y105" s="1042"/>
      <c r="Z105" s="1042"/>
      <c r="AA105" s="1042"/>
      <c r="AB105" s="1042"/>
      <c r="AC105" s="1042"/>
      <c r="AD105" s="1042"/>
      <c r="AE105" s="1042"/>
      <c r="AF105" s="1042"/>
      <c r="AG105" s="1042"/>
      <c r="AH105" s="1042"/>
      <c r="AI105" s="1042"/>
      <c r="AJ105" s="1042"/>
      <c r="AK105" s="1042"/>
      <c r="AL105" s="1042"/>
      <c r="AM105" s="1042"/>
      <c r="AN105" s="1042"/>
      <c r="AO105" s="1042"/>
      <c r="AP105" s="1042"/>
      <c r="AQ105" s="1042"/>
      <c r="AR105" s="1042"/>
      <c r="AS105" s="1042"/>
      <c r="AT105" s="1042"/>
      <c r="AU105" s="1042"/>
      <c r="AV105" s="1042"/>
      <c r="AW105" s="1042"/>
      <c r="AX105" s="1042"/>
      <c r="AY105" s="1042"/>
      <c r="AZ105" s="1042"/>
    </row>
    <row r="106" spans="1:52" s="186" customFormat="1" ht="12.75" customHeight="1" x14ac:dyDescent="0.2">
      <c r="A106" s="1554"/>
      <c r="B106" s="1547" t="s">
        <v>2050</v>
      </c>
      <c r="C106" s="2000">
        <v>0</v>
      </c>
      <c r="D106" s="1546"/>
      <c r="E106" s="1572">
        <v>0</v>
      </c>
      <c r="F106" s="1564">
        <v>3000</v>
      </c>
      <c r="G106" s="2167">
        <v>3000</v>
      </c>
      <c r="H106" s="1753"/>
      <c r="I106" s="2000"/>
      <c r="J106" s="1287"/>
      <c r="K106" s="1288"/>
      <c r="L106" s="1042"/>
      <c r="M106" s="1042"/>
      <c r="N106" s="1042"/>
      <c r="O106" s="1042"/>
      <c r="P106" s="1042"/>
      <c r="Q106" s="1042"/>
      <c r="R106" s="1042"/>
      <c r="S106" s="1042"/>
      <c r="T106" s="1042"/>
      <c r="U106" s="1042"/>
      <c r="V106" s="1042"/>
      <c r="W106" s="1042"/>
      <c r="X106" s="1042"/>
      <c r="Y106" s="1042"/>
      <c r="Z106" s="1042"/>
      <c r="AA106" s="1042"/>
      <c r="AB106" s="1042"/>
      <c r="AC106" s="1042"/>
      <c r="AD106" s="1042"/>
      <c r="AE106" s="1042"/>
      <c r="AF106" s="1042"/>
      <c r="AG106" s="1042"/>
      <c r="AH106" s="1042"/>
      <c r="AI106" s="1042"/>
      <c r="AJ106" s="1042"/>
      <c r="AK106" s="1042"/>
      <c r="AL106" s="1042"/>
      <c r="AM106" s="1042"/>
      <c r="AN106" s="1042"/>
      <c r="AO106" s="1042"/>
      <c r="AP106" s="1042"/>
      <c r="AQ106" s="1042"/>
      <c r="AR106" s="1042"/>
      <c r="AS106" s="1042"/>
      <c r="AT106" s="1042"/>
      <c r="AU106" s="1042"/>
      <c r="AV106" s="1042"/>
      <c r="AW106" s="1042"/>
      <c r="AX106" s="1042"/>
      <c r="AY106" s="1042"/>
      <c r="AZ106" s="1042"/>
    </row>
    <row r="107" spans="1:52" s="186" customFormat="1" ht="12.75" customHeight="1" x14ac:dyDescent="0.2">
      <c r="A107" s="1554"/>
      <c r="B107" s="1547" t="s">
        <v>1260</v>
      </c>
      <c r="C107" s="1053">
        <v>3000</v>
      </c>
      <c r="D107" s="1546">
        <v>3000</v>
      </c>
      <c r="E107" s="1572">
        <v>3000</v>
      </c>
      <c r="F107" s="1564">
        <v>1500</v>
      </c>
      <c r="G107" s="2167">
        <v>900.01</v>
      </c>
      <c r="H107" s="1753">
        <v>0</v>
      </c>
      <c r="I107" s="1099">
        <v>3000</v>
      </c>
      <c r="J107" s="1287"/>
      <c r="K107" s="1288"/>
      <c r="L107" s="1042"/>
      <c r="M107" s="1042"/>
      <c r="N107" s="1042"/>
      <c r="O107" s="1042"/>
      <c r="P107" s="1042"/>
      <c r="Q107" s="1042"/>
      <c r="R107" s="1042"/>
      <c r="S107" s="1042"/>
      <c r="T107" s="1042"/>
      <c r="U107" s="1042"/>
      <c r="V107" s="1042"/>
      <c r="W107" s="1042"/>
      <c r="X107" s="1042"/>
      <c r="Y107" s="1042"/>
      <c r="Z107" s="1042"/>
      <c r="AA107" s="1042"/>
      <c r="AB107" s="1042"/>
      <c r="AC107" s="1042"/>
      <c r="AD107" s="1042"/>
      <c r="AE107" s="1042"/>
      <c r="AF107" s="1042"/>
      <c r="AG107" s="1042"/>
      <c r="AH107" s="1042"/>
      <c r="AI107" s="1042"/>
      <c r="AJ107" s="1042"/>
      <c r="AK107" s="1042"/>
      <c r="AL107" s="1042"/>
      <c r="AM107" s="1042"/>
      <c r="AN107" s="1042"/>
      <c r="AO107" s="1042"/>
      <c r="AP107" s="1042"/>
      <c r="AQ107" s="1042"/>
      <c r="AR107" s="1042"/>
      <c r="AS107" s="1042"/>
      <c r="AT107" s="1042"/>
      <c r="AU107" s="1042"/>
      <c r="AV107" s="1042"/>
      <c r="AW107" s="1042"/>
      <c r="AX107" s="1042"/>
      <c r="AY107" s="1042"/>
      <c r="AZ107" s="1042"/>
    </row>
    <row r="108" spans="1:52" s="186" customFormat="1" ht="12.75" customHeight="1" x14ac:dyDescent="0.2">
      <c r="A108" s="1554"/>
      <c r="B108" s="1547" t="s">
        <v>1261</v>
      </c>
      <c r="C108" s="1099">
        <v>70000</v>
      </c>
      <c r="D108" s="1546">
        <v>70000</v>
      </c>
      <c r="E108" s="1572">
        <v>70000</v>
      </c>
      <c r="F108" s="1752">
        <v>57000</v>
      </c>
      <c r="G108" s="2169">
        <v>42002.93</v>
      </c>
      <c r="H108" s="1753">
        <v>38644</v>
      </c>
      <c r="I108" s="1099">
        <v>60000</v>
      </c>
      <c r="J108" s="1283"/>
      <c r="K108" s="1283"/>
      <c r="L108" s="1042"/>
      <c r="M108" s="1042"/>
      <c r="N108" s="1042"/>
      <c r="O108" s="1042"/>
      <c r="P108" s="1042"/>
      <c r="Q108" s="1042"/>
      <c r="R108" s="1042"/>
      <c r="S108" s="1042"/>
      <c r="T108" s="1042"/>
      <c r="U108" s="1042"/>
      <c r="V108" s="1042"/>
      <c r="W108" s="1042"/>
      <c r="X108" s="1042"/>
      <c r="Y108" s="1042"/>
      <c r="Z108" s="1042"/>
      <c r="AA108" s="1042"/>
      <c r="AB108" s="1042"/>
      <c r="AC108" s="1042"/>
      <c r="AD108" s="1042"/>
      <c r="AE108" s="1042"/>
      <c r="AF108" s="1042"/>
      <c r="AG108" s="1042"/>
      <c r="AH108" s="1042"/>
      <c r="AI108" s="1042"/>
      <c r="AJ108" s="1042"/>
      <c r="AK108" s="1042"/>
      <c r="AL108" s="1042"/>
      <c r="AM108" s="1042"/>
      <c r="AN108" s="1042"/>
      <c r="AO108" s="1042"/>
      <c r="AP108" s="1042"/>
      <c r="AQ108" s="1042"/>
      <c r="AR108" s="1042"/>
      <c r="AS108" s="1042"/>
      <c r="AT108" s="1042"/>
      <c r="AU108" s="1042"/>
      <c r="AV108" s="1042"/>
      <c r="AW108" s="1042"/>
      <c r="AX108" s="1042"/>
      <c r="AY108" s="1042"/>
      <c r="AZ108" s="1042"/>
    </row>
    <row r="109" spans="1:52" s="186" customFormat="1" ht="12.75" customHeight="1" x14ac:dyDescent="0.2">
      <c r="A109" s="1554"/>
      <c r="B109" s="1547" t="s">
        <v>2049</v>
      </c>
      <c r="C109" s="2000">
        <v>0</v>
      </c>
      <c r="D109" s="1546"/>
      <c r="E109" s="1572">
        <v>0</v>
      </c>
      <c r="F109" s="1752">
        <v>7060.1</v>
      </c>
      <c r="G109" s="2169">
        <v>7060.1</v>
      </c>
      <c r="H109" s="1753"/>
      <c r="I109" s="2000">
        <v>0</v>
      </c>
      <c r="J109" s="2112"/>
      <c r="K109" s="2112"/>
      <c r="L109" s="1042"/>
      <c r="M109" s="1042"/>
      <c r="N109" s="1042"/>
      <c r="O109" s="1042"/>
      <c r="P109" s="1042"/>
      <c r="Q109" s="1042"/>
      <c r="R109" s="1042"/>
      <c r="S109" s="1042"/>
      <c r="T109" s="1042"/>
      <c r="U109" s="1042"/>
      <c r="V109" s="1042"/>
      <c r="W109" s="1042"/>
      <c r="X109" s="1042"/>
      <c r="Y109" s="1042"/>
      <c r="Z109" s="1042"/>
      <c r="AA109" s="1042"/>
      <c r="AB109" s="1042"/>
      <c r="AC109" s="1042"/>
      <c r="AD109" s="1042"/>
      <c r="AE109" s="1042"/>
      <c r="AF109" s="1042"/>
      <c r="AG109" s="1042"/>
      <c r="AH109" s="1042"/>
      <c r="AI109" s="1042"/>
      <c r="AJ109" s="1042"/>
      <c r="AK109" s="1042"/>
      <c r="AL109" s="1042"/>
      <c r="AM109" s="1042"/>
      <c r="AN109" s="1042"/>
      <c r="AO109" s="1042"/>
      <c r="AP109" s="1042"/>
      <c r="AQ109" s="1042"/>
      <c r="AR109" s="1042"/>
      <c r="AS109" s="1042"/>
      <c r="AT109" s="1042"/>
      <c r="AU109" s="1042"/>
      <c r="AV109" s="1042"/>
      <c r="AW109" s="1042"/>
      <c r="AX109" s="1042"/>
      <c r="AY109" s="1042"/>
      <c r="AZ109" s="1042"/>
    </row>
    <row r="110" spans="1:52" s="186" customFormat="1" ht="12.75" customHeight="1" x14ac:dyDescent="0.2">
      <c r="A110" s="1571" t="s">
        <v>1439</v>
      </c>
      <c r="B110" s="1547" t="s">
        <v>2022</v>
      </c>
      <c r="C110" s="1053">
        <v>15000</v>
      </c>
      <c r="D110" s="1546">
        <v>40000</v>
      </c>
      <c r="E110" s="1572">
        <f>15000</f>
        <v>15000</v>
      </c>
      <c r="F110" s="1564">
        <v>30000</v>
      </c>
      <c r="G110" s="2167">
        <f>26580.35</f>
        <v>26580.35</v>
      </c>
      <c r="H110" s="1753">
        <f>378.34+18468.28</f>
        <v>18846.62</v>
      </c>
      <c r="I110" s="1099">
        <v>30000</v>
      </c>
      <c r="J110" s="1094">
        <f>5000+15000</f>
        <v>20000</v>
      </c>
      <c r="K110" s="1094">
        <f>5000+15000</f>
        <v>20000</v>
      </c>
      <c r="L110" s="1042"/>
      <c r="M110" s="1042"/>
      <c r="N110" s="1042"/>
      <c r="O110" s="1042"/>
      <c r="P110" s="1042"/>
      <c r="Q110" s="1042"/>
      <c r="R110" s="1042"/>
      <c r="S110" s="1042"/>
      <c r="T110" s="1042"/>
      <c r="U110" s="1042"/>
      <c r="V110" s="1042"/>
      <c r="W110" s="1042"/>
      <c r="X110" s="1042"/>
      <c r="Y110" s="1042"/>
      <c r="Z110" s="1042"/>
      <c r="AA110" s="1042"/>
      <c r="AB110" s="1042"/>
      <c r="AC110" s="1042"/>
      <c r="AD110" s="1042"/>
      <c r="AE110" s="1042"/>
      <c r="AF110" s="1042"/>
      <c r="AG110" s="1042"/>
      <c r="AH110" s="1042"/>
      <c r="AI110" s="1042"/>
      <c r="AJ110" s="1042"/>
      <c r="AK110" s="1042"/>
      <c r="AL110" s="1042"/>
      <c r="AM110" s="1042"/>
      <c r="AN110" s="1042"/>
      <c r="AO110" s="1042"/>
      <c r="AP110" s="1042"/>
      <c r="AQ110" s="1042"/>
      <c r="AR110" s="1042"/>
      <c r="AS110" s="1042"/>
      <c r="AT110" s="1042"/>
      <c r="AU110" s="1042"/>
      <c r="AV110" s="1042"/>
      <c r="AW110" s="1042"/>
      <c r="AX110" s="1042"/>
      <c r="AY110" s="1042"/>
      <c r="AZ110" s="1042"/>
    </row>
    <row r="111" spans="1:52" s="186" customFormat="1" ht="12.75" customHeight="1" x14ac:dyDescent="0.2">
      <c r="A111" s="1571"/>
      <c r="B111" s="1547" t="s">
        <v>1616</v>
      </c>
      <c r="C111" s="1099">
        <v>0</v>
      </c>
      <c r="D111" s="1546">
        <v>1607400</v>
      </c>
      <c r="E111" s="1572">
        <v>1607400</v>
      </c>
      <c r="F111" s="1564">
        <v>1607400</v>
      </c>
      <c r="G111" s="2167">
        <v>1607400</v>
      </c>
      <c r="H111" s="1753">
        <v>1607400</v>
      </c>
      <c r="I111" s="1099">
        <v>0</v>
      </c>
      <c r="J111" s="1094"/>
      <c r="K111" s="1094"/>
      <c r="L111" s="1042"/>
      <c r="M111" s="1042"/>
      <c r="N111" s="1042"/>
      <c r="O111" s="1042"/>
      <c r="P111" s="1042"/>
      <c r="Q111" s="1042"/>
      <c r="R111" s="1042"/>
      <c r="S111" s="1042"/>
      <c r="T111" s="1042"/>
      <c r="U111" s="1042"/>
      <c r="V111" s="1042"/>
      <c r="W111" s="1042"/>
      <c r="X111" s="1042"/>
      <c r="Y111" s="1042"/>
      <c r="Z111" s="1042"/>
      <c r="AA111" s="1042"/>
      <c r="AB111" s="1042"/>
      <c r="AC111" s="1042"/>
      <c r="AD111" s="1042"/>
      <c r="AE111" s="1042"/>
      <c r="AF111" s="1042"/>
      <c r="AG111" s="1042"/>
      <c r="AH111" s="1042"/>
      <c r="AI111" s="1042"/>
      <c r="AJ111" s="1042"/>
      <c r="AK111" s="1042"/>
      <c r="AL111" s="1042"/>
      <c r="AM111" s="1042"/>
      <c r="AN111" s="1042"/>
      <c r="AO111" s="1042"/>
      <c r="AP111" s="1042"/>
      <c r="AQ111" s="1042"/>
      <c r="AR111" s="1042"/>
      <c r="AS111" s="1042"/>
      <c r="AT111" s="1042"/>
      <c r="AU111" s="1042"/>
      <c r="AV111" s="1042"/>
      <c r="AW111" s="1042"/>
      <c r="AX111" s="1042"/>
      <c r="AY111" s="1042"/>
      <c r="AZ111" s="1042"/>
    </row>
    <row r="112" spans="1:52" s="186" customFormat="1" ht="13.5" customHeight="1" x14ac:dyDescent="0.2">
      <c r="A112" s="1637" t="s">
        <v>1839</v>
      </c>
      <c r="B112" s="1636" t="s">
        <v>2047</v>
      </c>
      <c r="C112" s="1261">
        <v>0</v>
      </c>
      <c r="D112" s="1045">
        <v>0</v>
      </c>
      <c r="E112" s="1052">
        <v>0</v>
      </c>
      <c r="F112" s="2170">
        <v>101389.24</v>
      </c>
      <c r="G112" s="2170">
        <v>101389.24</v>
      </c>
      <c r="H112" s="1867">
        <v>6055.24</v>
      </c>
      <c r="I112" s="1261">
        <v>0</v>
      </c>
      <c r="J112" s="1094"/>
      <c r="K112" s="1094"/>
      <c r="L112" s="1042"/>
      <c r="M112" s="1042"/>
      <c r="N112" s="1042"/>
      <c r="O112" s="1042"/>
      <c r="P112" s="1042"/>
      <c r="Q112" s="1042"/>
      <c r="R112" s="1042"/>
      <c r="S112" s="1042"/>
      <c r="T112" s="1042"/>
      <c r="U112" s="1042"/>
      <c r="V112" s="1042"/>
      <c r="W112" s="1042"/>
      <c r="X112" s="1042"/>
      <c r="Y112" s="1042"/>
      <c r="Z112" s="1042"/>
      <c r="AA112" s="1042"/>
      <c r="AB112" s="1042"/>
      <c r="AC112" s="1042"/>
      <c r="AD112" s="1042"/>
      <c r="AE112" s="1042"/>
      <c r="AF112" s="1042"/>
      <c r="AG112" s="1042"/>
      <c r="AH112" s="1042"/>
      <c r="AI112" s="1042"/>
      <c r="AJ112" s="1042"/>
      <c r="AK112" s="1042"/>
      <c r="AL112" s="1042"/>
      <c r="AM112" s="1042"/>
      <c r="AN112" s="1042"/>
      <c r="AO112" s="1042"/>
      <c r="AP112" s="1042"/>
      <c r="AQ112" s="1042"/>
      <c r="AR112" s="1042"/>
      <c r="AS112" s="1042"/>
      <c r="AT112" s="1042"/>
      <c r="AU112" s="1042"/>
      <c r="AV112" s="1042"/>
      <c r="AW112" s="1042"/>
      <c r="AX112" s="1042"/>
      <c r="AY112" s="1042"/>
      <c r="AZ112" s="1042"/>
    </row>
    <row r="113" spans="1:52" s="116" customFormat="1" ht="12.75" customHeight="1" x14ac:dyDescent="0.2">
      <c r="A113" s="1555">
        <v>2329</v>
      </c>
      <c r="B113" s="1194" t="s">
        <v>164</v>
      </c>
      <c r="C113" s="1052">
        <f t="shared" ref="C113:K113" si="8">SUM(C114:C130)</f>
        <v>15209538</v>
      </c>
      <c r="D113" s="1556">
        <f t="shared" si="8"/>
        <v>13425000</v>
      </c>
      <c r="E113" s="1052">
        <f t="shared" si="8"/>
        <v>7465000</v>
      </c>
      <c r="F113" s="1052">
        <f t="shared" si="8"/>
        <v>7571000</v>
      </c>
      <c r="G113" s="1282">
        <f t="shared" si="8"/>
        <v>7412944.9500000002</v>
      </c>
      <c r="H113" s="1045">
        <f t="shared" si="8"/>
        <v>13157289.550000001</v>
      </c>
      <c r="I113" s="1052">
        <f t="shared" si="8"/>
        <v>17694387.359999999</v>
      </c>
      <c r="J113" s="718">
        <f t="shared" si="8"/>
        <v>45000</v>
      </c>
      <c r="K113" s="884">
        <f t="shared" si="8"/>
        <v>45000</v>
      </c>
      <c r="L113" s="916"/>
      <c r="M113" s="107"/>
      <c r="N113" s="107"/>
      <c r="O113" s="107"/>
      <c r="P113" s="107"/>
      <c r="Q113" s="107"/>
      <c r="R113" s="107"/>
      <c r="S113" s="107"/>
      <c r="T113" s="107"/>
      <c r="U113" s="107"/>
      <c r="V113" s="107"/>
      <c r="W113" s="107"/>
      <c r="X113" s="107"/>
      <c r="Y113" s="107"/>
      <c r="Z113" s="107"/>
      <c r="AA113" s="107"/>
      <c r="AB113" s="107"/>
      <c r="AC113" s="107"/>
      <c r="AD113" s="107"/>
      <c r="AE113" s="107"/>
      <c r="AF113" s="107"/>
      <c r="AG113" s="107"/>
      <c r="AH113" s="107"/>
      <c r="AI113" s="107"/>
      <c r="AJ113" s="107"/>
      <c r="AK113" s="107"/>
      <c r="AL113" s="107"/>
      <c r="AM113" s="107"/>
      <c r="AN113" s="107"/>
      <c r="AO113" s="107"/>
      <c r="AP113" s="107"/>
      <c r="AQ113" s="107"/>
      <c r="AR113" s="107"/>
      <c r="AS113" s="107"/>
      <c r="AT113" s="107"/>
      <c r="AU113" s="107"/>
      <c r="AV113" s="107"/>
      <c r="AW113" s="107"/>
      <c r="AX113" s="107"/>
      <c r="AY113" s="107"/>
      <c r="AZ113" s="107"/>
    </row>
    <row r="114" spans="1:52" s="116" customFormat="1" ht="12.75" customHeight="1" x14ac:dyDescent="0.2">
      <c r="A114" s="1555"/>
      <c r="B114" s="1567" t="s">
        <v>1776</v>
      </c>
      <c r="C114" s="1099">
        <v>0</v>
      </c>
      <c r="D114" s="1546">
        <v>0</v>
      </c>
      <c r="E114" s="1572">
        <v>0</v>
      </c>
      <c r="F114" s="1572">
        <v>0</v>
      </c>
      <c r="G114" s="1286">
        <v>0</v>
      </c>
      <c r="H114" s="1176">
        <v>0</v>
      </c>
      <c r="I114" s="1099">
        <v>200000</v>
      </c>
      <c r="J114" s="1276"/>
      <c r="K114" s="1276"/>
      <c r="L114" s="33"/>
      <c r="M114" s="129"/>
      <c r="N114" s="129"/>
      <c r="O114" s="107"/>
      <c r="P114" s="107"/>
      <c r="Q114" s="107"/>
      <c r="R114" s="107"/>
      <c r="S114" s="107"/>
      <c r="T114" s="107"/>
      <c r="U114" s="107"/>
      <c r="V114" s="107"/>
      <c r="W114" s="107"/>
      <c r="X114" s="107"/>
      <c r="Y114" s="107"/>
      <c r="Z114" s="107"/>
      <c r="AA114" s="107"/>
      <c r="AB114" s="107"/>
      <c r="AC114" s="107"/>
      <c r="AD114" s="107"/>
      <c r="AE114" s="107"/>
      <c r="AF114" s="107"/>
      <c r="AG114" s="107"/>
      <c r="AH114" s="107"/>
      <c r="AI114" s="107"/>
      <c r="AJ114" s="107"/>
      <c r="AK114" s="107"/>
      <c r="AL114" s="107"/>
      <c r="AM114" s="107"/>
      <c r="AN114" s="107"/>
      <c r="AO114" s="107"/>
      <c r="AP114" s="107"/>
      <c r="AQ114" s="107"/>
      <c r="AR114" s="107"/>
      <c r="AS114" s="107"/>
      <c r="AT114" s="107"/>
      <c r="AU114" s="107"/>
      <c r="AV114" s="107"/>
      <c r="AW114" s="107"/>
      <c r="AX114" s="107"/>
      <c r="AY114" s="107"/>
      <c r="AZ114" s="107"/>
    </row>
    <row r="115" spans="1:52" ht="12.75" customHeight="1" x14ac:dyDescent="0.2">
      <c r="A115" s="1554"/>
      <c r="B115" s="1547" t="s">
        <v>1350</v>
      </c>
      <c r="C115" s="1053">
        <v>5000</v>
      </c>
      <c r="D115" s="1546">
        <v>5000</v>
      </c>
      <c r="E115" s="1572">
        <v>5000</v>
      </c>
      <c r="F115" s="1564">
        <v>0</v>
      </c>
      <c r="G115" s="2167">
        <v>0</v>
      </c>
      <c r="H115" s="1753">
        <v>0</v>
      </c>
      <c r="I115" s="1099">
        <v>5000</v>
      </c>
      <c r="J115" s="1287">
        <v>5000</v>
      </c>
      <c r="K115" s="1280">
        <v>5000</v>
      </c>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row>
    <row r="116" spans="1:52" s="849" customFormat="1" ht="12.75" customHeight="1" x14ac:dyDescent="0.2">
      <c r="A116" s="1554"/>
      <c r="B116" s="1547" t="s">
        <v>1019</v>
      </c>
      <c r="C116" s="1053">
        <v>500000</v>
      </c>
      <c r="D116" s="1546">
        <v>500000</v>
      </c>
      <c r="E116" s="1572">
        <v>500000</v>
      </c>
      <c r="F116" s="1564">
        <v>700000</v>
      </c>
      <c r="G116" s="2167">
        <v>618189.43999999994</v>
      </c>
      <c r="H116" s="1848">
        <v>466781.62</v>
      </c>
      <c r="I116" s="1099">
        <v>500000</v>
      </c>
      <c r="J116" s="1287"/>
      <c r="K116" s="1280"/>
      <c r="L116" s="12"/>
      <c r="M116" s="12"/>
      <c r="N116" s="12" t="s">
        <v>1020</v>
      </c>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row>
    <row r="117" spans="1:52" s="849" customFormat="1" ht="12.75" customHeight="1" x14ac:dyDescent="0.2">
      <c r="A117" s="1554"/>
      <c r="B117" s="1547" t="s">
        <v>1021</v>
      </c>
      <c r="C117" s="1053">
        <v>20000</v>
      </c>
      <c r="D117" s="1546">
        <v>20000</v>
      </c>
      <c r="E117" s="1572">
        <v>20000</v>
      </c>
      <c r="F117" s="1564">
        <v>0</v>
      </c>
      <c r="G117" s="2167">
        <v>0</v>
      </c>
      <c r="H117" s="1848">
        <v>0</v>
      </c>
      <c r="I117" s="1099">
        <v>20000</v>
      </c>
      <c r="J117" s="1287"/>
      <c r="K117" s="1280"/>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c r="AY117" s="12"/>
      <c r="AZ117" s="12"/>
    </row>
    <row r="118" spans="1:52" ht="12.75" customHeight="1" x14ac:dyDescent="0.2">
      <c r="A118" s="1554"/>
      <c r="B118" s="1547" t="s">
        <v>1351</v>
      </c>
      <c r="C118" s="1053">
        <v>200000</v>
      </c>
      <c r="D118" s="1546">
        <v>200000</v>
      </c>
      <c r="E118" s="1572">
        <v>200000</v>
      </c>
      <c r="F118" s="1564">
        <v>250000</v>
      </c>
      <c r="G118" s="2167">
        <v>235000</v>
      </c>
      <c r="H118" s="1753">
        <v>205000</v>
      </c>
      <c r="I118" s="1099">
        <v>250000</v>
      </c>
      <c r="J118" s="1287"/>
      <c r="K118" s="1280"/>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c r="AY118" s="12"/>
      <c r="AZ118" s="12"/>
    </row>
    <row r="119" spans="1:52" ht="12.75" customHeight="1" x14ac:dyDescent="0.2">
      <c r="A119" s="1554"/>
      <c r="B119" s="1547" t="s">
        <v>1352</v>
      </c>
      <c r="C119" s="1053">
        <v>50000</v>
      </c>
      <c r="D119" s="1546">
        <v>50000</v>
      </c>
      <c r="E119" s="1572">
        <v>50000</v>
      </c>
      <c r="F119" s="1752">
        <v>50000</v>
      </c>
      <c r="G119" s="2169">
        <v>37112.6</v>
      </c>
      <c r="H119" s="1753">
        <v>24356.799999999999</v>
      </c>
      <c r="I119" s="1099">
        <v>50000</v>
      </c>
      <c r="J119" s="1287"/>
      <c r="K119" s="1280"/>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c r="AY119" s="12"/>
      <c r="AZ119" s="12"/>
    </row>
    <row r="120" spans="1:52" ht="12.75" customHeight="1" x14ac:dyDescent="0.2">
      <c r="A120" s="1554"/>
      <c r="B120" s="1547" t="s">
        <v>1514</v>
      </c>
      <c r="C120" s="1558">
        <v>0</v>
      </c>
      <c r="D120" s="1559">
        <v>6400000</v>
      </c>
      <c r="E120" s="1597">
        <v>6400000</v>
      </c>
      <c r="F120" s="1564">
        <v>6400000</v>
      </c>
      <c r="G120" s="2167">
        <v>6400000</v>
      </c>
      <c r="H120" s="1596">
        <v>6400000</v>
      </c>
      <c r="I120" s="1558">
        <v>0</v>
      </c>
      <c r="J120" s="1280">
        <v>0</v>
      </c>
      <c r="K120" s="1280">
        <v>0</v>
      </c>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c r="AY120" s="12"/>
      <c r="AZ120" s="12"/>
    </row>
    <row r="121" spans="1:52" ht="12.75" customHeight="1" x14ac:dyDescent="0.2">
      <c r="A121" s="1554"/>
      <c r="B121" s="1547" t="s">
        <v>1515</v>
      </c>
      <c r="C121" s="1558">
        <v>40000</v>
      </c>
      <c r="D121" s="1559">
        <v>40000</v>
      </c>
      <c r="E121" s="1597">
        <v>40000</v>
      </c>
      <c r="F121" s="1564">
        <v>40000</v>
      </c>
      <c r="G121" s="2167">
        <v>37490</v>
      </c>
      <c r="H121" s="1596">
        <v>30170</v>
      </c>
      <c r="I121" s="1558">
        <v>40000</v>
      </c>
      <c r="J121" s="1280">
        <v>40000</v>
      </c>
      <c r="K121" s="1280">
        <v>40000</v>
      </c>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c r="AY121" s="12"/>
      <c r="AZ121" s="12"/>
    </row>
    <row r="122" spans="1:52" ht="12.75" customHeight="1" x14ac:dyDescent="0.2">
      <c r="A122" s="1554"/>
      <c r="B122" s="1552" t="s">
        <v>2026</v>
      </c>
      <c r="C122" s="1572">
        <v>5500000</v>
      </c>
      <c r="D122" s="1546">
        <v>5960000</v>
      </c>
      <c r="E122" s="1572">
        <v>0</v>
      </c>
      <c r="F122" s="1858">
        <v>0</v>
      </c>
      <c r="G122" s="2171">
        <v>0</v>
      </c>
      <c r="H122" s="1848">
        <v>5960000</v>
      </c>
      <c r="I122" s="1572">
        <v>5500000</v>
      </c>
      <c r="J122" s="1287"/>
      <c r="K122" s="1280"/>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c r="AY122" s="12"/>
      <c r="AZ122" s="12"/>
    </row>
    <row r="123" spans="1:52" ht="24.75" x14ac:dyDescent="0.2">
      <c r="A123" s="1554"/>
      <c r="B123" s="1552" t="s">
        <v>1831</v>
      </c>
      <c r="C123" s="1053">
        <v>7500000</v>
      </c>
      <c r="D123" s="1546">
        <v>0</v>
      </c>
      <c r="E123" s="1572">
        <v>0</v>
      </c>
      <c r="F123" s="1858">
        <v>0</v>
      </c>
      <c r="G123" s="2171">
        <v>0</v>
      </c>
      <c r="H123" s="1855">
        <v>0</v>
      </c>
      <c r="I123" s="1099">
        <v>8304000</v>
      </c>
      <c r="J123" s="1287"/>
      <c r="K123" s="1280"/>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c r="AY123" s="12"/>
      <c r="AZ123" s="12"/>
    </row>
    <row r="124" spans="1:52" ht="24.75" x14ac:dyDescent="0.2">
      <c r="A124" s="1554"/>
      <c r="B124" s="1552" t="s">
        <v>2027</v>
      </c>
      <c r="C124" s="1572">
        <v>1144538</v>
      </c>
      <c r="D124" s="1546">
        <v>0</v>
      </c>
      <c r="E124" s="1572">
        <v>0</v>
      </c>
      <c r="F124" s="1858">
        <v>0</v>
      </c>
      <c r="G124" s="2171">
        <v>0</v>
      </c>
      <c r="H124" s="1855">
        <v>0</v>
      </c>
      <c r="I124" s="1572">
        <v>1000000</v>
      </c>
      <c r="J124" s="1287"/>
      <c r="K124" s="1280"/>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c r="AY124" s="12"/>
      <c r="AZ124" s="12"/>
    </row>
    <row r="125" spans="1:52" ht="24.75" x14ac:dyDescent="0.2">
      <c r="A125" s="1573"/>
      <c r="B125" s="1574" t="s">
        <v>2030</v>
      </c>
      <c r="C125" s="1430">
        <v>0</v>
      </c>
      <c r="D125" s="1849">
        <v>0</v>
      </c>
      <c r="E125" s="1430">
        <v>0</v>
      </c>
      <c r="F125" s="1859">
        <v>0</v>
      </c>
      <c r="G125" s="2172">
        <v>0</v>
      </c>
      <c r="H125" s="1856"/>
      <c r="I125" s="1430">
        <v>700000</v>
      </c>
      <c r="J125" s="1287"/>
      <c r="K125" s="1280"/>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c r="AY125" s="12"/>
      <c r="AZ125" s="12"/>
    </row>
    <row r="126" spans="1:52" x14ac:dyDescent="0.2">
      <c r="A126" s="1566" t="s">
        <v>1973</v>
      </c>
      <c r="B126" s="1547" t="s">
        <v>2028</v>
      </c>
      <c r="C126" s="1845">
        <v>250000</v>
      </c>
      <c r="D126" s="1850">
        <v>250000</v>
      </c>
      <c r="E126" s="1558">
        <v>250000</v>
      </c>
      <c r="F126" s="1564">
        <v>0</v>
      </c>
      <c r="G126" s="2167">
        <v>0</v>
      </c>
      <c r="H126" s="1848">
        <v>0</v>
      </c>
      <c r="I126" s="1558">
        <v>125387.36</v>
      </c>
      <c r="J126" s="1287">
        <v>0</v>
      </c>
      <c r="K126" s="1280">
        <v>0</v>
      </c>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c r="AY126" s="12"/>
      <c r="AZ126" s="12"/>
    </row>
    <row r="127" spans="1:52" ht="12.75" customHeight="1" x14ac:dyDescent="0.2">
      <c r="A127" s="1554"/>
      <c r="B127" s="1547" t="s">
        <v>1022</v>
      </c>
      <c r="C127" s="1053">
        <v>0</v>
      </c>
      <c r="D127" s="1546">
        <v>0</v>
      </c>
      <c r="E127" s="1597">
        <v>0</v>
      </c>
      <c r="F127" s="1564">
        <v>6000</v>
      </c>
      <c r="G127" s="2167">
        <v>5420</v>
      </c>
      <c r="H127" s="1596">
        <v>4488</v>
      </c>
      <c r="I127" s="1558">
        <v>0</v>
      </c>
      <c r="J127" s="1287"/>
      <c r="K127" s="1280"/>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c r="AY127" s="12"/>
      <c r="AZ127" s="12"/>
    </row>
    <row r="128" spans="1:52" ht="12.75" customHeight="1" x14ac:dyDescent="0.2">
      <c r="A128" s="1554"/>
      <c r="B128" s="1547" t="s">
        <v>1331</v>
      </c>
      <c r="C128" s="1053">
        <v>0</v>
      </c>
      <c r="D128" s="1546">
        <v>0</v>
      </c>
      <c r="E128" s="1597">
        <v>0</v>
      </c>
      <c r="F128" s="1564">
        <v>90000</v>
      </c>
      <c r="G128" s="2167">
        <v>46514.95</v>
      </c>
      <c r="H128" s="1596">
        <v>42275.65</v>
      </c>
      <c r="I128" s="1558">
        <v>0</v>
      </c>
      <c r="J128" s="1287"/>
      <c r="K128" s="1280"/>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c r="AY128" s="12"/>
      <c r="AZ128" s="12"/>
    </row>
    <row r="129" spans="1:52" ht="12.75" customHeight="1" x14ac:dyDescent="0.2">
      <c r="A129" s="1577"/>
      <c r="B129" s="1578" t="s">
        <v>1763</v>
      </c>
      <c r="C129" s="1579">
        <v>0</v>
      </c>
      <c r="D129" s="1683">
        <v>0</v>
      </c>
      <c r="E129" s="1634">
        <v>0</v>
      </c>
      <c r="F129" s="1860">
        <v>35000</v>
      </c>
      <c r="G129" s="2173">
        <f>33196.83+21.13</f>
        <v>33217.96</v>
      </c>
      <c r="H129" s="1635">
        <f>24196.83+20.65</f>
        <v>24217.480000000003</v>
      </c>
      <c r="I129" s="2134">
        <v>0</v>
      </c>
      <c r="J129" s="1385"/>
      <c r="K129" s="1289"/>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c r="AY129" s="12"/>
      <c r="AZ129" s="12"/>
    </row>
    <row r="130" spans="1:52" ht="12.75" customHeight="1" x14ac:dyDescent="0.2">
      <c r="A130" s="1577"/>
      <c r="B130" s="1578" t="s">
        <v>2029</v>
      </c>
      <c r="C130" s="1580">
        <v>0</v>
      </c>
      <c r="D130" s="1683">
        <v>0</v>
      </c>
      <c r="E130" s="1634">
        <v>0</v>
      </c>
      <c r="F130" s="1860">
        <v>0</v>
      </c>
      <c r="G130" s="2173">
        <v>0</v>
      </c>
      <c r="H130" s="1635">
        <v>0</v>
      </c>
      <c r="I130" s="1895">
        <v>1000000</v>
      </c>
      <c r="J130" s="1193"/>
      <c r="K130" s="1290"/>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c r="AY130" s="12"/>
      <c r="AZ130" s="12"/>
    </row>
    <row r="131" spans="1:52" ht="12.75" customHeight="1" thickBot="1" x14ac:dyDescent="0.25">
      <c r="A131" s="1582"/>
      <c r="B131" s="1578"/>
      <c r="C131" s="1583"/>
      <c r="D131" s="1851"/>
      <c r="E131" s="1852"/>
      <c r="F131" s="1861"/>
      <c r="G131" s="2174"/>
      <c r="H131" s="1857"/>
      <c r="I131" s="1583"/>
      <c r="J131" s="1386"/>
      <c r="K131" s="1291"/>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c r="AY131" s="12"/>
      <c r="AZ131" s="12"/>
    </row>
    <row r="132" spans="1:52" s="116" customFormat="1" ht="18.75" customHeight="1" thickBot="1" x14ac:dyDescent="0.3">
      <c r="A132" s="1584"/>
      <c r="B132" s="2181" t="s">
        <v>11</v>
      </c>
      <c r="C132" s="1586">
        <f t="shared" ref="C132:K132" si="9">SUM(C133,C134,C135,C142:C143,C146,C148)</f>
        <v>87239000</v>
      </c>
      <c r="D132" s="1586">
        <f t="shared" si="9"/>
        <v>87580111</v>
      </c>
      <c r="E132" s="1587">
        <f t="shared" si="9"/>
        <v>84680111</v>
      </c>
      <c r="F132" s="1588">
        <f>SUM(F133,F134,F135,F142:F143,F146,F148)</f>
        <v>70755171</v>
      </c>
      <c r="G132" s="1587">
        <f t="shared" si="9"/>
        <v>62381100.5</v>
      </c>
      <c r="H132" s="1587">
        <f t="shared" si="9"/>
        <v>62334400.5</v>
      </c>
      <c r="I132" s="1586">
        <f>SUM(I133,I134,I135,I142:I143,I146,I148)</f>
        <v>72976820.010000005</v>
      </c>
      <c r="J132" s="724">
        <f t="shared" si="9"/>
        <v>52172552</v>
      </c>
      <c r="K132" s="1292">
        <f t="shared" si="9"/>
        <v>49372552</v>
      </c>
      <c r="L132" s="107"/>
      <c r="M132" s="107"/>
      <c r="N132" s="107"/>
      <c r="O132" s="107"/>
      <c r="P132" s="107"/>
      <c r="Q132" s="107"/>
      <c r="R132" s="107"/>
      <c r="S132" s="107"/>
      <c r="T132" s="107"/>
      <c r="U132" s="107"/>
      <c r="V132" s="107"/>
      <c r="W132" s="107"/>
      <c r="X132" s="107"/>
      <c r="Y132" s="107"/>
      <c r="Z132" s="107"/>
      <c r="AA132" s="107"/>
      <c r="AB132" s="107"/>
      <c r="AC132" s="107"/>
      <c r="AD132" s="107"/>
      <c r="AE132" s="107"/>
      <c r="AF132" s="107"/>
      <c r="AG132" s="107"/>
      <c r="AH132" s="107"/>
      <c r="AI132" s="107"/>
      <c r="AJ132" s="107"/>
      <c r="AK132" s="107"/>
      <c r="AL132" s="107"/>
      <c r="AM132" s="107"/>
      <c r="AN132" s="107"/>
      <c r="AO132" s="107"/>
      <c r="AP132" s="107"/>
      <c r="AQ132" s="107"/>
      <c r="AR132" s="107"/>
      <c r="AS132" s="107"/>
      <c r="AT132" s="107"/>
      <c r="AU132" s="107"/>
      <c r="AV132" s="107"/>
      <c r="AW132" s="107"/>
      <c r="AX132" s="107"/>
      <c r="AY132" s="107"/>
      <c r="AZ132" s="107"/>
    </row>
    <row r="133" spans="1:52" s="116" customFormat="1" ht="24.75" x14ac:dyDescent="0.2">
      <c r="A133" s="1589">
        <v>3111</v>
      </c>
      <c r="B133" s="2180" t="s">
        <v>2023</v>
      </c>
      <c r="C133" s="1112">
        <v>69855000</v>
      </c>
      <c r="D133" s="1590">
        <v>69855000</v>
      </c>
      <c r="E133" s="1112">
        <v>69855000</v>
      </c>
      <c r="F133" s="1862">
        <v>62000000</v>
      </c>
      <c r="G133" s="1112">
        <v>61863049.5</v>
      </c>
      <c r="H133" s="1591">
        <v>61863049.5</v>
      </c>
      <c r="I133" s="1112">
        <v>49200000</v>
      </c>
      <c r="J133" s="1112">
        <f>46400000+2800000</f>
        <v>49200000</v>
      </c>
      <c r="K133" s="1113">
        <v>46400000</v>
      </c>
      <c r="L133" s="107"/>
      <c r="M133" s="107"/>
      <c r="N133" s="107"/>
      <c r="O133" s="107"/>
      <c r="P133" s="107"/>
      <c r="Q133" s="107"/>
      <c r="R133" s="107"/>
      <c r="S133" s="107"/>
      <c r="T133" s="107"/>
      <c r="U133" s="107"/>
      <c r="V133" s="107"/>
      <c r="W133" s="107"/>
      <c r="X133" s="107"/>
      <c r="Y133" s="107"/>
      <c r="Z133" s="107"/>
      <c r="AA133" s="107"/>
      <c r="AB133" s="107"/>
      <c r="AC133" s="107"/>
      <c r="AD133" s="107"/>
      <c r="AE133" s="107"/>
      <c r="AF133" s="107"/>
      <c r="AG133" s="107"/>
      <c r="AH133" s="107"/>
      <c r="AI133" s="107"/>
      <c r="AJ133" s="107"/>
      <c r="AK133" s="107"/>
      <c r="AL133" s="107"/>
      <c r="AM133" s="107"/>
      <c r="AN133" s="107"/>
      <c r="AO133" s="107"/>
      <c r="AP133" s="107"/>
      <c r="AQ133" s="107"/>
      <c r="AR133" s="107"/>
      <c r="AS133" s="107"/>
      <c r="AT133" s="107"/>
      <c r="AU133" s="107"/>
      <c r="AV133" s="107"/>
      <c r="AW133" s="107"/>
      <c r="AX133" s="107"/>
      <c r="AY133" s="107"/>
      <c r="AZ133" s="107"/>
    </row>
    <row r="134" spans="1:52" s="116" customFormat="1" x14ac:dyDescent="0.2">
      <c r="A134" s="1589">
        <v>3111</v>
      </c>
      <c r="B134" s="1592" t="s">
        <v>1841</v>
      </c>
      <c r="C134" s="1593">
        <v>600000</v>
      </c>
      <c r="D134" s="1591">
        <v>600000</v>
      </c>
      <c r="E134" s="1593">
        <v>600000</v>
      </c>
      <c r="F134" s="1591">
        <v>200000</v>
      </c>
      <c r="G134" s="1593">
        <v>176940</v>
      </c>
      <c r="H134" s="1591">
        <v>130240</v>
      </c>
      <c r="I134" s="1593">
        <v>600000</v>
      </c>
      <c r="J134" s="1114">
        <v>600000</v>
      </c>
      <c r="K134" s="1115">
        <v>600000</v>
      </c>
      <c r="L134" s="107"/>
      <c r="M134" s="107"/>
      <c r="N134" s="107"/>
      <c r="O134" s="107"/>
      <c r="P134" s="107"/>
      <c r="Q134" s="107"/>
      <c r="R134" s="107"/>
      <c r="S134" s="107"/>
      <c r="T134" s="107"/>
      <c r="U134" s="107"/>
      <c r="V134" s="107"/>
      <c r="W134" s="107"/>
      <c r="X134" s="107"/>
      <c r="Y134" s="107"/>
      <c r="Z134" s="107"/>
      <c r="AA134" s="107"/>
      <c r="AB134" s="107"/>
      <c r="AC134" s="107"/>
      <c r="AD134" s="107"/>
      <c r="AE134" s="107"/>
      <c r="AF134" s="107"/>
      <c r="AG134" s="107"/>
      <c r="AH134" s="107"/>
      <c r="AI134" s="107"/>
      <c r="AJ134" s="107"/>
      <c r="AK134" s="107"/>
      <c r="AL134" s="107"/>
      <c r="AM134" s="107"/>
      <c r="AN134" s="107"/>
      <c r="AO134" s="107"/>
      <c r="AP134" s="107"/>
      <c r="AQ134" s="107"/>
      <c r="AR134" s="107"/>
      <c r="AS134" s="107"/>
      <c r="AT134" s="107"/>
      <c r="AU134" s="107"/>
      <c r="AV134" s="107"/>
      <c r="AW134" s="107"/>
      <c r="AX134" s="107"/>
      <c r="AY134" s="107"/>
      <c r="AZ134" s="107"/>
    </row>
    <row r="135" spans="1:52" s="116" customFormat="1" x14ac:dyDescent="0.2">
      <c r="A135" s="1555">
        <v>3112</v>
      </c>
      <c r="B135" s="1194" t="s">
        <v>178</v>
      </c>
      <c r="C135" s="1052">
        <f t="shared" ref="C135:K135" si="10">SUM(C136:C141)</f>
        <v>13384000</v>
      </c>
      <c r="D135" s="1045">
        <f t="shared" si="10"/>
        <v>13384000</v>
      </c>
      <c r="E135" s="1052">
        <f t="shared" si="10"/>
        <v>13384000</v>
      </c>
      <c r="F135" s="1045">
        <f t="shared" si="10"/>
        <v>0</v>
      </c>
      <c r="G135" s="1052">
        <f t="shared" si="10"/>
        <v>0</v>
      </c>
      <c r="H135" s="1045">
        <f t="shared" si="10"/>
        <v>0</v>
      </c>
      <c r="I135" s="1052">
        <f t="shared" si="10"/>
        <v>14648000</v>
      </c>
      <c r="J135" s="718">
        <f t="shared" si="10"/>
        <v>0</v>
      </c>
      <c r="K135" s="884">
        <f t="shared" si="10"/>
        <v>0</v>
      </c>
      <c r="L135" s="107"/>
      <c r="M135" s="107"/>
      <c r="N135" s="107"/>
      <c r="O135" s="107"/>
      <c r="P135" s="107"/>
      <c r="Q135" s="107"/>
      <c r="R135" s="107"/>
      <c r="S135" s="107"/>
      <c r="T135" s="107"/>
      <c r="U135" s="107"/>
      <c r="V135" s="107"/>
      <c r="W135" s="107"/>
      <c r="X135" s="107"/>
      <c r="Y135" s="107"/>
      <c r="Z135" s="107"/>
      <c r="AA135" s="107"/>
      <c r="AB135" s="107"/>
      <c r="AC135" s="107"/>
      <c r="AD135" s="107"/>
      <c r="AE135" s="107"/>
      <c r="AF135" s="107"/>
      <c r="AG135" s="107"/>
      <c r="AH135" s="107"/>
      <c r="AI135" s="107"/>
      <c r="AJ135" s="107"/>
      <c r="AK135" s="107"/>
      <c r="AL135" s="107"/>
      <c r="AM135" s="107"/>
      <c r="AN135" s="107"/>
      <c r="AO135" s="107"/>
      <c r="AP135" s="107"/>
      <c r="AQ135" s="107"/>
      <c r="AR135" s="107"/>
      <c r="AS135" s="107"/>
      <c r="AT135" s="107"/>
      <c r="AU135" s="107"/>
      <c r="AV135" s="107"/>
      <c r="AW135" s="107"/>
      <c r="AX135" s="107"/>
      <c r="AY135" s="107"/>
      <c r="AZ135" s="107"/>
    </row>
    <row r="136" spans="1:52" s="850" customFormat="1" x14ac:dyDescent="0.2">
      <c r="A136" s="1555"/>
      <c r="B136" s="1578" t="s">
        <v>1023</v>
      </c>
      <c r="C136" s="1572">
        <v>4081000</v>
      </c>
      <c r="D136" s="1176">
        <v>4081000</v>
      </c>
      <c r="E136" s="1572">
        <v>4081000</v>
      </c>
      <c r="F136" s="1176">
        <v>0</v>
      </c>
      <c r="G136" s="1572">
        <v>0</v>
      </c>
      <c r="H136" s="1176">
        <v>0</v>
      </c>
      <c r="I136" s="1572">
        <v>3306000</v>
      </c>
      <c r="J136" s="1049"/>
      <c r="K136" s="1048"/>
      <c r="L136" s="107"/>
      <c r="M136" s="107"/>
      <c r="N136" s="107"/>
      <c r="O136" s="107"/>
      <c r="P136" s="107"/>
      <c r="Q136" s="107"/>
      <c r="R136" s="107"/>
      <c r="S136" s="107"/>
      <c r="T136" s="107"/>
      <c r="U136" s="107"/>
      <c r="V136" s="107"/>
      <c r="W136" s="107"/>
      <c r="X136" s="107"/>
      <c r="Y136" s="107"/>
      <c r="Z136" s="107"/>
      <c r="AA136" s="107"/>
      <c r="AB136" s="107"/>
      <c r="AC136" s="107"/>
      <c r="AD136" s="107"/>
      <c r="AE136" s="107"/>
      <c r="AF136" s="107"/>
      <c r="AG136" s="107"/>
      <c r="AH136" s="107"/>
      <c r="AI136" s="107"/>
      <c r="AJ136" s="107"/>
      <c r="AK136" s="107"/>
      <c r="AL136" s="107"/>
      <c r="AM136" s="107"/>
      <c r="AN136" s="107"/>
      <c r="AO136" s="107"/>
      <c r="AP136" s="107"/>
      <c r="AQ136" s="107"/>
      <c r="AR136" s="107"/>
      <c r="AS136" s="107"/>
      <c r="AT136" s="107"/>
      <c r="AU136" s="107"/>
      <c r="AV136" s="107"/>
      <c r="AW136" s="107"/>
      <c r="AX136" s="107"/>
      <c r="AY136" s="107"/>
      <c r="AZ136" s="107"/>
    </row>
    <row r="137" spans="1:52" s="850" customFormat="1" x14ac:dyDescent="0.2">
      <c r="A137" s="1555"/>
      <c r="B137" s="1547" t="s">
        <v>1501</v>
      </c>
      <c r="C137" s="1053">
        <v>5103000</v>
      </c>
      <c r="D137" s="1548">
        <v>5103000</v>
      </c>
      <c r="E137" s="1099">
        <v>5103000</v>
      </c>
      <c r="F137" s="1176">
        <v>0</v>
      </c>
      <c r="G137" s="1572">
        <v>0</v>
      </c>
      <c r="H137" s="1176">
        <v>0</v>
      </c>
      <c r="I137" s="1099">
        <v>0</v>
      </c>
      <c r="J137" s="1049"/>
      <c r="K137" s="1048"/>
      <c r="L137" s="107"/>
      <c r="M137" s="107"/>
      <c r="N137" s="107"/>
      <c r="O137" s="107"/>
      <c r="P137" s="107"/>
      <c r="Q137" s="107"/>
      <c r="R137" s="107"/>
      <c r="S137" s="107"/>
      <c r="T137" s="107"/>
      <c r="U137" s="107"/>
      <c r="V137" s="107"/>
      <c r="W137" s="107"/>
      <c r="X137" s="107"/>
      <c r="Y137" s="107"/>
      <c r="Z137" s="107"/>
      <c r="AA137" s="107"/>
      <c r="AB137" s="107"/>
      <c r="AC137" s="107"/>
      <c r="AD137" s="107"/>
      <c r="AE137" s="107"/>
      <c r="AF137" s="107"/>
      <c r="AG137" s="107"/>
      <c r="AH137" s="107"/>
      <c r="AI137" s="107"/>
      <c r="AJ137" s="107"/>
      <c r="AK137" s="107"/>
      <c r="AL137" s="107"/>
      <c r="AM137" s="107"/>
      <c r="AN137" s="107"/>
      <c r="AO137" s="107"/>
      <c r="AP137" s="107"/>
      <c r="AQ137" s="107"/>
      <c r="AR137" s="107"/>
      <c r="AS137" s="107"/>
      <c r="AT137" s="107"/>
      <c r="AU137" s="107"/>
      <c r="AV137" s="107"/>
      <c r="AW137" s="107"/>
      <c r="AX137" s="107"/>
      <c r="AY137" s="107"/>
      <c r="AZ137" s="107"/>
    </row>
    <row r="138" spans="1:52" s="850" customFormat="1" x14ac:dyDescent="0.2">
      <c r="A138" s="1555"/>
      <c r="B138" s="1578" t="s">
        <v>1024</v>
      </c>
      <c r="C138" s="1053">
        <v>4200000</v>
      </c>
      <c r="D138" s="1548">
        <v>4200000</v>
      </c>
      <c r="E138" s="1099">
        <v>4200000</v>
      </c>
      <c r="F138" s="1176">
        <v>0</v>
      </c>
      <c r="G138" s="1572">
        <v>0</v>
      </c>
      <c r="H138" s="1176">
        <v>0</v>
      </c>
      <c r="I138" s="1099">
        <v>4200000</v>
      </c>
      <c r="J138" s="1110"/>
      <c r="K138" s="1111"/>
      <c r="L138" s="107"/>
      <c r="M138" s="107"/>
      <c r="N138" s="107"/>
      <c r="O138" s="107"/>
      <c r="P138" s="107"/>
      <c r="Q138" s="107"/>
      <c r="R138" s="107"/>
      <c r="S138" s="107"/>
      <c r="T138" s="107"/>
      <c r="U138" s="107"/>
      <c r="V138" s="107"/>
      <c r="W138" s="107"/>
      <c r="X138" s="107"/>
      <c r="Y138" s="107"/>
      <c r="Z138" s="107"/>
      <c r="AA138" s="107"/>
      <c r="AB138" s="107"/>
      <c r="AC138" s="107"/>
      <c r="AD138" s="107"/>
      <c r="AE138" s="107"/>
      <c r="AF138" s="107"/>
      <c r="AG138" s="107"/>
      <c r="AH138" s="107"/>
      <c r="AI138" s="107"/>
      <c r="AJ138" s="107"/>
      <c r="AK138" s="107"/>
      <c r="AL138" s="107"/>
      <c r="AM138" s="107"/>
      <c r="AN138" s="107"/>
      <c r="AO138" s="107"/>
      <c r="AP138" s="107"/>
      <c r="AQ138" s="107"/>
      <c r="AR138" s="107"/>
      <c r="AS138" s="107"/>
      <c r="AT138" s="107"/>
      <c r="AU138" s="107"/>
      <c r="AV138" s="107"/>
      <c r="AW138" s="107"/>
      <c r="AX138" s="107"/>
      <c r="AY138" s="107"/>
      <c r="AZ138" s="107"/>
    </row>
    <row r="139" spans="1:52" s="850" customFormat="1" x14ac:dyDescent="0.2">
      <c r="A139" s="1555"/>
      <c r="B139" s="1578" t="s">
        <v>1954</v>
      </c>
      <c r="C139" s="1099">
        <v>0</v>
      </c>
      <c r="D139" s="1548">
        <v>0</v>
      </c>
      <c r="E139" s="1099">
        <v>0</v>
      </c>
      <c r="F139" s="1176">
        <v>0</v>
      </c>
      <c r="G139" s="1572">
        <v>0</v>
      </c>
      <c r="H139" s="1176">
        <v>0</v>
      </c>
      <c r="I139" s="1099">
        <v>5690000</v>
      </c>
      <c r="J139" s="1110"/>
      <c r="K139" s="1111"/>
      <c r="L139" s="107"/>
      <c r="M139" s="107"/>
      <c r="N139" s="107"/>
      <c r="O139" s="107"/>
      <c r="P139" s="107"/>
      <c r="Q139" s="107"/>
      <c r="R139" s="107"/>
      <c r="S139" s="107"/>
      <c r="T139" s="107"/>
      <c r="U139" s="107"/>
      <c r="V139" s="107"/>
      <c r="W139" s="107"/>
      <c r="X139" s="107"/>
      <c r="Y139" s="107"/>
      <c r="Z139" s="107"/>
      <c r="AA139" s="107"/>
      <c r="AB139" s="107"/>
      <c r="AC139" s="107"/>
      <c r="AD139" s="107"/>
      <c r="AE139" s="107"/>
      <c r="AF139" s="107"/>
      <c r="AG139" s="107"/>
      <c r="AH139" s="107"/>
      <c r="AI139" s="107"/>
      <c r="AJ139" s="107"/>
      <c r="AK139" s="107"/>
      <c r="AL139" s="107"/>
      <c r="AM139" s="107"/>
      <c r="AN139" s="107"/>
      <c r="AO139" s="107"/>
      <c r="AP139" s="107"/>
      <c r="AQ139" s="107"/>
      <c r="AR139" s="107"/>
      <c r="AS139" s="107"/>
      <c r="AT139" s="107"/>
      <c r="AU139" s="107"/>
      <c r="AV139" s="107"/>
      <c r="AW139" s="107"/>
      <c r="AX139" s="107"/>
      <c r="AY139" s="107"/>
      <c r="AZ139" s="107"/>
    </row>
    <row r="140" spans="1:52" s="850" customFormat="1" x14ac:dyDescent="0.2">
      <c r="A140" s="1555"/>
      <c r="B140" s="1578" t="s">
        <v>1797</v>
      </c>
      <c r="C140" s="1099">
        <v>0</v>
      </c>
      <c r="D140" s="1548">
        <v>0</v>
      </c>
      <c r="E140" s="1099">
        <v>0</v>
      </c>
      <c r="F140" s="1176">
        <v>0</v>
      </c>
      <c r="G140" s="1572">
        <v>0</v>
      </c>
      <c r="H140" s="1176">
        <v>0</v>
      </c>
      <c r="I140" s="1099">
        <v>842000</v>
      </c>
      <c r="J140" s="1110"/>
      <c r="K140" s="1111"/>
      <c r="L140" s="107"/>
      <c r="M140" s="107"/>
      <c r="N140" s="107"/>
      <c r="O140" s="107"/>
      <c r="P140" s="107"/>
      <c r="Q140" s="107"/>
      <c r="R140" s="107"/>
      <c r="S140" s="107"/>
      <c r="T140" s="107"/>
      <c r="U140" s="107"/>
      <c r="V140" s="107"/>
      <c r="W140" s="107"/>
      <c r="X140" s="107"/>
      <c r="Y140" s="107"/>
      <c r="Z140" s="107"/>
      <c r="AA140" s="107"/>
      <c r="AB140" s="107"/>
      <c r="AC140" s="107"/>
      <c r="AD140" s="107"/>
      <c r="AE140" s="107"/>
      <c r="AF140" s="107"/>
      <c r="AG140" s="107"/>
      <c r="AH140" s="107"/>
      <c r="AI140" s="107"/>
      <c r="AJ140" s="107"/>
      <c r="AK140" s="107"/>
      <c r="AL140" s="107"/>
      <c r="AM140" s="107"/>
      <c r="AN140" s="107"/>
      <c r="AO140" s="107"/>
      <c r="AP140" s="107"/>
      <c r="AQ140" s="107"/>
      <c r="AR140" s="107"/>
      <c r="AS140" s="107"/>
      <c r="AT140" s="107"/>
      <c r="AU140" s="107"/>
      <c r="AV140" s="107"/>
      <c r="AW140" s="107"/>
      <c r="AX140" s="107"/>
      <c r="AY140" s="107"/>
      <c r="AZ140" s="107"/>
    </row>
    <row r="141" spans="1:52" s="850" customFormat="1" x14ac:dyDescent="0.2">
      <c r="A141" s="1555"/>
      <c r="B141" s="1578" t="s">
        <v>1102</v>
      </c>
      <c r="C141" s="1053">
        <v>0</v>
      </c>
      <c r="D141" s="1176">
        <v>0</v>
      </c>
      <c r="E141" s="1572">
        <v>0</v>
      </c>
      <c r="F141" s="1176">
        <v>0</v>
      </c>
      <c r="G141" s="1572">
        <v>0</v>
      </c>
      <c r="H141" s="1176">
        <v>0</v>
      </c>
      <c r="I141" s="1099">
        <v>610000</v>
      </c>
      <c r="J141" s="1110"/>
      <c r="K141" s="1111"/>
      <c r="L141" s="107"/>
      <c r="M141" s="107"/>
      <c r="N141" s="107"/>
      <c r="O141" s="107"/>
      <c r="P141" s="107"/>
      <c r="Q141" s="107"/>
      <c r="R141" s="107"/>
      <c r="S141" s="107"/>
      <c r="T141" s="107"/>
      <c r="U141" s="107"/>
      <c r="V141" s="107"/>
      <c r="W141" s="107"/>
      <c r="X141" s="107"/>
      <c r="Y141" s="107"/>
      <c r="Z141" s="107"/>
      <c r="AA141" s="107"/>
      <c r="AB141" s="107"/>
      <c r="AC141" s="107"/>
      <c r="AD141" s="107"/>
      <c r="AE141" s="107"/>
      <c r="AF141" s="107"/>
      <c r="AG141" s="107"/>
      <c r="AH141" s="107"/>
      <c r="AI141" s="107"/>
      <c r="AJ141" s="107"/>
      <c r="AK141" s="107"/>
      <c r="AL141" s="107"/>
      <c r="AM141" s="107"/>
      <c r="AN141" s="107"/>
      <c r="AO141" s="107"/>
      <c r="AP141" s="107"/>
      <c r="AQ141" s="107"/>
      <c r="AR141" s="107"/>
      <c r="AS141" s="107"/>
      <c r="AT141" s="107"/>
      <c r="AU141" s="107"/>
      <c r="AV141" s="107"/>
      <c r="AW141" s="107"/>
      <c r="AX141" s="107"/>
      <c r="AY141" s="107"/>
      <c r="AZ141" s="107"/>
    </row>
    <row r="142" spans="1:52" s="116" customFormat="1" x14ac:dyDescent="0.2">
      <c r="A142" s="1555">
        <v>3113</v>
      </c>
      <c r="B142" s="1194" t="s">
        <v>1615</v>
      </c>
      <c r="C142" s="1182">
        <v>0</v>
      </c>
      <c r="D142" s="1045">
        <v>121111</v>
      </c>
      <c r="E142" s="1052">
        <v>121111</v>
      </c>
      <c r="F142" s="1045">
        <v>121111</v>
      </c>
      <c r="G142" s="1052">
        <v>121111</v>
      </c>
      <c r="H142" s="1045">
        <v>121111</v>
      </c>
      <c r="I142" s="1261">
        <v>50000</v>
      </c>
      <c r="J142" s="1089">
        <v>0</v>
      </c>
      <c r="K142" s="1139">
        <v>0</v>
      </c>
      <c r="L142" s="107"/>
      <c r="M142" s="107"/>
      <c r="N142" s="107"/>
      <c r="O142" s="107"/>
      <c r="P142" s="107"/>
      <c r="Q142" s="107"/>
      <c r="R142" s="107"/>
      <c r="S142" s="107"/>
      <c r="T142" s="107"/>
      <c r="U142" s="107"/>
      <c r="V142" s="107"/>
      <c r="W142" s="107"/>
      <c r="X142" s="107"/>
      <c r="Y142" s="107"/>
      <c r="Z142" s="107"/>
      <c r="AA142" s="107"/>
      <c r="AB142" s="107"/>
      <c r="AC142" s="107"/>
      <c r="AD142" s="107"/>
      <c r="AE142" s="107"/>
      <c r="AF142" s="107"/>
      <c r="AG142" s="107"/>
      <c r="AH142" s="107"/>
      <c r="AI142" s="107"/>
      <c r="AJ142" s="107"/>
      <c r="AK142" s="107"/>
      <c r="AL142" s="107"/>
      <c r="AM142" s="107"/>
      <c r="AN142" s="107"/>
      <c r="AO142" s="107"/>
      <c r="AP142" s="107"/>
      <c r="AQ142" s="107"/>
      <c r="AR142" s="107"/>
      <c r="AS142" s="107"/>
      <c r="AT142" s="107"/>
      <c r="AU142" s="107"/>
      <c r="AV142" s="107"/>
      <c r="AW142" s="107"/>
      <c r="AX142" s="107"/>
      <c r="AY142" s="107"/>
      <c r="AZ142" s="107"/>
    </row>
    <row r="143" spans="1:52" s="116" customFormat="1" x14ac:dyDescent="0.2">
      <c r="A143" s="1555">
        <v>3121</v>
      </c>
      <c r="B143" s="1550" t="s">
        <v>1322</v>
      </c>
      <c r="C143" s="1182">
        <f>SUM(C144:C145)</f>
        <v>0</v>
      </c>
      <c r="D143" s="1594">
        <f t="shared" ref="D143:K143" si="11">SUM(D144:D145)</f>
        <v>220000</v>
      </c>
      <c r="E143" s="1261">
        <f t="shared" si="11"/>
        <v>720000</v>
      </c>
      <c r="F143" s="1478">
        <f t="shared" si="11"/>
        <v>720000</v>
      </c>
      <c r="G143" s="1261">
        <f t="shared" si="11"/>
        <v>220000</v>
      </c>
      <c r="H143" s="1478">
        <f t="shared" si="11"/>
        <v>220000</v>
      </c>
      <c r="I143" s="1261">
        <f t="shared" si="11"/>
        <v>0</v>
      </c>
      <c r="J143" s="1089">
        <f t="shared" si="11"/>
        <v>0</v>
      </c>
      <c r="K143" s="1139">
        <f t="shared" si="11"/>
        <v>0</v>
      </c>
      <c r="L143" s="107"/>
      <c r="M143" s="107"/>
      <c r="N143" s="107"/>
      <c r="O143" s="107"/>
      <c r="P143" s="107"/>
      <c r="Q143" s="107"/>
      <c r="R143" s="107"/>
      <c r="S143" s="107"/>
      <c r="T143" s="107"/>
      <c r="U143" s="107"/>
      <c r="V143" s="107"/>
      <c r="W143" s="107"/>
      <c r="X143" s="107"/>
      <c r="Y143" s="107"/>
      <c r="Z143" s="107"/>
      <c r="AA143" s="107"/>
      <c r="AB143" s="107"/>
      <c r="AC143" s="107"/>
      <c r="AD143" s="107"/>
      <c r="AE143" s="107"/>
      <c r="AF143" s="107"/>
      <c r="AG143" s="107"/>
      <c r="AH143" s="107"/>
      <c r="AI143" s="107"/>
      <c r="AJ143" s="107"/>
      <c r="AK143" s="107"/>
      <c r="AL143" s="107"/>
      <c r="AM143" s="107"/>
      <c r="AN143" s="107"/>
      <c r="AO143" s="107"/>
      <c r="AP143" s="107"/>
      <c r="AQ143" s="107"/>
      <c r="AR143" s="107"/>
      <c r="AS143" s="107"/>
      <c r="AT143" s="107"/>
      <c r="AU143" s="107"/>
      <c r="AV143" s="107"/>
      <c r="AW143" s="107"/>
      <c r="AX143" s="107"/>
      <c r="AY143" s="107"/>
      <c r="AZ143" s="107"/>
    </row>
    <row r="144" spans="1:52" s="116" customFormat="1" x14ac:dyDescent="0.2">
      <c r="A144" s="1555"/>
      <c r="B144" s="1553" t="s">
        <v>1654</v>
      </c>
      <c r="C144" s="1099">
        <v>0</v>
      </c>
      <c r="D144" s="1548">
        <v>0</v>
      </c>
      <c r="E144" s="1099">
        <v>500000</v>
      </c>
      <c r="F144" s="1548">
        <v>500000</v>
      </c>
      <c r="G144" s="1099">
        <v>0</v>
      </c>
      <c r="H144" s="1548">
        <v>0</v>
      </c>
      <c r="I144" s="1099">
        <v>0</v>
      </c>
      <c r="J144" s="1090">
        <v>0</v>
      </c>
      <c r="K144" s="1094">
        <v>0</v>
      </c>
      <c r="L144" s="107"/>
      <c r="M144" s="107"/>
      <c r="N144" s="107"/>
      <c r="O144" s="107"/>
      <c r="P144" s="107"/>
      <c r="Q144" s="107"/>
      <c r="R144" s="107"/>
      <c r="S144" s="107"/>
      <c r="T144" s="107"/>
      <c r="U144" s="107"/>
      <c r="V144" s="107"/>
      <c r="W144" s="107"/>
      <c r="X144" s="107"/>
      <c r="Y144" s="107"/>
      <c r="Z144" s="107"/>
      <c r="AA144" s="107"/>
      <c r="AB144" s="107"/>
      <c r="AC144" s="107"/>
      <c r="AD144" s="107"/>
      <c r="AE144" s="107"/>
      <c r="AF144" s="107"/>
      <c r="AG144" s="107"/>
      <c r="AH144" s="107"/>
      <c r="AI144" s="107"/>
      <c r="AJ144" s="107"/>
      <c r="AK144" s="107"/>
      <c r="AL144" s="107"/>
      <c r="AM144" s="107"/>
      <c r="AN144" s="107"/>
      <c r="AO144" s="107"/>
      <c r="AP144" s="107"/>
      <c r="AQ144" s="107"/>
      <c r="AR144" s="107"/>
      <c r="AS144" s="107"/>
      <c r="AT144" s="107"/>
      <c r="AU144" s="107"/>
      <c r="AV144" s="107"/>
      <c r="AW144" s="107"/>
      <c r="AX144" s="107"/>
      <c r="AY144" s="107"/>
      <c r="AZ144" s="107"/>
    </row>
    <row r="145" spans="1:52" s="116" customFormat="1" x14ac:dyDescent="0.2">
      <c r="A145" s="1555"/>
      <c r="B145" s="1550" t="s">
        <v>1516</v>
      </c>
      <c r="C145" s="1099">
        <v>0</v>
      </c>
      <c r="D145" s="1176">
        <v>220000</v>
      </c>
      <c r="E145" s="1572">
        <v>220000</v>
      </c>
      <c r="F145" s="1176">
        <v>220000</v>
      </c>
      <c r="G145" s="1572">
        <v>220000</v>
      </c>
      <c r="H145" s="1176">
        <v>220000</v>
      </c>
      <c r="I145" s="1099">
        <v>0</v>
      </c>
      <c r="J145" s="708">
        <v>0</v>
      </c>
      <c r="K145" s="1191">
        <v>0</v>
      </c>
      <c r="L145" s="107"/>
      <c r="M145" s="107"/>
      <c r="N145" s="107"/>
      <c r="O145" s="107"/>
      <c r="P145" s="107"/>
      <c r="Q145" s="107"/>
      <c r="R145" s="107"/>
      <c r="S145" s="107"/>
      <c r="T145" s="107"/>
      <c r="U145" s="107"/>
      <c r="V145" s="107"/>
      <c r="W145" s="107"/>
      <c r="X145" s="107"/>
      <c r="Y145" s="107"/>
      <c r="Z145" s="107"/>
      <c r="AA145" s="107"/>
      <c r="AB145" s="107"/>
      <c r="AC145" s="107"/>
      <c r="AD145" s="107"/>
      <c r="AE145" s="107"/>
      <c r="AF145" s="107"/>
      <c r="AG145" s="107"/>
      <c r="AH145" s="107"/>
      <c r="AI145" s="107"/>
      <c r="AJ145" s="107"/>
      <c r="AK145" s="107"/>
      <c r="AL145" s="107"/>
      <c r="AM145" s="107"/>
      <c r="AN145" s="107"/>
      <c r="AO145" s="107"/>
      <c r="AP145" s="107"/>
      <c r="AQ145" s="107"/>
      <c r="AR145" s="107"/>
      <c r="AS145" s="107"/>
      <c r="AT145" s="107"/>
      <c r="AU145" s="107"/>
      <c r="AV145" s="107"/>
      <c r="AW145" s="107"/>
      <c r="AX145" s="107"/>
      <c r="AY145" s="107"/>
      <c r="AZ145" s="107"/>
    </row>
    <row r="146" spans="1:52" s="116" customFormat="1" x14ac:dyDescent="0.2">
      <c r="A146" s="1555">
        <v>3122</v>
      </c>
      <c r="B146" s="1550" t="s">
        <v>1517</v>
      </c>
      <c r="C146" s="1593">
        <f t="shared" ref="C146:K146" si="12">C147</f>
        <v>0</v>
      </c>
      <c r="D146" s="1595">
        <f t="shared" si="12"/>
        <v>0</v>
      </c>
      <c r="E146" s="1593">
        <f t="shared" si="12"/>
        <v>0</v>
      </c>
      <c r="F146" s="1591">
        <f t="shared" si="12"/>
        <v>0</v>
      </c>
      <c r="G146" s="1593">
        <f t="shared" si="12"/>
        <v>0</v>
      </c>
      <c r="H146" s="1591">
        <f t="shared" si="12"/>
        <v>0</v>
      </c>
      <c r="I146" s="1593">
        <f t="shared" si="12"/>
        <v>2372552</v>
      </c>
      <c r="J146" s="1114">
        <f t="shared" si="12"/>
        <v>2372552</v>
      </c>
      <c r="K146" s="1115">
        <f t="shared" si="12"/>
        <v>2372552</v>
      </c>
      <c r="L146" s="107"/>
      <c r="M146" s="107"/>
      <c r="N146" s="107"/>
      <c r="O146" s="107"/>
      <c r="P146" s="107"/>
      <c r="Q146" s="107"/>
      <c r="R146" s="107"/>
      <c r="S146" s="107"/>
      <c r="T146" s="107"/>
      <c r="U146" s="107"/>
      <c r="V146" s="107"/>
      <c r="W146" s="107"/>
      <c r="X146" s="107"/>
      <c r="Y146" s="107"/>
      <c r="Z146" s="107"/>
      <c r="AA146" s="107"/>
      <c r="AB146" s="107"/>
      <c r="AC146" s="107"/>
      <c r="AD146" s="107"/>
      <c r="AE146" s="107"/>
      <c r="AF146" s="107"/>
      <c r="AG146" s="107"/>
      <c r="AH146" s="107"/>
      <c r="AI146" s="107"/>
      <c r="AJ146" s="107"/>
      <c r="AK146" s="107"/>
      <c r="AL146" s="107"/>
      <c r="AM146" s="107"/>
      <c r="AN146" s="107"/>
      <c r="AO146" s="107"/>
      <c r="AP146" s="107"/>
      <c r="AQ146" s="107"/>
      <c r="AR146" s="107"/>
      <c r="AS146" s="107"/>
      <c r="AT146" s="107"/>
      <c r="AU146" s="107"/>
      <c r="AV146" s="107"/>
      <c r="AW146" s="107"/>
      <c r="AX146" s="107"/>
      <c r="AY146" s="107"/>
      <c r="AZ146" s="107"/>
    </row>
    <row r="147" spans="1:52" s="116" customFormat="1" x14ac:dyDescent="0.2">
      <c r="A147" s="1555"/>
      <c r="B147" s="1550" t="s">
        <v>1655</v>
      </c>
      <c r="C147" s="1558">
        <v>0</v>
      </c>
      <c r="D147" s="1596">
        <v>0</v>
      </c>
      <c r="E147" s="1597">
        <v>0</v>
      </c>
      <c r="F147" s="1596">
        <v>0</v>
      </c>
      <c r="G147" s="1597">
        <v>0</v>
      </c>
      <c r="H147" s="1596">
        <v>0</v>
      </c>
      <c r="I147" s="1558">
        <v>2372552</v>
      </c>
      <c r="J147" s="1092">
        <v>2372552</v>
      </c>
      <c r="K147" s="1179">
        <v>2372552</v>
      </c>
      <c r="L147" s="107"/>
      <c r="M147" s="107"/>
      <c r="N147" s="107"/>
      <c r="O147" s="107"/>
      <c r="P147" s="107"/>
      <c r="Q147" s="107"/>
      <c r="R147" s="107"/>
      <c r="S147" s="107"/>
      <c r="T147" s="107"/>
      <c r="U147" s="107"/>
      <c r="V147" s="107"/>
      <c r="W147" s="107"/>
      <c r="X147" s="107"/>
      <c r="Y147" s="107"/>
      <c r="Z147" s="107"/>
      <c r="AA147" s="107"/>
      <c r="AB147" s="107"/>
      <c r="AC147" s="107"/>
      <c r="AD147" s="107"/>
      <c r="AE147" s="107"/>
      <c r="AF147" s="107"/>
      <c r="AG147" s="107"/>
      <c r="AH147" s="107"/>
      <c r="AI147" s="107"/>
      <c r="AJ147" s="107"/>
      <c r="AK147" s="107"/>
      <c r="AL147" s="107"/>
      <c r="AM147" s="107"/>
      <c r="AN147" s="107"/>
      <c r="AO147" s="107"/>
      <c r="AP147" s="107"/>
      <c r="AQ147" s="107"/>
      <c r="AR147" s="107"/>
      <c r="AS147" s="107"/>
      <c r="AT147" s="107"/>
      <c r="AU147" s="107"/>
      <c r="AV147" s="107"/>
      <c r="AW147" s="107"/>
      <c r="AX147" s="107"/>
      <c r="AY147" s="107"/>
      <c r="AZ147" s="107"/>
    </row>
    <row r="148" spans="1:52" s="116" customFormat="1" ht="12.75" customHeight="1" x14ac:dyDescent="0.2">
      <c r="A148" s="1555">
        <v>3129</v>
      </c>
      <c r="B148" s="1194" t="s">
        <v>191</v>
      </c>
      <c r="C148" s="1052">
        <f t="shared" ref="C148:K148" si="13">SUM(C149:C157)</f>
        <v>3400000</v>
      </c>
      <c r="D148" s="1556">
        <f t="shared" si="13"/>
        <v>3400000</v>
      </c>
      <c r="E148" s="1052">
        <f t="shared" si="13"/>
        <v>0</v>
      </c>
      <c r="F148" s="1045">
        <f t="shared" si="13"/>
        <v>7714060</v>
      </c>
      <c r="G148" s="1052">
        <f t="shared" si="13"/>
        <v>0</v>
      </c>
      <c r="H148" s="1045">
        <f t="shared" si="13"/>
        <v>0</v>
      </c>
      <c r="I148" s="1052">
        <f t="shared" si="13"/>
        <v>6106268.0099999998</v>
      </c>
      <c r="J148" s="718">
        <f t="shared" si="13"/>
        <v>0</v>
      </c>
      <c r="K148" s="884">
        <f t="shared" si="13"/>
        <v>0</v>
      </c>
      <c r="L148" s="107"/>
      <c r="M148" s="107"/>
      <c r="N148" s="107"/>
      <c r="O148" s="107"/>
      <c r="P148" s="107"/>
      <c r="Q148" s="107"/>
      <c r="R148" s="107"/>
      <c r="S148" s="107"/>
      <c r="T148" s="107"/>
      <c r="U148" s="107"/>
      <c r="V148" s="107"/>
      <c r="W148" s="107"/>
      <c r="X148" s="107"/>
      <c r="Y148" s="107"/>
      <c r="Z148" s="107"/>
      <c r="AA148" s="107"/>
      <c r="AB148" s="107"/>
      <c r="AC148" s="107"/>
      <c r="AD148" s="107"/>
      <c r="AE148" s="107"/>
      <c r="AF148" s="107"/>
      <c r="AG148" s="107"/>
      <c r="AH148" s="107"/>
      <c r="AI148" s="107"/>
      <c r="AJ148" s="107"/>
      <c r="AK148" s="107"/>
      <c r="AL148" s="107"/>
      <c r="AM148" s="107"/>
      <c r="AN148" s="107"/>
      <c r="AO148" s="107"/>
      <c r="AP148" s="107"/>
      <c r="AQ148" s="107"/>
      <c r="AR148" s="107"/>
      <c r="AS148" s="107"/>
      <c r="AT148" s="107"/>
      <c r="AU148" s="107"/>
      <c r="AV148" s="107"/>
      <c r="AW148" s="107"/>
      <c r="AX148" s="107"/>
      <c r="AY148" s="107"/>
      <c r="AZ148" s="107"/>
    </row>
    <row r="149" spans="1:52" s="116" customFormat="1" ht="12.75" customHeight="1" x14ac:dyDescent="0.2">
      <c r="A149" s="1598"/>
      <c r="B149" s="1578" t="s">
        <v>1215</v>
      </c>
      <c r="C149" s="1053">
        <v>2200000</v>
      </c>
      <c r="D149" s="1599">
        <v>2200000</v>
      </c>
      <c r="E149" s="1193">
        <v>0</v>
      </c>
      <c r="F149" s="1176">
        <v>2200000</v>
      </c>
      <c r="G149" s="1572">
        <v>0</v>
      </c>
      <c r="H149" s="1176">
        <v>0</v>
      </c>
      <c r="I149" s="1099">
        <v>0</v>
      </c>
      <c r="J149" s="1103">
        <v>0</v>
      </c>
      <c r="K149" s="1180"/>
      <c r="L149" s="107"/>
      <c r="M149" s="107"/>
      <c r="N149" s="107"/>
      <c r="O149" s="173"/>
      <c r="P149" s="107"/>
      <c r="Q149" s="107"/>
      <c r="R149" s="107"/>
      <c r="S149" s="107"/>
      <c r="T149" s="107"/>
      <c r="U149" s="107"/>
      <c r="V149" s="107"/>
      <c r="W149" s="107"/>
      <c r="X149" s="107"/>
      <c r="Y149" s="107"/>
      <c r="Z149" s="107"/>
      <c r="AA149" s="107"/>
      <c r="AB149" s="107"/>
      <c r="AC149" s="107"/>
      <c r="AD149" s="107"/>
      <c r="AE149" s="107"/>
      <c r="AF149" s="107"/>
      <c r="AG149" s="107"/>
      <c r="AH149" s="107"/>
      <c r="AI149" s="107"/>
      <c r="AJ149" s="107"/>
      <c r="AK149" s="107"/>
      <c r="AL149" s="107"/>
      <c r="AM149" s="107"/>
      <c r="AN149" s="107"/>
      <c r="AO149" s="107"/>
      <c r="AP149" s="107"/>
      <c r="AQ149" s="107"/>
      <c r="AR149" s="107"/>
      <c r="AS149" s="107"/>
      <c r="AT149" s="107"/>
      <c r="AU149" s="107"/>
      <c r="AV149" s="107"/>
      <c r="AW149" s="107"/>
      <c r="AX149" s="107"/>
      <c r="AY149" s="107"/>
      <c r="AZ149" s="107"/>
    </row>
    <row r="150" spans="1:52" s="116" customFormat="1" ht="12.75" customHeight="1" x14ac:dyDescent="0.2">
      <c r="A150" s="1598"/>
      <c r="B150" s="1547" t="s">
        <v>1976</v>
      </c>
      <c r="C150" s="1427">
        <v>1200000</v>
      </c>
      <c r="D150" s="1601">
        <v>1200000</v>
      </c>
      <c r="E150" s="1416">
        <v>0</v>
      </c>
      <c r="F150" s="1603">
        <v>0</v>
      </c>
      <c r="G150" s="1602">
        <v>0</v>
      </c>
      <c r="H150" s="1603">
        <v>0</v>
      </c>
      <c r="I150" s="1427">
        <v>0</v>
      </c>
      <c r="J150" s="735">
        <v>0</v>
      </c>
      <c r="K150" s="1181">
        <v>0</v>
      </c>
      <c r="L150" s="107"/>
      <c r="M150" s="107"/>
      <c r="N150" s="107"/>
      <c r="O150" s="107"/>
      <c r="P150" s="107"/>
      <c r="Q150" s="107"/>
      <c r="R150" s="107"/>
      <c r="S150" s="107"/>
      <c r="T150" s="107"/>
      <c r="U150" s="107"/>
      <c r="V150" s="107"/>
      <c r="W150" s="107"/>
      <c r="X150" s="107"/>
      <c r="Y150" s="107"/>
      <c r="Z150" s="107"/>
      <c r="AA150" s="107"/>
      <c r="AB150" s="107"/>
      <c r="AC150" s="107"/>
      <c r="AD150" s="107"/>
      <c r="AE150" s="107"/>
      <c r="AF150" s="107"/>
      <c r="AG150" s="107"/>
      <c r="AH150" s="107"/>
      <c r="AI150" s="107"/>
      <c r="AJ150" s="107"/>
      <c r="AK150" s="107"/>
      <c r="AL150" s="107"/>
      <c r="AM150" s="107"/>
      <c r="AN150" s="107"/>
      <c r="AO150" s="107"/>
      <c r="AP150" s="107"/>
      <c r="AQ150" s="107"/>
      <c r="AR150" s="107"/>
      <c r="AS150" s="107"/>
      <c r="AT150" s="107"/>
      <c r="AU150" s="107"/>
      <c r="AV150" s="107"/>
      <c r="AW150" s="107"/>
      <c r="AX150" s="107"/>
      <c r="AY150" s="107"/>
      <c r="AZ150" s="107"/>
    </row>
    <row r="151" spans="1:52" s="116" customFormat="1" ht="12.75" customHeight="1" x14ac:dyDescent="0.2">
      <c r="A151" s="1598"/>
      <c r="B151" s="1604" t="s">
        <v>1617</v>
      </c>
      <c r="C151" s="1099">
        <v>0</v>
      </c>
      <c r="D151" s="1603">
        <v>0</v>
      </c>
      <c r="E151" s="1602">
        <v>0</v>
      </c>
      <c r="F151" s="1176">
        <v>0</v>
      </c>
      <c r="G151" s="1572">
        <v>0</v>
      </c>
      <c r="H151" s="1176">
        <v>0</v>
      </c>
      <c r="I151" s="1178">
        <v>1896000</v>
      </c>
      <c r="J151" s="1090">
        <v>0</v>
      </c>
      <c r="K151" s="1139"/>
      <c r="L151" s="107"/>
      <c r="M151" s="107"/>
      <c r="N151" s="107"/>
      <c r="O151" s="107"/>
      <c r="P151" s="107"/>
      <c r="Q151" s="107"/>
      <c r="R151" s="107"/>
      <c r="S151" s="107"/>
      <c r="T151" s="107"/>
      <c r="U151" s="107"/>
      <c r="V151" s="107"/>
      <c r="W151" s="107"/>
      <c r="X151" s="107"/>
      <c r="Y151" s="107"/>
      <c r="Z151" s="107"/>
      <c r="AA151" s="107"/>
      <c r="AB151" s="107"/>
      <c r="AC151" s="107"/>
      <c r="AD151" s="107"/>
      <c r="AE151" s="107"/>
      <c r="AF151" s="107"/>
      <c r="AG151" s="107"/>
      <c r="AH151" s="107"/>
      <c r="AI151" s="107"/>
      <c r="AJ151" s="107"/>
      <c r="AK151" s="107"/>
      <c r="AL151" s="107"/>
      <c r="AM151" s="107"/>
      <c r="AN151" s="107"/>
      <c r="AO151" s="107"/>
      <c r="AP151" s="107"/>
      <c r="AQ151" s="107"/>
      <c r="AR151" s="107"/>
      <c r="AS151" s="107"/>
      <c r="AT151" s="107"/>
      <c r="AU151" s="107"/>
      <c r="AV151" s="107"/>
      <c r="AW151" s="107"/>
      <c r="AX151" s="107"/>
      <c r="AY151" s="107"/>
      <c r="AZ151" s="107"/>
    </row>
    <row r="152" spans="1:52" s="116" customFormat="1" ht="12.75" customHeight="1" x14ac:dyDescent="0.2">
      <c r="A152" s="1598"/>
      <c r="B152" s="1606" t="s">
        <v>1618</v>
      </c>
      <c r="C152" s="1099">
        <v>0</v>
      </c>
      <c r="D152" s="1603">
        <v>0</v>
      </c>
      <c r="E152" s="1602">
        <v>0</v>
      </c>
      <c r="F152" s="1176">
        <v>5514060</v>
      </c>
      <c r="G152" s="1572">
        <v>0</v>
      </c>
      <c r="H152" s="1176">
        <v>0</v>
      </c>
      <c r="I152" s="1607">
        <v>0</v>
      </c>
      <c r="J152" s="1090">
        <v>0</v>
      </c>
      <c r="K152" s="1139"/>
      <c r="L152" s="107"/>
      <c r="M152" s="107"/>
      <c r="N152" s="107"/>
      <c r="O152" s="107"/>
      <c r="P152" s="107"/>
      <c r="Q152" s="107"/>
      <c r="R152" s="107"/>
      <c r="S152" s="107"/>
      <c r="T152" s="107"/>
      <c r="U152" s="107"/>
      <c r="V152" s="107"/>
      <c r="W152" s="107"/>
      <c r="X152" s="107"/>
      <c r="Y152" s="107"/>
      <c r="Z152" s="107"/>
      <c r="AA152" s="107"/>
      <c r="AB152" s="107"/>
      <c r="AC152" s="107"/>
      <c r="AD152" s="107"/>
      <c r="AE152" s="107"/>
      <c r="AF152" s="107"/>
      <c r="AG152" s="107"/>
      <c r="AH152" s="107"/>
      <c r="AI152" s="107"/>
      <c r="AJ152" s="107"/>
      <c r="AK152" s="107"/>
      <c r="AL152" s="107"/>
      <c r="AM152" s="107"/>
      <c r="AN152" s="107"/>
      <c r="AO152" s="107"/>
      <c r="AP152" s="107"/>
      <c r="AQ152" s="107"/>
      <c r="AR152" s="107"/>
      <c r="AS152" s="107"/>
      <c r="AT152" s="107"/>
      <c r="AU152" s="107"/>
      <c r="AV152" s="107"/>
      <c r="AW152" s="107"/>
      <c r="AX152" s="107"/>
      <c r="AY152" s="107"/>
      <c r="AZ152" s="107"/>
    </row>
    <row r="153" spans="1:52" s="116" customFormat="1" ht="12.75" customHeight="1" x14ac:dyDescent="0.2">
      <c r="A153" s="1598"/>
      <c r="B153" s="1608" t="s">
        <v>1619</v>
      </c>
      <c r="C153" s="1099">
        <v>0</v>
      </c>
      <c r="D153" s="1603">
        <v>0</v>
      </c>
      <c r="E153" s="1602">
        <v>0</v>
      </c>
      <c r="F153" s="1176">
        <v>0</v>
      </c>
      <c r="G153" s="1572">
        <v>0</v>
      </c>
      <c r="H153" s="1176">
        <v>0</v>
      </c>
      <c r="I153" s="1607">
        <v>522932</v>
      </c>
      <c r="J153" s="1029">
        <v>0</v>
      </c>
      <c r="K153" s="1139"/>
      <c r="L153" s="107"/>
      <c r="M153" s="107"/>
      <c r="N153" s="107"/>
      <c r="O153" s="107"/>
      <c r="P153" s="107"/>
      <c r="Q153" s="107"/>
      <c r="R153" s="107"/>
      <c r="S153" s="107"/>
      <c r="T153" s="107"/>
      <c r="U153" s="107"/>
      <c r="V153" s="107"/>
      <c r="W153" s="107"/>
      <c r="X153" s="107"/>
      <c r="Y153" s="107"/>
      <c r="Z153" s="107"/>
      <c r="AA153" s="107"/>
      <c r="AB153" s="107"/>
      <c r="AC153" s="107"/>
      <c r="AD153" s="107"/>
      <c r="AE153" s="107"/>
      <c r="AF153" s="107"/>
      <c r="AG153" s="107"/>
      <c r="AH153" s="107"/>
      <c r="AI153" s="107"/>
      <c r="AJ153" s="107"/>
      <c r="AK153" s="107"/>
      <c r="AL153" s="107"/>
      <c r="AM153" s="107"/>
      <c r="AN153" s="107"/>
      <c r="AO153" s="107"/>
      <c r="AP153" s="107"/>
      <c r="AQ153" s="107"/>
      <c r="AR153" s="107"/>
      <c r="AS153" s="107"/>
      <c r="AT153" s="107"/>
      <c r="AU153" s="107"/>
      <c r="AV153" s="107"/>
      <c r="AW153" s="107"/>
      <c r="AX153" s="107"/>
      <c r="AY153" s="107"/>
      <c r="AZ153" s="107"/>
    </row>
    <row r="154" spans="1:52" s="116" customFormat="1" ht="12.75" customHeight="1" x14ac:dyDescent="0.2">
      <c r="A154" s="1598"/>
      <c r="B154" s="1609" t="s">
        <v>1620</v>
      </c>
      <c r="C154" s="1099">
        <v>0</v>
      </c>
      <c r="D154" s="1599">
        <v>0</v>
      </c>
      <c r="E154" s="1600">
        <v>0</v>
      </c>
      <c r="F154" s="1176">
        <v>0</v>
      </c>
      <c r="G154" s="1572">
        <v>0</v>
      </c>
      <c r="H154" s="1176">
        <v>0</v>
      </c>
      <c r="I154" s="1607">
        <v>400000</v>
      </c>
      <c r="J154" s="1103">
        <v>0</v>
      </c>
      <c r="K154" s="1180"/>
      <c r="L154" s="107"/>
      <c r="M154" s="107"/>
      <c r="N154" s="107"/>
      <c r="O154" s="173"/>
      <c r="P154" s="107"/>
      <c r="Q154" s="107"/>
      <c r="R154" s="107"/>
      <c r="S154" s="107"/>
      <c r="T154" s="107"/>
      <c r="U154" s="107"/>
      <c r="V154" s="107"/>
      <c r="W154" s="107"/>
      <c r="X154" s="107"/>
      <c r="Y154" s="107"/>
      <c r="Z154" s="107"/>
      <c r="AA154" s="107"/>
      <c r="AB154" s="107"/>
      <c r="AC154" s="107"/>
      <c r="AD154" s="107"/>
      <c r="AE154" s="107"/>
      <c r="AF154" s="107"/>
      <c r="AG154" s="107"/>
      <c r="AH154" s="107"/>
      <c r="AI154" s="107"/>
      <c r="AJ154" s="107"/>
      <c r="AK154" s="107"/>
      <c r="AL154" s="107"/>
      <c r="AM154" s="107"/>
      <c r="AN154" s="107"/>
      <c r="AO154" s="107"/>
      <c r="AP154" s="107"/>
      <c r="AQ154" s="107"/>
      <c r="AR154" s="107"/>
      <c r="AS154" s="107"/>
      <c r="AT154" s="107"/>
      <c r="AU154" s="107"/>
      <c r="AV154" s="107"/>
      <c r="AW154" s="107"/>
      <c r="AX154" s="107"/>
      <c r="AY154" s="107"/>
      <c r="AZ154" s="107"/>
    </row>
    <row r="155" spans="1:52" s="116" customFormat="1" ht="12.75" customHeight="1" x14ac:dyDescent="0.2">
      <c r="A155" s="1598"/>
      <c r="B155" s="1609" t="s">
        <v>1621</v>
      </c>
      <c r="C155" s="1099">
        <v>0</v>
      </c>
      <c r="D155" s="1599">
        <v>0</v>
      </c>
      <c r="E155" s="1600">
        <v>0</v>
      </c>
      <c r="F155" s="1176">
        <v>0</v>
      </c>
      <c r="G155" s="1572">
        <v>0</v>
      </c>
      <c r="H155" s="1176">
        <v>0</v>
      </c>
      <c r="I155" s="1607">
        <v>1002336.01</v>
      </c>
      <c r="J155" s="1103"/>
      <c r="K155" s="1180"/>
      <c r="L155" s="107"/>
      <c r="M155" s="107"/>
      <c r="N155" s="107"/>
      <c r="O155" s="173"/>
      <c r="P155" s="107"/>
      <c r="Q155" s="107"/>
      <c r="R155" s="107"/>
      <c r="S155" s="107"/>
      <c r="T155" s="107"/>
      <c r="U155" s="107"/>
      <c r="V155" s="107"/>
      <c r="W155" s="107"/>
      <c r="X155" s="107"/>
      <c r="Y155" s="107"/>
      <c r="Z155" s="107"/>
      <c r="AA155" s="107"/>
      <c r="AB155" s="107"/>
      <c r="AC155" s="107"/>
      <c r="AD155" s="107"/>
      <c r="AE155" s="107"/>
      <c r="AF155" s="107"/>
      <c r="AG155" s="107"/>
      <c r="AH155" s="107"/>
      <c r="AI155" s="107"/>
      <c r="AJ155" s="107"/>
      <c r="AK155" s="107"/>
      <c r="AL155" s="107"/>
      <c r="AM155" s="107"/>
      <c r="AN155" s="107"/>
      <c r="AO155" s="107"/>
      <c r="AP155" s="107"/>
      <c r="AQ155" s="107"/>
      <c r="AR155" s="107"/>
      <c r="AS155" s="107"/>
      <c r="AT155" s="107"/>
      <c r="AU155" s="107"/>
      <c r="AV155" s="107"/>
      <c r="AW155" s="107"/>
      <c r="AX155" s="107"/>
      <c r="AY155" s="107"/>
      <c r="AZ155" s="107"/>
    </row>
    <row r="156" spans="1:52" s="116" customFormat="1" ht="12.75" customHeight="1" x14ac:dyDescent="0.2">
      <c r="A156" s="1611"/>
      <c r="B156" s="1606" t="s">
        <v>1622</v>
      </c>
      <c r="C156" s="1099">
        <v>0</v>
      </c>
      <c r="D156" s="1610">
        <v>0</v>
      </c>
      <c r="E156" s="1430">
        <v>0</v>
      </c>
      <c r="F156" s="1603">
        <v>0</v>
      </c>
      <c r="G156" s="1602">
        <v>0</v>
      </c>
      <c r="H156" s="1603">
        <v>0</v>
      </c>
      <c r="I156" s="1607">
        <v>1700000</v>
      </c>
      <c r="J156" s="733">
        <v>0</v>
      </c>
      <c r="K156" s="1066"/>
      <c r="L156" s="107"/>
      <c r="M156" s="107"/>
      <c r="N156" s="107"/>
      <c r="O156" s="107"/>
      <c r="P156" s="107"/>
      <c r="Q156" s="107"/>
      <c r="R156" s="107"/>
      <c r="S156" s="107"/>
      <c r="T156" s="107"/>
      <c r="U156" s="107"/>
      <c r="V156" s="107"/>
      <c r="W156" s="107"/>
      <c r="X156" s="107"/>
      <c r="Y156" s="107"/>
      <c r="Z156" s="107"/>
      <c r="AA156" s="107"/>
      <c r="AB156" s="107"/>
      <c r="AC156" s="107"/>
      <c r="AD156" s="107"/>
      <c r="AE156" s="107"/>
      <c r="AF156" s="107"/>
      <c r="AG156" s="107"/>
      <c r="AH156" s="107"/>
      <c r="AI156" s="107"/>
      <c r="AJ156" s="107"/>
      <c r="AK156" s="107"/>
      <c r="AL156" s="107"/>
      <c r="AM156" s="107"/>
      <c r="AN156" s="107"/>
      <c r="AO156" s="107"/>
      <c r="AP156" s="107"/>
      <c r="AQ156" s="107"/>
      <c r="AR156" s="107"/>
      <c r="AS156" s="107"/>
      <c r="AT156" s="107"/>
      <c r="AU156" s="107"/>
      <c r="AV156" s="107"/>
      <c r="AW156" s="107"/>
      <c r="AX156" s="107"/>
      <c r="AY156" s="107"/>
      <c r="AZ156" s="107"/>
    </row>
    <row r="157" spans="1:52" s="116" customFormat="1" x14ac:dyDescent="0.2">
      <c r="A157" s="1613"/>
      <c r="B157" s="1609" t="s">
        <v>1623</v>
      </c>
      <c r="C157" s="1099">
        <v>0</v>
      </c>
      <c r="D157" s="1653">
        <v>0</v>
      </c>
      <c r="E157" s="1427">
        <v>0</v>
      </c>
      <c r="F157" s="1427">
        <v>0</v>
      </c>
      <c r="G157" s="1427">
        <v>0</v>
      </c>
      <c r="H157" s="1614">
        <v>0</v>
      </c>
      <c r="I157" s="1605">
        <v>585000</v>
      </c>
      <c r="J157" s="1068">
        <v>0</v>
      </c>
      <c r="K157" s="1067"/>
      <c r="L157" s="107"/>
      <c r="M157" s="107"/>
      <c r="N157" s="107"/>
      <c r="O157" s="107"/>
      <c r="P157" s="107"/>
      <c r="Q157" s="107"/>
      <c r="R157" s="107"/>
      <c r="S157" s="107"/>
      <c r="T157" s="107"/>
      <c r="U157" s="107"/>
      <c r="V157" s="107"/>
      <c r="W157" s="107"/>
      <c r="X157" s="107"/>
      <c r="Y157" s="107"/>
      <c r="Z157" s="107"/>
      <c r="AA157" s="107"/>
      <c r="AB157" s="107"/>
      <c r="AC157" s="107"/>
      <c r="AD157" s="107"/>
      <c r="AE157" s="107"/>
      <c r="AF157" s="107"/>
      <c r="AG157" s="107"/>
      <c r="AH157" s="107"/>
      <c r="AI157" s="107"/>
      <c r="AJ157" s="107"/>
      <c r="AK157" s="107"/>
      <c r="AL157" s="107"/>
      <c r="AM157" s="107"/>
      <c r="AN157" s="107"/>
      <c r="AO157" s="107"/>
      <c r="AP157" s="107"/>
      <c r="AQ157" s="107"/>
      <c r="AR157" s="107"/>
      <c r="AS157" s="107"/>
      <c r="AT157" s="107"/>
      <c r="AU157" s="107"/>
      <c r="AV157" s="107"/>
      <c r="AW157" s="107"/>
      <c r="AX157" s="107"/>
      <c r="AY157" s="107"/>
      <c r="AZ157" s="107"/>
    </row>
    <row r="158" spans="1:52" s="116" customFormat="1" ht="13.5" thickBot="1" x14ac:dyDescent="0.25">
      <c r="A158" s="1612"/>
      <c r="B158" s="1609"/>
      <c r="C158" s="1416"/>
      <c r="D158" s="1615"/>
      <c r="E158" s="1866"/>
      <c r="F158" s="1863"/>
      <c r="G158" s="1583"/>
      <c r="H158" s="1616"/>
      <c r="I158" s="1617"/>
      <c r="J158" s="1050"/>
      <c r="K158" s="1067"/>
      <c r="L158" s="107"/>
      <c r="M158" s="107"/>
      <c r="N158" s="107"/>
      <c r="O158" s="107"/>
      <c r="P158" s="107"/>
      <c r="Q158" s="107"/>
      <c r="R158" s="107"/>
      <c r="S158" s="107"/>
      <c r="T158" s="107"/>
      <c r="U158" s="107"/>
      <c r="V158" s="107"/>
      <c r="W158" s="107"/>
      <c r="X158" s="107"/>
      <c r="Y158" s="107"/>
      <c r="Z158" s="107"/>
      <c r="AA158" s="107"/>
      <c r="AB158" s="107"/>
      <c r="AC158" s="107"/>
      <c r="AD158" s="107"/>
      <c r="AE158" s="107"/>
      <c r="AF158" s="107"/>
      <c r="AG158" s="107"/>
      <c r="AH158" s="107"/>
      <c r="AI158" s="107"/>
      <c r="AJ158" s="107"/>
      <c r="AK158" s="107"/>
      <c r="AL158" s="107"/>
      <c r="AM158" s="107"/>
      <c r="AN158" s="107"/>
      <c r="AO158" s="107"/>
      <c r="AP158" s="107"/>
      <c r="AQ158" s="107"/>
      <c r="AR158" s="107"/>
      <c r="AS158" s="107"/>
      <c r="AT158" s="107"/>
      <c r="AU158" s="107"/>
      <c r="AV158" s="107"/>
      <c r="AW158" s="107"/>
      <c r="AX158" s="107"/>
      <c r="AY158" s="107"/>
      <c r="AZ158" s="107"/>
    </row>
    <row r="159" spans="1:52" s="116" customFormat="1" ht="18.75" thickBot="1" x14ac:dyDescent="0.3">
      <c r="A159" s="1584"/>
      <c r="B159" s="1618" t="s">
        <v>196</v>
      </c>
      <c r="C159" s="1588">
        <f>SUM(C160,C163,C164,C181,C189,C201,C204,C210,C219)</f>
        <v>66897844.799999997</v>
      </c>
      <c r="D159" s="1619">
        <f>SUM(D160,D163:D164,D181,D189,D201,D204,D210,D219)</f>
        <v>104376534.22</v>
      </c>
      <c r="E159" s="1588">
        <f>SUM(E160,E163:E164,E181,E189,E201,E204,E210,E219)</f>
        <v>106611837.77</v>
      </c>
      <c r="F159" s="1587">
        <f>SUM(F160,F163:F164,F181,F189,F201,F204,F210,F219)</f>
        <v>106745579.55</v>
      </c>
      <c r="G159" s="1865">
        <f>SUM(G160,G163:G164,G181,G189,G201,G204,G210,G219)</f>
        <v>93190668.200000003</v>
      </c>
      <c r="H159" s="1864">
        <f>SUM(H160,H163:H164,H181,H189,H201,H204,H210,H219)</f>
        <v>82618087.650000006</v>
      </c>
      <c r="I159" s="1588">
        <f>SUM(I160,I163,I164,I181,I189,I201,I204,I210,I219)</f>
        <v>56420206.439999998</v>
      </c>
      <c r="J159" s="724">
        <f>SUM(J160,J163:J164,J181,J189,J201,J204,J210,J219)</f>
        <v>44794840</v>
      </c>
      <c r="K159" s="1292">
        <f>SUM(K160,K163:K164,K181,K189,K201,K204,K210,K219)</f>
        <v>44694840</v>
      </c>
      <c r="L159" s="107"/>
      <c r="M159" s="107"/>
      <c r="N159" s="107"/>
      <c r="O159" s="107"/>
      <c r="P159" s="107"/>
      <c r="Q159" s="107"/>
      <c r="R159" s="107"/>
      <c r="S159" s="107"/>
      <c r="T159" s="107"/>
      <c r="U159" s="107"/>
      <c r="V159" s="107"/>
      <c r="W159" s="107"/>
      <c r="X159" s="107"/>
      <c r="Y159" s="107"/>
      <c r="Z159" s="107"/>
      <c r="AA159" s="107"/>
      <c r="AB159" s="107"/>
      <c r="AC159" s="107"/>
      <c r="AD159" s="107"/>
      <c r="AE159" s="107"/>
      <c r="AF159" s="107"/>
      <c r="AG159" s="107"/>
      <c r="AH159" s="107"/>
      <c r="AI159" s="107"/>
      <c r="AJ159" s="107"/>
      <c r="AK159" s="107"/>
      <c r="AL159" s="107"/>
      <c r="AM159" s="107"/>
      <c r="AN159" s="107"/>
      <c r="AO159" s="107"/>
      <c r="AP159" s="107"/>
      <c r="AQ159" s="107"/>
      <c r="AR159" s="107"/>
      <c r="AS159" s="107"/>
      <c r="AT159" s="107"/>
      <c r="AU159" s="107"/>
      <c r="AV159" s="107"/>
      <c r="AW159" s="107"/>
      <c r="AX159" s="107"/>
      <c r="AY159" s="107"/>
      <c r="AZ159" s="107"/>
    </row>
    <row r="160" spans="1:52" s="116" customFormat="1" x14ac:dyDescent="0.2">
      <c r="A160" s="1620">
        <v>4111</v>
      </c>
      <c r="B160" s="1621" t="s">
        <v>197</v>
      </c>
      <c r="C160" s="1622">
        <f t="shared" ref="C160:K160" si="14">SUM(C161:C162)</f>
        <v>0</v>
      </c>
      <c r="D160" s="1622">
        <f t="shared" si="14"/>
        <v>867905.41</v>
      </c>
      <c r="E160" s="1894">
        <f t="shared" si="14"/>
        <v>867905.41</v>
      </c>
      <c r="F160" s="1622">
        <f t="shared" si="14"/>
        <v>867905.41</v>
      </c>
      <c r="G160" s="1622">
        <f>SUM(G161:G162)</f>
        <v>867905.41</v>
      </c>
      <c r="H160" s="1623">
        <f t="shared" si="14"/>
        <v>867905.41</v>
      </c>
      <c r="I160" s="1622">
        <f t="shared" si="14"/>
        <v>0</v>
      </c>
      <c r="J160" s="775">
        <f t="shared" si="14"/>
        <v>0</v>
      </c>
      <c r="K160" s="1293">
        <f t="shared" si="14"/>
        <v>0</v>
      </c>
      <c r="L160" s="107"/>
      <c r="M160" s="107"/>
      <c r="N160" s="107"/>
      <c r="O160" s="107"/>
      <c r="P160" s="107"/>
      <c r="Q160" s="107"/>
      <c r="R160" s="107"/>
      <c r="S160" s="107"/>
      <c r="T160" s="107"/>
      <c r="U160" s="107"/>
      <c r="V160" s="107"/>
      <c r="W160" s="107"/>
      <c r="X160" s="107"/>
      <c r="Y160" s="107"/>
      <c r="Z160" s="107"/>
      <c r="AA160" s="107"/>
      <c r="AB160" s="107"/>
      <c r="AC160" s="107"/>
      <c r="AD160" s="107"/>
      <c r="AE160" s="107"/>
      <c r="AF160" s="107"/>
      <c r="AG160" s="107"/>
      <c r="AH160" s="107"/>
      <c r="AI160" s="107"/>
      <c r="AJ160" s="107"/>
      <c r="AK160" s="107"/>
      <c r="AL160" s="107"/>
      <c r="AM160" s="107"/>
      <c r="AN160" s="107"/>
      <c r="AO160" s="107"/>
      <c r="AP160" s="107"/>
      <c r="AQ160" s="107"/>
      <c r="AR160" s="107"/>
      <c r="AS160" s="107"/>
      <c r="AT160" s="107"/>
      <c r="AU160" s="107"/>
      <c r="AV160" s="107"/>
      <c r="AW160" s="107"/>
      <c r="AX160" s="107"/>
      <c r="AY160" s="107"/>
      <c r="AZ160" s="107"/>
    </row>
    <row r="161" spans="1:52" s="116" customFormat="1" x14ac:dyDescent="0.2">
      <c r="A161" s="1624" t="s">
        <v>1657</v>
      </c>
      <c r="B161" s="1625" t="s">
        <v>1658</v>
      </c>
      <c r="C161" s="1626">
        <v>0</v>
      </c>
      <c r="D161" s="1110">
        <v>864200</v>
      </c>
      <c r="E161" s="1628">
        <v>864200</v>
      </c>
      <c r="F161" s="1110">
        <v>864200</v>
      </c>
      <c r="G161" s="1110">
        <v>864200</v>
      </c>
      <c r="H161" s="1627">
        <v>864200</v>
      </c>
      <c r="I161" s="1110">
        <v>0</v>
      </c>
      <c r="J161" s="708"/>
      <c r="K161" s="1294"/>
      <c r="L161" s="107"/>
      <c r="M161" s="107"/>
      <c r="N161" s="107"/>
      <c r="O161" s="107"/>
      <c r="P161" s="107"/>
      <c r="Q161" s="107"/>
      <c r="R161" s="107"/>
      <c r="S161" s="107"/>
      <c r="T161" s="107"/>
      <c r="U161" s="107"/>
      <c r="V161" s="107"/>
      <c r="W161" s="107"/>
      <c r="X161" s="107"/>
      <c r="Y161" s="107"/>
      <c r="Z161" s="107"/>
      <c r="AA161" s="107"/>
      <c r="AB161" s="107"/>
      <c r="AC161" s="107"/>
      <c r="AD161" s="107"/>
      <c r="AE161" s="107"/>
      <c r="AF161" s="107"/>
      <c r="AG161" s="107"/>
      <c r="AH161" s="107"/>
      <c r="AI161" s="107"/>
      <c r="AJ161" s="107"/>
      <c r="AK161" s="107"/>
      <c r="AL161" s="107"/>
      <c r="AM161" s="107"/>
      <c r="AN161" s="107"/>
      <c r="AO161" s="107"/>
      <c r="AP161" s="107"/>
      <c r="AQ161" s="107"/>
      <c r="AR161" s="107"/>
      <c r="AS161" s="107"/>
      <c r="AT161" s="107"/>
      <c r="AU161" s="107"/>
      <c r="AV161" s="107"/>
      <c r="AW161" s="107"/>
      <c r="AX161" s="107"/>
      <c r="AY161" s="107"/>
      <c r="AZ161" s="107"/>
    </row>
    <row r="162" spans="1:52" s="116" customFormat="1" x14ac:dyDescent="0.2">
      <c r="A162" s="1624" t="s">
        <v>1269</v>
      </c>
      <c r="B162" s="1625" t="s">
        <v>1659</v>
      </c>
      <c r="C162" s="1626">
        <v>0</v>
      </c>
      <c r="D162" s="1110">
        <v>3705.41</v>
      </c>
      <c r="E162" s="1628">
        <v>3705.41</v>
      </c>
      <c r="F162" s="1110">
        <v>3705.41</v>
      </c>
      <c r="G162" s="1110">
        <v>3705.41</v>
      </c>
      <c r="H162" s="1627">
        <v>3705.41</v>
      </c>
      <c r="I162" s="1110">
        <v>0</v>
      </c>
      <c r="J162" s="708"/>
      <c r="K162" s="1294"/>
      <c r="L162" s="107"/>
      <c r="M162" s="107"/>
      <c r="N162" s="107"/>
      <c r="O162" s="107"/>
      <c r="P162" s="107"/>
      <c r="Q162" s="107"/>
      <c r="R162" s="107"/>
      <c r="S162" s="107"/>
      <c r="T162" s="107"/>
      <c r="U162" s="107"/>
      <c r="V162" s="107"/>
      <c r="W162" s="107"/>
      <c r="X162" s="107"/>
      <c r="Y162" s="107"/>
      <c r="Z162" s="107"/>
      <c r="AA162" s="107"/>
      <c r="AB162" s="107"/>
      <c r="AC162" s="107"/>
      <c r="AD162" s="107"/>
      <c r="AE162" s="107"/>
      <c r="AF162" s="107"/>
      <c r="AG162" s="107"/>
      <c r="AH162" s="107"/>
      <c r="AI162" s="107"/>
      <c r="AJ162" s="107"/>
      <c r="AK162" s="107"/>
      <c r="AL162" s="107"/>
      <c r="AM162" s="107"/>
      <c r="AN162" s="107"/>
      <c r="AO162" s="107"/>
      <c r="AP162" s="107"/>
      <c r="AQ162" s="107"/>
      <c r="AR162" s="107"/>
      <c r="AS162" s="107"/>
      <c r="AT162" s="107"/>
      <c r="AU162" s="107"/>
      <c r="AV162" s="107"/>
      <c r="AW162" s="107"/>
      <c r="AX162" s="107"/>
      <c r="AY162" s="107"/>
      <c r="AZ162" s="107"/>
    </row>
    <row r="163" spans="1:52" ht="25.5" x14ac:dyDescent="0.2">
      <c r="A163" s="1576">
        <v>4112</v>
      </c>
      <c r="B163" s="1629" t="s">
        <v>1752</v>
      </c>
      <c r="C163" s="1182">
        <v>43668300</v>
      </c>
      <c r="D163" s="1261">
        <v>46168100</v>
      </c>
      <c r="E163" s="1594">
        <v>46168100</v>
      </c>
      <c r="F163" s="1261">
        <v>46168100</v>
      </c>
      <c r="G163" s="1261">
        <v>38473420</v>
      </c>
      <c r="H163" s="1478">
        <v>30778736</v>
      </c>
      <c r="I163" s="1261">
        <f>(1016932+736317+467712+420864+713728+43008+4253687+8154340+23444493+795804+17710+1525000+1296966+241392+782383+86001+2624+348336+27880+12045)-22</f>
        <v>44387200</v>
      </c>
      <c r="J163" s="1089">
        <f>(1016932+736317+467712+420864+713728+43008+4253687+8154340+23444493+795804+17710+1525000+1296966+241392+782383+86001+2624+348336+27880+12045)-22</f>
        <v>44387200</v>
      </c>
      <c r="K163" s="1139">
        <f>(1016932+736317+467712+420864+713728+43008+4253687+8154340+23444493+795804+17710+1525000+1296966+241392+782383+86001+2624+348336+27880+12045)-22</f>
        <v>44387200</v>
      </c>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c r="AY163" s="12"/>
      <c r="AZ163" s="12"/>
    </row>
    <row r="164" spans="1:52" s="116" customFormat="1" x14ac:dyDescent="0.2">
      <c r="A164" s="1555">
        <v>4116</v>
      </c>
      <c r="B164" s="1194" t="s">
        <v>201</v>
      </c>
      <c r="C164" s="1052">
        <f t="shared" ref="C164:K164" si="15">SUM(C165:C180)</f>
        <v>700000</v>
      </c>
      <c r="D164" s="1052">
        <f t="shared" si="15"/>
        <v>23846158.609999999</v>
      </c>
      <c r="E164" s="1556">
        <f t="shared" si="15"/>
        <v>24238632.16</v>
      </c>
      <c r="F164" s="1052">
        <f t="shared" si="15"/>
        <v>24157074.16</v>
      </c>
      <c r="G164" s="1052">
        <f t="shared" si="15"/>
        <v>23102715.609999999</v>
      </c>
      <c r="H164" s="1045">
        <f t="shared" si="15"/>
        <v>23094812.609999999</v>
      </c>
      <c r="I164" s="1052">
        <f t="shared" si="15"/>
        <v>100000</v>
      </c>
      <c r="J164" s="718">
        <f t="shared" si="15"/>
        <v>100000</v>
      </c>
      <c r="K164" s="884">
        <f t="shared" si="15"/>
        <v>0</v>
      </c>
      <c r="L164" s="107"/>
      <c r="M164" s="107"/>
      <c r="N164" s="107"/>
      <c r="O164" s="107"/>
      <c r="P164" s="107"/>
      <c r="Q164" s="107"/>
      <c r="R164" s="107"/>
      <c r="S164" s="107"/>
      <c r="T164" s="107"/>
      <c r="U164" s="107"/>
      <c r="V164" s="107"/>
      <c r="W164" s="107"/>
      <c r="X164" s="107"/>
      <c r="Y164" s="107"/>
      <c r="Z164" s="107"/>
      <c r="AA164" s="107"/>
      <c r="AB164" s="107"/>
      <c r="AC164" s="107"/>
      <c r="AD164" s="107"/>
      <c r="AE164" s="107"/>
      <c r="AF164" s="107"/>
      <c r="AG164" s="107"/>
      <c r="AH164" s="107"/>
      <c r="AI164" s="107"/>
      <c r="AJ164" s="107"/>
      <c r="AK164" s="107"/>
      <c r="AL164" s="107"/>
      <c r="AM164" s="107"/>
      <c r="AN164" s="107"/>
      <c r="AO164" s="107"/>
      <c r="AP164" s="107"/>
      <c r="AQ164" s="107"/>
      <c r="AR164" s="107"/>
      <c r="AS164" s="107"/>
      <c r="AT164" s="107"/>
      <c r="AU164" s="107"/>
      <c r="AV164" s="107"/>
      <c r="AW164" s="107"/>
      <c r="AX164" s="107"/>
      <c r="AY164" s="107"/>
      <c r="AZ164" s="107"/>
    </row>
    <row r="165" spans="1:52" x14ac:dyDescent="0.2">
      <c r="A165" s="1630" t="s">
        <v>1669</v>
      </c>
      <c r="B165" s="1547" t="s">
        <v>1672</v>
      </c>
      <c r="C165" s="1053">
        <v>0</v>
      </c>
      <c r="D165" s="1602">
        <v>635.25</v>
      </c>
      <c r="E165" s="1602">
        <v>635.25</v>
      </c>
      <c r="F165" s="1602">
        <v>635.25</v>
      </c>
      <c r="G165" s="1602">
        <v>635.25</v>
      </c>
      <c r="H165" s="1603">
        <v>635.25</v>
      </c>
      <c r="I165" s="1099">
        <v>0</v>
      </c>
      <c r="J165" s="708"/>
      <c r="K165" s="973"/>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c r="AY165" s="12"/>
      <c r="AZ165" s="12"/>
    </row>
    <row r="166" spans="1:52" x14ac:dyDescent="0.2">
      <c r="A166" s="1630" t="s">
        <v>1670</v>
      </c>
      <c r="B166" s="1547" t="s">
        <v>1679</v>
      </c>
      <c r="C166" s="1099">
        <v>0</v>
      </c>
      <c r="D166" s="1602">
        <v>12705</v>
      </c>
      <c r="E166" s="1602">
        <v>12705</v>
      </c>
      <c r="F166" s="1602">
        <v>12705</v>
      </c>
      <c r="G166" s="1602">
        <v>12705</v>
      </c>
      <c r="H166" s="1603">
        <v>12705</v>
      </c>
      <c r="I166" s="1099">
        <v>0</v>
      </c>
      <c r="J166" s="708"/>
      <c r="K166" s="973"/>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c r="AY166" s="12"/>
      <c r="AZ166" s="12"/>
    </row>
    <row r="167" spans="1:52" x14ac:dyDescent="0.2">
      <c r="A167" s="1630" t="s">
        <v>1669</v>
      </c>
      <c r="B167" s="1547" t="s">
        <v>1671</v>
      </c>
      <c r="C167" s="1099">
        <v>0</v>
      </c>
      <c r="D167" s="1602">
        <v>635.25</v>
      </c>
      <c r="E167" s="1602">
        <v>635.25</v>
      </c>
      <c r="F167" s="1602">
        <v>635.25</v>
      </c>
      <c r="G167" s="1602">
        <v>635.25</v>
      </c>
      <c r="H167" s="1603">
        <v>635.25</v>
      </c>
      <c r="I167" s="1099">
        <v>0</v>
      </c>
      <c r="J167" s="708"/>
      <c r="K167" s="973"/>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c r="AY167" s="12"/>
      <c r="AZ167" s="12"/>
    </row>
    <row r="168" spans="1:52" x14ac:dyDescent="0.2">
      <c r="A168" s="1630" t="s">
        <v>1670</v>
      </c>
      <c r="B168" s="1547" t="s">
        <v>1678</v>
      </c>
      <c r="C168" s="1099">
        <v>0</v>
      </c>
      <c r="D168" s="1602">
        <v>12705</v>
      </c>
      <c r="E168" s="1602">
        <v>12705</v>
      </c>
      <c r="F168" s="1602">
        <v>12705</v>
      </c>
      <c r="G168" s="1602">
        <v>12705</v>
      </c>
      <c r="H168" s="1603">
        <v>12705</v>
      </c>
      <c r="I168" s="1099">
        <v>0</v>
      </c>
      <c r="J168" s="708"/>
      <c r="K168" s="973"/>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c r="AY168" s="12"/>
      <c r="AZ168" s="12"/>
    </row>
    <row r="169" spans="1:52" x14ac:dyDescent="0.2">
      <c r="A169" s="1630" t="s">
        <v>1664</v>
      </c>
      <c r="B169" s="1631" t="s">
        <v>1665</v>
      </c>
      <c r="C169" s="1099">
        <v>0</v>
      </c>
      <c r="D169" s="1602">
        <v>59357.27</v>
      </c>
      <c r="E169" s="1602">
        <v>59357.27</v>
      </c>
      <c r="F169" s="1602">
        <v>59357.27</v>
      </c>
      <c r="G169" s="1602">
        <v>59357.27</v>
      </c>
      <c r="H169" s="1603">
        <v>59357.27</v>
      </c>
      <c r="I169" s="1099">
        <v>0</v>
      </c>
      <c r="J169" s="708"/>
      <c r="K169" s="973"/>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c r="AY169" s="12"/>
      <c r="AZ169" s="12"/>
    </row>
    <row r="170" spans="1:52" x14ac:dyDescent="0.2">
      <c r="A170" s="1630" t="s">
        <v>1666</v>
      </c>
      <c r="B170" s="1632" t="s">
        <v>1680</v>
      </c>
      <c r="C170" s="1099">
        <v>0</v>
      </c>
      <c r="D170" s="1602">
        <v>504536.84</v>
      </c>
      <c r="E170" s="1602">
        <v>504536.84</v>
      </c>
      <c r="F170" s="1602">
        <v>504536.84</v>
      </c>
      <c r="G170" s="1602">
        <v>504536.84</v>
      </c>
      <c r="H170" s="1603">
        <v>504536.84</v>
      </c>
      <c r="I170" s="1099">
        <v>0</v>
      </c>
      <c r="J170" s="708"/>
      <c r="K170" s="973"/>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c r="AY170" s="12"/>
      <c r="AZ170" s="12"/>
    </row>
    <row r="171" spans="1:52" x14ac:dyDescent="0.2">
      <c r="A171" s="1633" t="s">
        <v>1805</v>
      </c>
      <c r="B171" s="1567" t="s">
        <v>1806</v>
      </c>
      <c r="C171" s="1053">
        <v>0</v>
      </c>
      <c r="D171" s="1572">
        <v>1059598</v>
      </c>
      <c r="E171" s="1572">
        <v>1059598</v>
      </c>
      <c r="F171" s="1572">
        <v>1059598</v>
      </c>
      <c r="G171" s="1572">
        <v>1059598</v>
      </c>
      <c r="H171" s="1176">
        <v>1059598</v>
      </c>
      <c r="I171" s="1099">
        <v>0</v>
      </c>
      <c r="J171" s="708"/>
      <c r="K171" s="973"/>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c r="AY171" s="12"/>
      <c r="AZ171" s="12"/>
    </row>
    <row r="172" spans="1:52" ht="12.75" customHeight="1" x14ac:dyDescent="0.2">
      <c r="A172" s="1633" t="s">
        <v>1807</v>
      </c>
      <c r="B172" s="1567" t="s">
        <v>1667</v>
      </c>
      <c r="C172" s="1053">
        <v>0</v>
      </c>
      <c r="D172" s="1572">
        <v>8304000</v>
      </c>
      <c r="E172" s="1572">
        <v>8418563.5500000007</v>
      </c>
      <c r="F172" s="1572">
        <v>8418563.5500000007</v>
      </c>
      <c r="G172" s="1572">
        <v>8304000</v>
      </c>
      <c r="H172" s="1176">
        <v>8304000</v>
      </c>
      <c r="I172" s="1099">
        <v>0</v>
      </c>
      <c r="J172" s="708"/>
      <c r="K172" s="973"/>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c r="AY172" s="12"/>
      <c r="AZ172" s="12"/>
    </row>
    <row r="173" spans="1:52" s="116" customFormat="1" ht="12.75" customHeight="1" x14ac:dyDescent="0.2">
      <c r="A173" s="1633" t="s">
        <v>1808</v>
      </c>
      <c r="B173" s="1567" t="s">
        <v>1677</v>
      </c>
      <c r="C173" s="1053">
        <v>0</v>
      </c>
      <c r="D173" s="1572">
        <v>35205</v>
      </c>
      <c r="E173" s="1642">
        <v>0</v>
      </c>
      <c r="F173" s="1597">
        <v>0</v>
      </c>
      <c r="G173" s="1597">
        <v>0</v>
      </c>
      <c r="H173" s="1596">
        <v>59532</v>
      </c>
      <c r="I173" s="1099">
        <v>100000</v>
      </c>
      <c r="J173" s="708">
        <v>100000</v>
      </c>
      <c r="K173" s="1294"/>
      <c r="L173" s="107"/>
      <c r="M173" s="107"/>
      <c r="N173" s="107"/>
      <c r="O173" s="173"/>
      <c r="P173" s="107"/>
      <c r="Q173" s="107"/>
      <c r="R173" s="107"/>
      <c r="S173" s="107"/>
      <c r="T173" s="107"/>
      <c r="U173" s="107"/>
      <c r="V173" s="107"/>
      <c r="W173" s="107"/>
      <c r="X173" s="107"/>
      <c r="Y173" s="107"/>
      <c r="Z173" s="107"/>
      <c r="AA173" s="107"/>
      <c r="AB173" s="107"/>
      <c r="AC173" s="107"/>
      <c r="AD173" s="107"/>
      <c r="AE173" s="107"/>
      <c r="AF173" s="107"/>
      <c r="AG173" s="107"/>
      <c r="AH173" s="107"/>
      <c r="AI173" s="107"/>
      <c r="AJ173" s="107"/>
      <c r="AK173" s="107"/>
      <c r="AL173" s="107"/>
      <c r="AM173" s="107"/>
      <c r="AN173" s="107"/>
      <c r="AO173" s="107"/>
      <c r="AP173" s="107"/>
      <c r="AQ173" s="107"/>
      <c r="AR173" s="107"/>
      <c r="AS173" s="107"/>
      <c r="AT173" s="107"/>
      <c r="AU173" s="107"/>
      <c r="AV173" s="107"/>
      <c r="AW173" s="107"/>
      <c r="AX173" s="107"/>
      <c r="AY173" s="107"/>
      <c r="AZ173" s="107"/>
    </row>
    <row r="174" spans="1:52" s="116" customFormat="1" ht="12.75" customHeight="1" x14ac:dyDescent="0.2">
      <c r="A174" s="1633" t="s">
        <v>1809</v>
      </c>
      <c r="B174" s="1567" t="s">
        <v>1663</v>
      </c>
      <c r="C174" s="1099">
        <v>0</v>
      </c>
      <c r="D174" s="1602">
        <v>14200</v>
      </c>
      <c r="E174" s="1684">
        <v>14200</v>
      </c>
      <c r="F174" s="1634">
        <v>14200</v>
      </c>
      <c r="G174" s="1634">
        <v>14200</v>
      </c>
      <c r="H174" s="1635">
        <v>14200</v>
      </c>
      <c r="I174" s="1099">
        <v>0</v>
      </c>
      <c r="J174" s="708"/>
      <c r="K174" s="1294"/>
      <c r="L174" s="107"/>
      <c r="M174" s="107"/>
      <c r="N174" s="107"/>
      <c r="O174" s="173"/>
      <c r="P174" s="107"/>
      <c r="Q174" s="107"/>
      <c r="R174" s="107"/>
      <c r="S174" s="107"/>
      <c r="T174" s="107"/>
      <c r="U174" s="107"/>
      <c r="V174" s="107"/>
      <c r="W174" s="107"/>
      <c r="X174" s="107"/>
      <c r="Y174" s="107"/>
      <c r="Z174" s="107"/>
      <c r="AA174" s="107"/>
      <c r="AB174" s="107"/>
      <c r="AC174" s="107"/>
      <c r="AD174" s="107"/>
      <c r="AE174" s="107"/>
      <c r="AF174" s="107"/>
      <c r="AG174" s="107"/>
      <c r="AH174" s="107"/>
      <c r="AI174" s="107"/>
      <c r="AJ174" s="107"/>
      <c r="AK174" s="107"/>
      <c r="AL174" s="107"/>
      <c r="AM174" s="107"/>
      <c r="AN174" s="107"/>
      <c r="AO174" s="107"/>
      <c r="AP174" s="107"/>
      <c r="AQ174" s="107"/>
      <c r="AR174" s="107"/>
      <c r="AS174" s="107"/>
      <c r="AT174" s="107"/>
      <c r="AU174" s="107"/>
      <c r="AV174" s="107"/>
      <c r="AW174" s="107"/>
      <c r="AX174" s="107"/>
      <c r="AY174" s="107"/>
      <c r="AZ174" s="107"/>
    </row>
    <row r="175" spans="1:52" s="116" customFormat="1" ht="12.75" customHeight="1" x14ac:dyDescent="0.2">
      <c r="A175" s="1633" t="s">
        <v>1810</v>
      </c>
      <c r="B175" s="1567" t="s">
        <v>1676</v>
      </c>
      <c r="C175" s="1053">
        <v>200000</v>
      </c>
      <c r="D175" s="1572">
        <v>235205</v>
      </c>
      <c r="E175" s="1642">
        <v>235205</v>
      </c>
      <c r="F175" s="1597">
        <v>126967</v>
      </c>
      <c r="G175" s="1597">
        <v>126967</v>
      </c>
      <c r="H175" s="1596">
        <v>59532</v>
      </c>
      <c r="I175" s="1099">
        <v>0</v>
      </c>
      <c r="J175" s="708"/>
      <c r="K175" s="1294"/>
      <c r="L175" s="107"/>
      <c r="M175" s="107"/>
      <c r="N175" s="107"/>
      <c r="O175" s="173"/>
      <c r="P175" s="107"/>
      <c r="Q175" s="107"/>
      <c r="R175" s="107"/>
      <c r="S175" s="107"/>
      <c r="T175" s="107"/>
      <c r="U175" s="107"/>
      <c r="V175" s="107"/>
      <c r="W175" s="107"/>
      <c r="X175" s="107"/>
      <c r="Y175" s="107"/>
      <c r="Z175" s="107"/>
      <c r="AA175" s="107"/>
      <c r="AB175" s="107"/>
      <c r="AC175" s="107"/>
      <c r="AD175" s="107"/>
      <c r="AE175" s="107"/>
      <c r="AF175" s="107"/>
      <c r="AG175" s="107"/>
      <c r="AH175" s="107"/>
      <c r="AI175" s="107"/>
      <c r="AJ175" s="107"/>
      <c r="AK175" s="107"/>
      <c r="AL175" s="107"/>
      <c r="AM175" s="107"/>
      <c r="AN175" s="107"/>
      <c r="AO175" s="107"/>
      <c r="AP175" s="107"/>
      <c r="AQ175" s="107"/>
      <c r="AR175" s="107"/>
      <c r="AS175" s="107"/>
      <c r="AT175" s="107"/>
      <c r="AU175" s="107"/>
      <c r="AV175" s="107"/>
      <c r="AW175" s="107"/>
      <c r="AX175" s="107"/>
      <c r="AY175" s="107"/>
      <c r="AZ175" s="107"/>
    </row>
    <row r="176" spans="1:52" s="116" customFormat="1" ht="12.75" customHeight="1" x14ac:dyDescent="0.2">
      <c r="A176" s="1633"/>
      <c r="B176" s="1643" t="s">
        <v>1685</v>
      </c>
      <c r="C176" s="2000">
        <v>0</v>
      </c>
      <c r="D176" s="1602"/>
      <c r="E176" s="1684">
        <f>2117.5+35997.5</f>
        <v>38115</v>
      </c>
      <c r="F176" s="1684">
        <f>1270+2117.5+25410+35997.5</f>
        <v>64795</v>
      </c>
      <c r="G176" s="1634">
        <v>0</v>
      </c>
      <c r="H176" s="1635"/>
      <c r="I176" s="2000"/>
      <c r="J176" s="708"/>
      <c r="K176" s="1294"/>
      <c r="L176" s="107"/>
      <c r="M176" s="107"/>
      <c r="N176" s="107"/>
      <c r="O176" s="173"/>
      <c r="P176" s="107"/>
      <c r="Q176" s="107"/>
      <c r="R176" s="107"/>
      <c r="S176" s="107"/>
      <c r="T176" s="107"/>
      <c r="U176" s="107"/>
      <c r="V176" s="107"/>
      <c r="W176" s="107"/>
      <c r="X176" s="107"/>
      <c r="Y176" s="107"/>
      <c r="Z176" s="107"/>
      <c r="AA176" s="107"/>
      <c r="AB176" s="107"/>
      <c r="AC176" s="107"/>
      <c r="AD176" s="107"/>
      <c r="AE176" s="107"/>
      <c r="AF176" s="107"/>
      <c r="AG176" s="107"/>
      <c r="AH176" s="107"/>
      <c r="AI176" s="107"/>
      <c r="AJ176" s="107"/>
      <c r="AK176" s="107"/>
      <c r="AL176" s="107"/>
      <c r="AM176" s="107"/>
      <c r="AN176" s="107"/>
      <c r="AO176" s="107"/>
      <c r="AP176" s="107"/>
      <c r="AQ176" s="107"/>
      <c r="AR176" s="107"/>
      <c r="AS176" s="107"/>
      <c r="AT176" s="107"/>
      <c r="AU176" s="107"/>
      <c r="AV176" s="107"/>
      <c r="AW176" s="107"/>
      <c r="AX176" s="107"/>
      <c r="AY176" s="107"/>
      <c r="AZ176" s="107"/>
    </row>
    <row r="177" spans="1:52" s="116" customFormat="1" ht="12.75" customHeight="1" x14ac:dyDescent="0.2">
      <c r="A177" s="1633" t="s">
        <v>1811</v>
      </c>
      <c r="B177" s="1567" t="s">
        <v>1661</v>
      </c>
      <c r="C177" s="1099">
        <v>0</v>
      </c>
      <c r="D177" s="1602">
        <v>3026166.02</v>
      </c>
      <c r="E177" s="1602">
        <v>3026166.02</v>
      </c>
      <c r="F177" s="1602">
        <v>3026166.02</v>
      </c>
      <c r="G177" s="1602">
        <v>3026166.02</v>
      </c>
      <c r="H177" s="1635">
        <v>3026166.02</v>
      </c>
      <c r="I177" s="1099">
        <v>0</v>
      </c>
      <c r="J177" s="708"/>
      <c r="K177" s="1294"/>
      <c r="L177" s="107"/>
      <c r="M177" s="107"/>
      <c r="N177" s="107"/>
      <c r="O177" s="173"/>
      <c r="P177" s="107"/>
      <c r="Q177" s="107"/>
      <c r="R177" s="107"/>
      <c r="S177" s="107"/>
      <c r="T177" s="107"/>
      <c r="U177" s="107"/>
      <c r="V177" s="107"/>
      <c r="W177" s="107"/>
      <c r="X177" s="107"/>
      <c r="Y177" s="107"/>
      <c r="Z177" s="107"/>
      <c r="AA177" s="107"/>
      <c r="AB177" s="107"/>
      <c r="AC177" s="107"/>
      <c r="AD177" s="107"/>
      <c r="AE177" s="107"/>
      <c r="AF177" s="107"/>
      <c r="AG177" s="107"/>
      <c r="AH177" s="107"/>
      <c r="AI177" s="107"/>
      <c r="AJ177" s="107"/>
      <c r="AK177" s="107"/>
      <c r="AL177" s="107"/>
      <c r="AM177" s="107"/>
      <c r="AN177" s="107"/>
      <c r="AO177" s="107"/>
      <c r="AP177" s="107"/>
      <c r="AQ177" s="107"/>
      <c r="AR177" s="107"/>
      <c r="AS177" s="107"/>
      <c r="AT177" s="107"/>
      <c r="AU177" s="107"/>
      <c r="AV177" s="107"/>
      <c r="AW177" s="107"/>
      <c r="AX177" s="107"/>
      <c r="AY177" s="107"/>
      <c r="AZ177" s="107"/>
    </row>
    <row r="178" spans="1:52" s="116" customFormat="1" ht="12.75" customHeight="1" x14ac:dyDescent="0.2">
      <c r="A178" s="1633" t="s">
        <v>1812</v>
      </c>
      <c r="B178" s="1567" t="s">
        <v>1675</v>
      </c>
      <c r="C178" s="1099">
        <v>0</v>
      </c>
      <c r="D178" s="1602">
        <v>9981209.9800000004</v>
      </c>
      <c r="E178" s="1602">
        <v>9981209.9800000004</v>
      </c>
      <c r="F178" s="1602">
        <v>9981209.9800000004</v>
      </c>
      <c r="G178" s="1602">
        <v>9981209.9800000004</v>
      </c>
      <c r="H178" s="1635">
        <v>9981209.9800000004</v>
      </c>
      <c r="I178" s="1099">
        <v>0</v>
      </c>
      <c r="J178" s="708"/>
      <c r="K178" s="1294"/>
      <c r="L178" s="107"/>
      <c r="M178" s="107"/>
      <c r="N178" s="107"/>
      <c r="O178" s="173"/>
      <c r="P178" s="107"/>
      <c r="Q178" s="107"/>
      <c r="R178" s="107"/>
      <c r="S178" s="107"/>
      <c r="T178" s="107"/>
      <c r="U178" s="107"/>
      <c r="V178" s="107"/>
      <c r="W178" s="107"/>
      <c r="X178" s="107"/>
      <c r="Y178" s="107"/>
      <c r="Z178" s="107"/>
      <c r="AA178" s="107"/>
      <c r="AB178" s="107"/>
      <c r="AC178" s="107"/>
      <c r="AD178" s="107"/>
      <c r="AE178" s="107"/>
      <c r="AF178" s="107"/>
      <c r="AG178" s="107"/>
      <c r="AH178" s="107"/>
      <c r="AI178" s="107"/>
      <c r="AJ178" s="107"/>
      <c r="AK178" s="107"/>
      <c r="AL178" s="107"/>
      <c r="AM178" s="107"/>
      <c r="AN178" s="107"/>
      <c r="AO178" s="107"/>
      <c r="AP178" s="107"/>
      <c r="AQ178" s="107"/>
      <c r="AR178" s="107"/>
      <c r="AS178" s="107"/>
      <c r="AT178" s="107"/>
      <c r="AU178" s="107"/>
      <c r="AV178" s="107"/>
      <c r="AW178" s="107"/>
      <c r="AX178" s="107"/>
      <c r="AY178" s="107"/>
      <c r="AZ178" s="107"/>
    </row>
    <row r="179" spans="1:52" s="116" customFormat="1" ht="12.75" customHeight="1" x14ac:dyDescent="0.2">
      <c r="A179" s="1633" t="s">
        <v>1813</v>
      </c>
      <c r="B179" s="1553" t="s">
        <v>1660</v>
      </c>
      <c r="C179" s="1053">
        <v>500000</v>
      </c>
      <c r="D179" s="1602">
        <v>500000</v>
      </c>
      <c r="E179" s="1684">
        <v>775000</v>
      </c>
      <c r="F179" s="1602">
        <v>775000</v>
      </c>
      <c r="G179" s="1602">
        <v>0</v>
      </c>
      <c r="H179" s="1603">
        <v>0</v>
      </c>
      <c r="I179" s="1099">
        <v>0</v>
      </c>
      <c r="J179" s="708"/>
      <c r="K179" s="1294"/>
      <c r="L179" s="107"/>
      <c r="M179" s="107"/>
      <c r="N179" s="107"/>
      <c r="O179" s="173"/>
      <c r="P179" s="107"/>
      <c r="Q179" s="107"/>
      <c r="R179" s="107"/>
      <c r="S179" s="107"/>
      <c r="T179" s="107"/>
      <c r="U179" s="107"/>
      <c r="V179" s="107"/>
      <c r="W179" s="107"/>
      <c r="X179" s="107"/>
      <c r="Y179" s="107"/>
      <c r="Z179" s="107"/>
      <c r="AA179" s="107"/>
      <c r="AB179" s="107"/>
      <c r="AC179" s="107"/>
      <c r="AD179" s="107"/>
      <c r="AE179" s="107"/>
      <c r="AF179" s="107"/>
      <c r="AG179" s="107"/>
      <c r="AH179" s="107"/>
      <c r="AI179" s="107"/>
      <c r="AJ179" s="107"/>
      <c r="AK179" s="107"/>
      <c r="AL179" s="107"/>
      <c r="AM179" s="107"/>
      <c r="AN179" s="107"/>
      <c r="AO179" s="107"/>
      <c r="AP179" s="107"/>
      <c r="AQ179" s="107"/>
      <c r="AR179" s="107"/>
      <c r="AS179" s="107"/>
      <c r="AT179" s="107"/>
      <c r="AU179" s="107"/>
      <c r="AV179" s="107"/>
      <c r="AW179" s="107"/>
      <c r="AX179" s="107"/>
      <c r="AY179" s="107"/>
      <c r="AZ179" s="107"/>
    </row>
    <row r="180" spans="1:52" s="116" customFormat="1" ht="12.75" customHeight="1" x14ac:dyDescent="0.2">
      <c r="A180" s="1633" t="s">
        <v>1814</v>
      </c>
      <c r="B180" s="1567" t="s">
        <v>1662</v>
      </c>
      <c r="C180" s="1053">
        <v>0</v>
      </c>
      <c r="D180" s="1572">
        <v>100000</v>
      </c>
      <c r="E180" s="1642">
        <v>100000</v>
      </c>
      <c r="F180" s="1597">
        <v>100000</v>
      </c>
      <c r="G180" s="1597">
        <v>0</v>
      </c>
      <c r="H180" s="1596">
        <v>0</v>
      </c>
      <c r="I180" s="1099">
        <v>0</v>
      </c>
      <c r="J180" s="708"/>
      <c r="K180" s="1294"/>
      <c r="L180" s="107"/>
      <c r="M180" s="107"/>
      <c r="N180" s="107"/>
      <c r="O180" s="173"/>
      <c r="P180" s="107"/>
      <c r="Q180" s="107"/>
      <c r="R180" s="107"/>
      <c r="S180" s="107"/>
      <c r="T180" s="107"/>
      <c r="U180" s="107"/>
      <c r="V180" s="107"/>
      <c r="W180" s="107"/>
      <c r="X180" s="107"/>
      <c r="Y180" s="107"/>
      <c r="Z180" s="107"/>
      <c r="AA180" s="107"/>
      <c r="AB180" s="107"/>
      <c r="AC180" s="107"/>
      <c r="AD180" s="107"/>
      <c r="AE180" s="107"/>
      <c r="AF180" s="107"/>
      <c r="AG180" s="107"/>
      <c r="AH180" s="107"/>
      <c r="AI180" s="107"/>
      <c r="AJ180" s="107"/>
      <c r="AK180" s="107"/>
      <c r="AL180" s="107"/>
      <c r="AM180" s="107"/>
      <c r="AN180" s="107"/>
      <c r="AO180" s="107"/>
      <c r="AP180" s="107"/>
      <c r="AQ180" s="107"/>
      <c r="AR180" s="107"/>
      <c r="AS180" s="107"/>
      <c r="AT180" s="107"/>
      <c r="AU180" s="107"/>
      <c r="AV180" s="107"/>
      <c r="AW180" s="107"/>
      <c r="AX180" s="107"/>
      <c r="AY180" s="107"/>
      <c r="AZ180" s="107"/>
    </row>
    <row r="181" spans="1:52" x14ac:dyDescent="0.2">
      <c r="A181" s="1681">
        <v>4121</v>
      </c>
      <c r="B181" s="1565" t="s">
        <v>213</v>
      </c>
      <c r="C181" s="1052">
        <f t="shared" ref="C181:I181" si="16">SUM(C182:C188)</f>
        <v>2109621</v>
      </c>
      <c r="D181" s="1052">
        <f t="shared" si="16"/>
        <v>2109621</v>
      </c>
      <c r="E181" s="1556">
        <f t="shared" si="16"/>
        <v>2307626</v>
      </c>
      <c r="F181" s="1052">
        <f t="shared" si="16"/>
        <v>2308572</v>
      </c>
      <c r="G181" s="1052">
        <f t="shared" si="16"/>
        <v>2308368</v>
      </c>
      <c r="H181" s="1045">
        <f t="shared" si="16"/>
        <v>2228737</v>
      </c>
      <c r="I181" s="1052">
        <f t="shared" si="16"/>
        <v>3747689</v>
      </c>
      <c r="J181" s="718">
        <f>SUM(J182:J195)</f>
        <v>307640</v>
      </c>
      <c r="K181" s="884">
        <f>SUM(K182:K195)</f>
        <v>307640</v>
      </c>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c r="AY181" s="12"/>
      <c r="AZ181" s="12"/>
    </row>
    <row r="182" spans="1:52" x14ac:dyDescent="0.2">
      <c r="A182" s="1681"/>
      <c r="B182" s="1567" t="s">
        <v>1815</v>
      </c>
      <c r="C182" s="1099">
        <v>360000</v>
      </c>
      <c r="D182" s="1572">
        <v>360000</v>
      </c>
      <c r="E182" s="1642">
        <v>427500</v>
      </c>
      <c r="F182" s="1572">
        <v>427500</v>
      </c>
      <c r="G182" s="1572">
        <v>427500</v>
      </c>
      <c r="H182" s="1176">
        <v>427500</v>
      </c>
      <c r="I182" s="1099">
        <v>420000</v>
      </c>
      <c r="J182" s="708"/>
      <c r="K182" s="1191"/>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c r="AY182" s="12"/>
      <c r="AZ182" s="12"/>
    </row>
    <row r="183" spans="1:52" x14ac:dyDescent="0.2">
      <c r="A183" s="1681"/>
      <c r="B183" s="1567" t="s">
        <v>1816</v>
      </c>
      <c r="C183" s="1053">
        <v>3000</v>
      </c>
      <c r="D183" s="1572">
        <v>3000</v>
      </c>
      <c r="E183" s="1642">
        <v>3000</v>
      </c>
      <c r="F183" s="1572">
        <v>3000</v>
      </c>
      <c r="G183" s="1572">
        <v>2796</v>
      </c>
      <c r="H183" s="1176">
        <v>0</v>
      </c>
      <c r="I183" s="1099">
        <v>3000</v>
      </c>
      <c r="J183" s="708"/>
      <c r="K183" s="973"/>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c r="AY183" s="12"/>
      <c r="AZ183" s="12"/>
    </row>
    <row r="184" spans="1:52" ht="12.75" customHeight="1" x14ac:dyDescent="0.2">
      <c r="A184" s="1681"/>
      <c r="B184" s="1567" t="s">
        <v>1320</v>
      </c>
      <c r="C184" s="1053">
        <v>918175</v>
      </c>
      <c r="D184" s="1099">
        <v>918175</v>
      </c>
      <c r="E184" s="1501">
        <v>918175</v>
      </c>
      <c r="F184" s="1572">
        <v>842286</v>
      </c>
      <c r="G184" s="1572">
        <v>842286</v>
      </c>
      <c r="H184" s="1176">
        <v>842286</v>
      </c>
      <c r="I184" s="2261">
        <v>3017049</v>
      </c>
      <c r="J184" s="708"/>
      <c r="K184" s="973"/>
      <c r="L184" s="12"/>
      <c r="M184" s="12"/>
      <c r="N184" s="12"/>
      <c r="O184" s="173"/>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c r="AY184" s="12"/>
      <c r="AZ184" s="12"/>
    </row>
    <row r="185" spans="1:52" ht="12.75" customHeight="1" x14ac:dyDescent="0.2">
      <c r="A185" s="1681"/>
      <c r="B185" s="1567" t="s">
        <v>1321</v>
      </c>
      <c r="C185" s="1053">
        <v>602075</v>
      </c>
      <c r="D185" s="1572">
        <v>602075</v>
      </c>
      <c r="E185" s="1642">
        <v>602075</v>
      </c>
      <c r="F185" s="1572">
        <v>602075</v>
      </c>
      <c r="G185" s="1572">
        <v>602075</v>
      </c>
      <c r="H185" s="1176">
        <v>602075</v>
      </c>
      <c r="I185" s="2262"/>
      <c r="J185" s="708"/>
      <c r="K185" s="973"/>
      <c r="L185" s="12"/>
      <c r="M185" s="12"/>
      <c r="N185" s="12"/>
      <c r="O185" s="173"/>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c r="AY185" s="12"/>
      <c r="AZ185" s="12"/>
    </row>
    <row r="186" spans="1:52" ht="12.75" customHeight="1" x14ac:dyDescent="0.2">
      <c r="A186" s="1681"/>
      <c r="B186" s="1567" t="s">
        <v>1974</v>
      </c>
      <c r="C186" s="1053">
        <v>126071</v>
      </c>
      <c r="D186" s="1099">
        <v>126071</v>
      </c>
      <c r="E186" s="1501">
        <v>126071</v>
      </c>
      <c r="F186" s="1099">
        <v>126071</v>
      </c>
      <c r="G186" s="1099">
        <v>126071</v>
      </c>
      <c r="H186" s="1548">
        <v>126071</v>
      </c>
      <c r="I186" s="2263"/>
      <c r="J186" s="708"/>
      <c r="K186" s="973"/>
      <c r="L186" s="12"/>
      <c r="M186" s="12"/>
      <c r="N186" s="12"/>
      <c r="O186" s="173"/>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c r="AY186" s="12"/>
      <c r="AZ186" s="12"/>
    </row>
    <row r="187" spans="1:52" ht="12.75" customHeight="1" x14ac:dyDescent="0.2">
      <c r="A187" s="1681"/>
      <c r="B187" s="1567" t="s">
        <v>1597</v>
      </c>
      <c r="C187" s="1053">
        <v>100000</v>
      </c>
      <c r="D187" s="1572">
        <v>100000</v>
      </c>
      <c r="E187" s="1758">
        <v>230505</v>
      </c>
      <c r="F187" s="1572">
        <v>307340</v>
      </c>
      <c r="G187" s="1572">
        <v>307340</v>
      </c>
      <c r="H187" s="1176">
        <v>230505</v>
      </c>
      <c r="I187" s="1099">
        <v>307340</v>
      </c>
      <c r="J187" s="708">
        <v>307340</v>
      </c>
      <c r="K187" s="1191">
        <v>307340</v>
      </c>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c r="AY187" s="12"/>
      <c r="AZ187" s="12"/>
    </row>
    <row r="188" spans="1:52" x14ac:dyDescent="0.2">
      <c r="A188" s="1681"/>
      <c r="B188" s="1567" t="s">
        <v>1817</v>
      </c>
      <c r="C188" s="1053">
        <v>300</v>
      </c>
      <c r="D188" s="1572">
        <v>300</v>
      </c>
      <c r="E188" s="1642">
        <v>300</v>
      </c>
      <c r="F188" s="1572">
        <v>300</v>
      </c>
      <c r="G188" s="1572">
        <v>300</v>
      </c>
      <c r="H188" s="1176">
        <v>300</v>
      </c>
      <c r="I188" s="1099">
        <v>300</v>
      </c>
      <c r="J188" s="708">
        <v>300</v>
      </c>
      <c r="K188" s="1295">
        <v>300</v>
      </c>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c r="AY188" s="12"/>
      <c r="AZ188" s="12"/>
    </row>
    <row r="189" spans="1:52" ht="12.75" customHeight="1" x14ac:dyDescent="0.2">
      <c r="A189" s="1681">
        <v>4122</v>
      </c>
      <c r="B189" s="1636" t="s">
        <v>221</v>
      </c>
      <c r="C189" s="1052">
        <f>SUM(C190:C200)</f>
        <v>0</v>
      </c>
      <c r="D189" s="1052">
        <f t="shared" ref="D189:K189" si="17">SUM(D190:D200)</f>
        <v>11093736.870000001</v>
      </c>
      <c r="E189" s="1556">
        <f t="shared" si="17"/>
        <v>11257616.870000001</v>
      </c>
      <c r="F189" s="1052">
        <f t="shared" si="17"/>
        <v>11302616.870000001</v>
      </c>
      <c r="G189" s="1052">
        <f t="shared" si="17"/>
        <v>11122736.870000001</v>
      </c>
      <c r="H189" s="1045">
        <f t="shared" si="17"/>
        <v>11033716.870000001</v>
      </c>
      <c r="I189" s="1052">
        <f t="shared" si="17"/>
        <v>0</v>
      </c>
      <c r="J189" s="718">
        <f t="shared" si="17"/>
        <v>0</v>
      </c>
      <c r="K189" s="884">
        <f t="shared" si="17"/>
        <v>0</v>
      </c>
      <c r="L189" s="12"/>
      <c r="M189" s="12"/>
      <c r="N189" s="12"/>
      <c r="O189" s="173"/>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c r="AY189" s="12"/>
      <c r="AZ189" s="12"/>
    </row>
    <row r="190" spans="1:52" s="116" customFormat="1" ht="12.75" customHeight="1" x14ac:dyDescent="0.2">
      <c r="A190" s="1846"/>
      <c r="B190" s="1847" t="s">
        <v>1336</v>
      </c>
      <c r="C190" s="1053">
        <v>0</v>
      </c>
      <c r="D190" s="1602">
        <v>0</v>
      </c>
      <c r="E190" s="1684">
        <v>0</v>
      </c>
      <c r="F190" s="1634">
        <v>45000</v>
      </c>
      <c r="G190" s="1634">
        <v>45000</v>
      </c>
      <c r="H190" s="1603">
        <v>45000</v>
      </c>
      <c r="I190" s="1099">
        <v>0</v>
      </c>
      <c r="J190" s="708"/>
      <c r="K190" s="1294"/>
      <c r="L190" s="107"/>
      <c r="M190" s="107"/>
      <c r="N190" s="107"/>
      <c r="O190" s="173"/>
      <c r="P190" s="107"/>
      <c r="Q190" s="107"/>
      <c r="R190" s="107"/>
      <c r="S190" s="107"/>
      <c r="T190" s="107"/>
      <c r="U190" s="107"/>
      <c r="V190" s="107"/>
      <c r="W190" s="107"/>
      <c r="X190" s="107"/>
      <c r="Y190" s="107"/>
      <c r="Z190" s="107"/>
      <c r="AA190" s="107"/>
      <c r="AB190" s="107"/>
      <c r="AC190" s="107"/>
      <c r="AD190" s="107"/>
      <c r="AE190" s="107"/>
      <c r="AF190" s="107"/>
      <c r="AG190" s="107"/>
      <c r="AH190" s="107"/>
      <c r="AI190" s="107"/>
      <c r="AJ190" s="107"/>
      <c r="AK190" s="107"/>
      <c r="AL190" s="107"/>
      <c r="AM190" s="107"/>
      <c r="AN190" s="107"/>
      <c r="AO190" s="107"/>
      <c r="AP190" s="107"/>
      <c r="AQ190" s="107"/>
      <c r="AR190" s="107"/>
      <c r="AS190" s="107"/>
      <c r="AT190" s="107"/>
      <c r="AU190" s="107"/>
      <c r="AV190" s="107"/>
      <c r="AW190" s="107"/>
      <c r="AX190" s="107"/>
      <c r="AY190" s="107"/>
      <c r="AZ190" s="107"/>
    </row>
    <row r="191" spans="1:52" s="116" customFormat="1" ht="12.75" customHeight="1" x14ac:dyDescent="0.2">
      <c r="A191" s="1846"/>
      <c r="B191" s="1847" t="s">
        <v>1681</v>
      </c>
      <c r="C191" s="1053">
        <v>0</v>
      </c>
      <c r="D191" s="1602">
        <v>170400</v>
      </c>
      <c r="E191" s="1602">
        <v>142110</v>
      </c>
      <c r="F191" s="1634">
        <v>142110</v>
      </c>
      <c r="G191" s="1602">
        <v>170400</v>
      </c>
      <c r="H191" s="1603">
        <v>170400</v>
      </c>
      <c r="I191" s="1099">
        <v>0</v>
      </c>
      <c r="J191" s="708"/>
      <c r="K191" s="1294"/>
      <c r="L191" s="107"/>
      <c r="M191" s="107"/>
      <c r="N191" s="107"/>
      <c r="O191" s="173"/>
      <c r="P191" s="107"/>
      <c r="Q191" s="107"/>
      <c r="R191" s="107"/>
      <c r="S191" s="107"/>
      <c r="T191" s="107"/>
      <c r="U191" s="107"/>
      <c r="V191" s="107"/>
      <c r="W191" s="107"/>
      <c r="X191" s="107"/>
      <c r="Y191" s="107"/>
      <c r="Z191" s="107"/>
      <c r="AA191" s="107"/>
      <c r="AB191" s="107"/>
      <c r="AC191" s="107"/>
      <c r="AD191" s="107"/>
      <c r="AE191" s="107"/>
      <c r="AF191" s="107"/>
      <c r="AG191" s="107"/>
      <c r="AH191" s="107"/>
      <c r="AI191" s="107"/>
      <c r="AJ191" s="107"/>
      <c r="AK191" s="107"/>
      <c r="AL191" s="107"/>
      <c r="AM191" s="107"/>
      <c r="AN191" s="107"/>
      <c r="AO191" s="107"/>
      <c r="AP191" s="107"/>
      <c r="AQ191" s="107"/>
      <c r="AR191" s="107"/>
      <c r="AS191" s="107"/>
      <c r="AT191" s="107"/>
      <c r="AU191" s="107"/>
      <c r="AV191" s="107"/>
      <c r="AW191" s="107"/>
      <c r="AX191" s="107"/>
      <c r="AY191" s="107"/>
      <c r="AZ191" s="107"/>
    </row>
    <row r="192" spans="1:52" s="116" customFormat="1" ht="12.75" customHeight="1" x14ac:dyDescent="0.2">
      <c r="A192" s="1846"/>
      <c r="B192" s="1847" t="s">
        <v>1682</v>
      </c>
      <c r="C192" s="1053">
        <v>0</v>
      </c>
      <c r="D192" s="1602">
        <v>210200</v>
      </c>
      <c r="E192" s="1602">
        <v>210200</v>
      </c>
      <c r="F192" s="1634">
        <v>210200</v>
      </c>
      <c r="G192" s="1602">
        <v>210200</v>
      </c>
      <c r="H192" s="1603">
        <v>210200</v>
      </c>
      <c r="I192" s="1099">
        <v>0</v>
      </c>
      <c r="J192" s="708"/>
      <c r="K192" s="1294"/>
      <c r="L192" s="107"/>
      <c r="M192" s="107"/>
      <c r="N192" s="107"/>
      <c r="O192" s="173"/>
      <c r="P192" s="107"/>
      <c r="Q192" s="107"/>
      <c r="R192" s="107"/>
      <c r="S192" s="107"/>
      <c r="T192" s="107"/>
      <c r="U192" s="107"/>
      <c r="V192" s="107"/>
      <c r="W192" s="107"/>
      <c r="X192" s="107"/>
      <c r="Y192" s="107"/>
      <c r="Z192" s="107"/>
      <c r="AA192" s="107"/>
      <c r="AB192" s="107"/>
      <c r="AC192" s="107"/>
      <c r="AD192" s="107"/>
      <c r="AE192" s="107"/>
      <c r="AF192" s="107"/>
      <c r="AG192" s="107"/>
      <c r="AH192" s="107"/>
      <c r="AI192" s="107"/>
      <c r="AJ192" s="107"/>
      <c r="AK192" s="107"/>
      <c r="AL192" s="107"/>
      <c r="AM192" s="107"/>
      <c r="AN192" s="107"/>
      <c r="AO192" s="107"/>
      <c r="AP192" s="107"/>
      <c r="AQ192" s="107"/>
      <c r="AR192" s="107"/>
      <c r="AS192" s="107"/>
      <c r="AT192" s="107"/>
      <c r="AU192" s="107"/>
      <c r="AV192" s="107"/>
      <c r="AW192" s="107"/>
      <c r="AX192" s="107"/>
      <c r="AY192" s="107"/>
      <c r="AZ192" s="107"/>
    </row>
    <row r="193" spans="1:52" s="116" customFormat="1" ht="12.75" customHeight="1" x14ac:dyDescent="0.2">
      <c r="A193" s="1633" t="s">
        <v>1818</v>
      </c>
      <c r="B193" s="1847" t="s">
        <v>1684</v>
      </c>
      <c r="C193" s="1053">
        <v>0</v>
      </c>
      <c r="D193" s="1602">
        <v>80000</v>
      </c>
      <c r="E193" s="1602">
        <v>80000</v>
      </c>
      <c r="F193" s="1634">
        <v>80000</v>
      </c>
      <c r="G193" s="1634">
        <v>40000</v>
      </c>
      <c r="H193" s="1603">
        <v>0</v>
      </c>
      <c r="I193" s="1099">
        <v>0</v>
      </c>
      <c r="J193" s="708"/>
      <c r="K193" s="1294"/>
      <c r="L193" s="107"/>
      <c r="M193" s="107"/>
      <c r="N193" s="107"/>
      <c r="O193" s="173"/>
      <c r="P193" s="107"/>
      <c r="Q193" s="107"/>
      <c r="R193" s="107"/>
      <c r="S193" s="107"/>
      <c r="T193" s="107"/>
      <c r="U193" s="107"/>
      <c r="V193" s="107"/>
      <c r="W193" s="107"/>
      <c r="X193" s="107"/>
      <c r="Y193" s="107"/>
      <c r="Z193" s="107"/>
      <c r="AA193" s="107"/>
      <c r="AB193" s="107"/>
      <c r="AC193" s="107"/>
      <c r="AD193" s="107"/>
      <c r="AE193" s="107"/>
      <c r="AF193" s="107"/>
      <c r="AG193" s="107"/>
      <c r="AH193" s="107"/>
      <c r="AI193" s="107"/>
      <c r="AJ193" s="107"/>
      <c r="AK193" s="107"/>
      <c r="AL193" s="107"/>
      <c r="AM193" s="107"/>
      <c r="AN193" s="107"/>
      <c r="AO193" s="107"/>
      <c r="AP193" s="107"/>
      <c r="AQ193" s="107"/>
      <c r="AR193" s="107"/>
      <c r="AS193" s="107"/>
      <c r="AT193" s="107"/>
      <c r="AU193" s="107"/>
      <c r="AV193" s="107"/>
      <c r="AW193" s="107"/>
      <c r="AX193" s="107"/>
      <c r="AY193" s="107"/>
      <c r="AZ193" s="107"/>
    </row>
    <row r="194" spans="1:52" s="116" customFormat="1" ht="12.75" customHeight="1" x14ac:dyDescent="0.2">
      <c r="A194" s="1633" t="s">
        <v>1819</v>
      </c>
      <c r="B194" s="1847" t="s">
        <v>1820</v>
      </c>
      <c r="C194" s="1053">
        <v>0</v>
      </c>
      <c r="D194" s="1602">
        <v>50000</v>
      </c>
      <c r="E194" s="1602">
        <v>50000</v>
      </c>
      <c r="F194" s="1597">
        <v>50000</v>
      </c>
      <c r="G194" s="1597">
        <v>25000</v>
      </c>
      <c r="H194" s="1176">
        <v>25000</v>
      </c>
      <c r="I194" s="1099">
        <v>0</v>
      </c>
      <c r="J194" s="708"/>
      <c r="K194" s="1294"/>
      <c r="L194" s="107"/>
      <c r="M194" s="107"/>
      <c r="N194" s="107"/>
      <c r="O194" s="173"/>
      <c r="P194" s="107"/>
      <c r="Q194" s="107"/>
      <c r="R194" s="107"/>
      <c r="S194" s="107"/>
      <c r="T194" s="107"/>
      <c r="U194" s="107"/>
      <c r="V194" s="107"/>
      <c r="W194" s="107"/>
      <c r="X194" s="107"/>
      <c r="Y194" s="107"/>
      <c r="Z194" s="107"/>
      <c r="AA194" s="107"/>
      <c r="AB194" s="107"/>
      <c r="AC194" s="107"/>
      <c r="AD194" s="107"/>
      <c r="AE194" s="107"/>
      <c r="AF194" s="107"/>
      <c r="AG194" s="107"/>
      <c r="AH194" s="107"/>
      <c r="AI194" s="107"/>
      <c r="AJ194" s="107"/>
      <c r="AK194" s="107"/>
      <c r="AL194" s="107"/>
      <c r="AM194" s="107"/>
      <c r="AN194" s="107"/>
      <c r="AO194" s="107"/>
      <c r="AP194" s="107"/>
      <c r="AQ194" s="107"/>
      <c r="AR194" s="107"/>
      <c r="AS194" s="107"/>
      <c r="AT194" s="107"/>
      <c r="AU194" s="107"/>
      <c r="AV194" s="107"/>
      <c r="AW194" s="107"/>
      <c r="AX194" s="107"/>
      <c r="AY194" s="107"/>
      <c r="AZ194" s="107"/>
    </row>
    <row r="195" spans="1:52" s="116" customFormat="1" ht="12.75" customHeight="1" x14ac:dyDescent="0.2">
      <c r="A195" s="1633" t="s">
        <v>1821</v>
      </c>
      <c r="B195" s="1847" t="s">
        <v>1337</v>
      </c>
      <c r="C195" s="1053">
        <v>0</v>
      </c>
      <c r="D195" s="1602">
        <v>4551000</v>
      </c>
      <c r="E195" s="1684">
        <v>4551000</v>
      </c>
      <c r="F195" s="1634">
        <v>4551000</v>
      </c>
      <c r="G195" s="1634">
        <v>4551000</v>
      </c>
      <c r="H195" s="1603">
        <v>4551000</v>
      </c>
      <c r="I195" s="1099">
        <v>0</v>
      </c>
      <c r="J195" s="708"/>
      <c r="K195" s="1294"/>
      <c r="L195" s="107"/>
      <c r="M195" s="107"/>
      <c r="N195" s="107"/>
      <c r="O195" s="173"/>
      <c r="P195" s="107"/>
      <c r="Q195" s="107"/>
      <c r="R195" s="107"/>
      <c r="S195" s="107"/>
      <c r="T195" s="107"/>
      <c r="U195" s="107"/>
      <c r="V195" s="107"/>
      <c r="W195" s="107"/>
      <c r="X195" s="107"/>
      <c r="Y195" s="107"/>
      <c r="Z195" s="107"/>
      <c r="AA195" s="107"/>
      <c r="AB195" s="107"/>
      <c r="AC195" s="107"/>
      <c r="AD195" s="107"/>
      <c r="AE195" s="107"/>
      <c r="AF195" s="107"/>
      <c r="AG195" s="107"/>
      <c r="AH195" s="107"/>
      <c r="AI195" s="107"/>
      <c r="AJ195" s="107"/>
      <c r="AK195" s="107"/>
      <c r="AL195" s="107"/>
      <c r="AM195" s="107"/>
      <c r="AN195" s="107"/>
      <c r="AO195" s="107"/>
      <c r="AP195" s="107"/>
      <c r="AQ195" s="107"/>
      <c r="AR195" s="107"/>
      <c r="AS195" s="107"/>
      <c r="AT195" s="107"/>
      <c r="AU195" s="107"/>
      <c r="AV195" s="107"/>
      <c r="AW195" s="107"/>
      <c r="AX195" s="107"/>
      <c r="AY195" s="107"/>
      <c r="AZ195" s="107"/>
    </row>
    <row r="196" spans="1:52" s="116" customFormat="1" ht="12.75" customHeight="1" x14ac:dyDescent="0.2">
      <c r="A196" s="1633" t="s">
        <v>1822</v>
      </c>
      <c r="B196" s="1643" t="s">
        <v>1683</v>
      </c>
      <c r="C196" s="1099">
        <v>0</v>
      </c>
      <c r="D196" s="1602">
        <v>9234</v>
      </c>
      <c r="E196" s="1602">
        <v>9234</v>
      </c>
      <c r="F196" s="1634">
        <v>9234</v>
      </c>
      <c r="G196" s="1602">
        <v>9234</v>
      </c>
      <c r="H196" s="1603">
        <v>9234</v>
      </c>
      <c r="I196" s="1099">
        <v>0</v>
      </c>
      <c r="J196" s="1103"/>
      <c r="K196" s="1296"/>
      <c r="L196" s="107"/>
      <c r="M196" s="107"/>
      <c r="N196" s="107"/>
      <c r="O196" s="173"/>
      <c r="P196" s="107"/>
      <c r="Q196" s="107"/>
      <c r="R196" s="107"/>
      <c r="S196" s="107"/>
      <c r="T196" s="107"/>
      <c r="U196" s="107"/>
      <c r="V196" s="107"/>
      <c r="W196" s="107"/>
      <c r="X196" s="107"/>
      <c r="Y196" s="107"/>
      <c r="Z196" s="107"/>
      <c r="AA196" s="107"/>
      <c r="AB196" s="107"/>
      <c r="AC196" s="107"/>
      <c r="AD196" s="107"/>
      <c r="AE196" s="107"/>
      <c r="AF196" s="107"/>
      <c r="AG196" s="107"/>
      <c r="AH196" s="107"/>
      <c r="AI196" s="107"/>
      <c r="AJ196" s="107"/>
      <c r="AK196" s="107"/>
      <c r="AL196" s="107"/>
      <c r="AM196" s="107"/>
      <c r="AN196" s="107"/>
      <c r="AO196" s="107"/>
      <c r="AP196" s="107"/>
      <c r="AQ196" s="107"/>
      <c r="AR196" s="107"/>
      <c r="AS196" s="107"/>
      <c r="AT196" s="107"/>
      <c r="AU196" s="107"/>
      <c r="AV196" s="107"/>
      <c r="AW196" s="107"/>
      <c r="AX196" s="107"/>
      <c r="AY196" s="107"/>
      <c r="AZ196" s="107"/>
    </row>
    <row r="197" spans="1:52" s="116" customFormat="1" ht="12.75" customHeight="1" x14ac:dyDescent="0.2">
      <c r="A197" s="1633" t="s">
        <v>1823</v>
      </c>
      <c r="B197" s="1847" t="s">
        <v>1673</v>
      </c>
      <c r="C197" s="1099">
        <v>0</v>
      </c>
      <c r="D197" s="1602">
        <v>9435.43</v>
      </c>
      <c r="E197" s="1602">
        <v>9435.43</v>
      </c>
      <c r="F197" s="1634">
        <v>9435.43</v>
      </c>
      <c r="G197" s="1602">
        <v>9435.43</v>
      </c>
      <c r="H197" s="1603">
        <v>9435.43</v>
      </c>
      <c r="I197" s="1099">
        <v>0</v>
      </c>
      <c r="J197" s="1103"/>
      <c r="K197" s="1296"/>
      <c r="L197" s="107"/>
      <c r="M197" s="107"/>
      <c r="N197" s="107"/>
      <c r="O197" s="173"/>
      <c r="P197" s="107"/>
      <c r="Q197" s="107"/>
      <c r="R197" s="107"/>
      <c r="S197" s="107"/>
      <c r="T197" s="107"/>
      <c r="U197" s="107"/>
      <c r="V197" s="107"/>
      <c r="W197" s="107"/>
      <c r="X197" s="107"/>
      <c r="Y197" s="107"/>
      <c r="Z197" s="107"/>
      <c r="AA197" s="107"/>
      <c r="AB197" s="107"/>
      <c r="AC197" s="107"/>
      <c r="AD197" s="107"/>
      <c r="AE197" s="107"/>
      <c r="AF197" s="107"/>
      <c r="AG197" s="107"/>
      <c r="AH197" s="107"/>
      <c r="AI197" s="107"/>
      <c r="AJ197" s="107"/>
      <c r="AK197" s="107"/>
      <c r="AL197" s="107"/>
      <c r="AM197" s="107"/>
      <c r="AN197" s="107"/>
      <c r="AO197" s="107"/>
      <c r="AP197" s="107"/>
      <c r="AQ197" s="107"/>
      <c r="AR197" s="107"/>
      <c r="AS197" s="107"/>
      <c r="AT197" s="107"/>
      <c r="AU197" s="107"/>
      <c r="AV197" s="107"/>
      <c r="AW197" s="107"/>
      <c r="AX197" s="107"/>
      <c r="AY197" s="107"/>
      <c r="AZ197" s="107"/>
    </row>
    <row r="198" spans="1:52" s="116" customFormat="1" ht="12.75" customHeight="1" x14ac:dyDescent="0.2">
      <c r="A198" s="1633" t="s">
        <v>1824</v>
      </c>
      <c r="B198" s="1847" t="s">
        <v>1674</v>
      </c>
      <c r="C198" s="1099">
        <v>0</v>
      </c>
      <c r="D198" s="1602">
        <v>53467.44</v>
      </c>
      <c r="E198" s="1602">
        <v>53467.44</v>
      </c>
      <c r="F198" s="1634">
        <v>53467.44</v>
      </c>
      <c r="G198" s="1602">
        <v>53467.44</v>
      </c>
      <c r="H198" s="1603">
        <v>53447.44</v>
      </c>
      <c r="I198" s="1099">
        <v>0</v>
      </c>
      <c r="J198" s="1103"/>
      <c r="K198" s="1296"/>
      <c r="L198" s="107"/>
      <c r="M198" s="107"/>
      <c r="N198" s="107"/>
      <c r="O198" s="173"/>
      <c r="P198" s="107"/>
      <c r="Q198" s="107"/>
      <c r="R198" s="107"/>
      <c r="S198" s="107"/>
      <c r="T198" s="107"/>
      <c r="U198" s="107"/>
      <c r="V198" s="107"/>
      <c r="W198" s="107"/>
      <c r="X198" s="107"/>
      <c r="Y198" s="107"/>
      <c r="Z198" s="107"/>
      <c r="AA198" s="107"/>
      <c r="AB198" s="107"/>
      <c r="AC198" s="107"/>
      <c r="AD198" s="107"/>
      <c r="AE198" s="107"/>
      <c r="AF198" s="107"/>
      <c r="AG198" s="107"/>
      <c r="AH198" s="107"/>
      <c r="AI198" s="107"/>
      <c r="AJ198" s="107"/>
      <c r="AK198" s="107"/>
      <c r="AL198" s="107"/>
      <c r="AM198" s="107"/>
      <c r="AN198" s="107"/>
      <c r="AO198" s="107"/>
      <c r="AP198" s="107"/>
      <c r="AQ198" s="107"/>
      <c r="AR198" s="107"/>
      <c r="AS198" s="107"/>
      <c r="AT198" s="107"/>
      <c r="AU198" s="107"/>
      <c r="AV198" s="107"/>
      <c r="AW198" s="107"/>
      <c r="AX198" s="107"/>
      <c r="AY198" s="107"/>
      <c r="AZ198" s="107"/>
    </row>
    <row r="199" spans="1:52" s="116" customFormat="1" ht="12.75" customHeight="1" x14ac:dyDescent="0.2">
      <c r="A199" s="1633"/>
      <c r="B199" s="1847" t="s">
        <v>1975</v>
      </c>
      <c r="C199" s="2000">
        <v>0</v>
      </c>
      <c r="D199" s="1602">
        <v>0</v>
      </c>
      <c r="E199" s="1602">
        <f>19217+172953</f>
        <v>192170</v>
      </c>
      <c r="F199" s="1602">
        <f>19217+172953</f>
        <v>192170</v>
      </c>
      <c r="G199" s="1602">
        <v>49000</v>
      </c>
      <c r="H199" s="1603"/>
      <c r="I199" s="2000">
        <v>0</v>
      </c>
      <c r="J199" s="2138"/>
      <c r="K199" s="2139"/>
      <c r="L199" s="107"/>
      <c r="M199" s="107"/>
      <c r="N199" s="107"/>
      <c r="O199" s="173"/>
      <c r="P199" s="107"/>
      <c r="Q199" s="107"/>
      <c r="R199" s="107"/>
      <c r="S199" s="107"/>
      <c r="T199" s="107"/>
      <c r="U199" s="107"/>
      <c r="V199" s="107"/>
      <c r="W199" s="107"/>
      <c r="X199" s="107"/>
      <c r="Y199" s="107"/>
      <c r="Z199" s="107"/>
      <c r="AA199" s="107"/>
      <c r="AB199" s="107"/>
      <c r="AC199" s="107"/>
      <c r="AD199" s="107"/>
      <c r="AE199" s="107"/>
      <c r="AF199" s="107"/>
      <c r="AG199" s="107"/>
      <c r="AH199" s="107"/>
      <c r="AI199" s="107"/>
      <c r="AJ199" s="107"/>
      <c r="AK199" s="107"/>
      <c r="AL199" s="107"/>
      <c r="AM199" s="107"/>
      <c r="AN199" s="107"/>
      <c r="AO199" s="107"/>
      <c r="AP199" s="107"/>
      <c r="AQ199" s="107"/>
      <c r="AR199" s="107"/>
      <c r="AS199" s="107"/>
      <c r="AT199" s="107"/>
      <c r="AU199" s="107"/>
      <c r="AV199" s="107"/>
      <c r="AW199" s="107"/>
      <c r="AX199" s="107"/>
      <c r="AY199" s="107"/>
      <c r="AZ199" s="107"/>
    </row>
    <row r="200" spans="1:52" ht="12.75" customHeight="1" x14ac:dyDescent="0.2">
      <c r="A200" s="1633" t="s">
        <v>1825</v>
      </c>
      <c r="B200" s="1567" t="s">
        <v>1826</v>
      </c>
      <c r="C200" s="1053">
        <v>0</v>
      </c>
      <c r="D200" s="1572">
        <v>5960000</v>
      </c>
      <c r="E200" s="1572">
        <v>5960000</v>
      </c>
      <c r="F200" s="1572">
        <v>5960000</v>
      </c>
      <c r="G200" s="1572">
        <v>5960000</v>
      </c>
      <c r="H200" s="1176">
        <v>5960000</v>
      </c>
      <c r="I200" s="1099">
        <v>0</v>
      </c>
      <c r="J200" s="1103"/>
      <c r="K200" s="1297"/>
      <c r="L200" s="12"/>
      <c r="M200" s="12"/>
      <c r="N200" s="12"/>
      <c r="O200" s="173"/>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c r="AY200" s="12"/>
      <c r="AZ200" s="12"/>
    </row>
    <row r="201" spans="1:52" s="116" customFormat="1" x14ac:dyDescent="0.2">
      <c r="A201" s="1566" t="s">
        <v>1353</v>
      </c>
      <c r="B201" s="1565" t="s">
        <v>1686</v>
      </c>
      <c r="C201" s="1182">
        <f t="shared" ref="C201:K201" si="18">SUM(C202:C203)</f>
        <v>6100000</v>
      </c>
      <c r="D201" s="1261">
        <f t="shared" si="18"/>
        <v>6006000</v>
      </c>
      <c r="E201" s="1594">
        <f t="shared" si="18"/>
        <v>6006000</v>
      </c>
      <c r="F201" s="1261">
        <f t="shared" si="18"/>
        <v>6271673.1299999999</v>
      </c>
      <c r="G201" s="1261">
        <f t="shared" si="18"/>
        <v>6271673.1299999999</v>
      </c>
      <c r="H201" s="1478">
        <f t="shared" si="18"/>
        <v>4770330.58</v>
      </c>
      <c r="I201" s="1261">
        <f t="shared" si="18"/>
        <v>6000000</v>
      </c>
      <c r="J201" s="1139">
        <f t="shared" si="18"/>
        <v>0</v>
      </c>
      <c r="K201" s="1139">
        <f t="shared" si="18"/>
        <v>0</v>
      </c>
      <c r="L201" s="107"/>
      <c r="M201" s="107"/>
      <c r="N201" s="107"/>
      <c r="O201" s="107"/>
      <c r="P201" s="107"/>
      <c r="Q201" s="107"/>
      <c r="R201" s="107"/>
      <c r="S201" s="107"/>
      <c r="T201" s="107"/>
      <c r="U201" s="107"/>
      <c r="V201" s="107"/>
      <c r="W201" s="107"/>
      <c r="X201" s="107"/>
      <c r="Y201" s="107"/>
      <c r="Z201" s="107"/>
      <c r="AA201" s="107"/>
      <c r="AB201" s="107"/>
      <c r="AC201" s="107"/>
      <c r="AD201" s="107"/>
      <c r="AE201" s="107"/>
      <c r="AF201" s="107"/>
      <c r="AG201" s="107"/>
      <c r="AH201" s="107"/>
      <c r="AI201" s="107"/>
      <c r="AJ201" s="107"/>
      <c r="AK201" s="107"/>
      <c r="AL201" s="107"/>
      <c r="AM201" s="107"/>
      <c r="AN201" s="107"/>
      <c r="AO201" s="107"/>
      <c r="AP201" s="107"/>
      <c r="AQ201" s="107"/>
      <c r="AR201" s="107"/>
      <c r="AS201" s="107"/>
      <c r="AT201" s="107"/>
      <c r="AU201" s="107"/>
      <c r="AV201" s="107"/>
      <c r="AW201" s="107"/>
      <c r="AX201" s="107"/>
      <c r="AY201" s="107"/>
      <c r="AZ201" s="107"/>
    </row>
    <row r="202" spans="1:52" s="116" customFormat="1" x14ac:dyDescent="0.2">
      <c r="A202" s="1637" t="s">
        <v>1688</v>
      </c>
      <c r="B202" s="1567" t="s">
        <v>1690</v>
      </c>
      <c r="C202" s="1053">
        <v>6100000</v>
      </c>
      <c r="D202" s="1572">
        <v>6006000</v>
      </c>
      <c r="E202" s="1572">
        <v>6006000</v>
      </c>
      <c r="F202" s="1572">
        <v>6006000</v>
      </c>
      <c r="G202" s="1572">
        <v>6006000</v>
      </c>
      <c r="H202" s="1176">
        <v>4504657.45</v>
      </c>
      <c r="I202" s="1099">
        <v>6000000</v>
      </c>
      <c r="J202" s="776"/>
      <c r="K202" s="1298"/>
      <c r="L202" s="107"/>
      <c r="M202" s="107"/>
      <c r="N202" s="107"/>
      <c r="O202" s="107"/>
      <c r="P202" s="107"/>
      <c r="Q202" s="107"/>
      <c r="R202" s="107"/>
      <c r="S202" s="107"/>
      <c r="T202" s="107"/>
      <c r="U202" s="107"/>
      <c r="V202" s="107"/>
      <c r="W202" s="107"/>
      <c r="X202" s="107"/>
      <c r="Y202" s="107"/>
      <c r="Z202" s="107"/>
      <c r="AA202" s="107"/>
      <c r="AB202" s="107"/>
      <c r="AC202" s="107"/>
      <c r="AD202" s="107"/>
      <c r="AE202" s="107"/>
      <c r="AF202" s="107"/>
      <c r="AG202" s="107"/>
      <c r="AH202" s="107"/>
      <c r="AI202" s="107"/>
      <c r="AJ202" s="107"/>
      <c r="AK202" s="107"/>
      <c r="AL202" s="107"/>
      <c r="AM202" s="107"/>
      <c r="AN202" s="107"/>
      <c r="AO202" s="107"/>
      <c r="AP202" s="107"/>
      <c r="AQ202" s="107"/>
      <c r="AR202" s="107"/>
      <c r="AS202" s="107"/>
      <c r="AT202" s="107"/>
      <c r="AU202" s="107"/>
      <c r="AV202" s="107"/>
      <c r="AW202" s="107"/>
      <c r="AX202" s="107"/>
      <c r="AY202" s="107"/>
      <c r="AZ202" s="107"/>
    </row>
    <row r="203" spans="1:52" s="116" customFormat="1" x14ac:dyDescent="0.2">
      <c r="A203" s="1637" t="s">
        <v>1689</v>
      </c>
      <c r="B203" s="1567" t="s">
        <v>1754</v>
      </c>
      <c r="C203" s="1099">
        <v>0</v>
      </c>
      <c r="D203" s="1572">
        <v>0</v>
      </c>
      <c r="E203" s="1572">
        <v>0</v>
      </c>
      <c r="F203" s="1572">
        <v>265673.13</v>
      </c>
      <c r="G203" s="1572">
        <v>265673.13</v>
      </c>
      <c r="H203" s="1176">
        <v>265673.13</v>
      </c>
      <c r="I203" s="1099">
        <v>0</v>
      </c>
      <c r="J203" s="708"/>
      <c r="K203" s="1294"/>
      <c r="L203" s="107"/>
      <c r="M203" s="107"/>
      <c r="N203" s="107"/>
      <c r="O203" s="107"/>
      <c r="P203" s="107"/>
      <c r="Q203" s="107"/>
      <c r="R203" s="107"/>
      <c r="S203" s="107"/>
      <c r="T203" s="107"/>
      <c r="U203" s="107"/>
      <c r="V203" s="107"/>
      <c r="W203" s="107"/>
      <c r="X203" s="107"/>
      <c r="Y203" s="107"/>
      <c r="Z203" s="107"/>
      <c r="AA203" s="107"/>
      <c r="AB203" s="107"/>
      <c r="AC203" s="107"/>
      <c r="AD203" s="107"/>
      <c r="AE203" s="107"/>
      <c r="AF203" s="107"/>
      <c r="AG203" s="107"/>
      <c r="AH203" s="107"/>
      <c r="AI203" s="107"/>
      <c r="AJ203" s="107"/>
      <c r="AK203" s="107"/>
      <c r="AL203" s="107"/>
      <c r="AM203" s="107"/>
      <c r="AN203" s="107"/>
      <c r="AO203" s="107"/>
      <c r="AP203" s="107"/>
      <c r="AQ203" s="107"/>
      <c r="AR203" s="107"/>
      <c r="AS203" s="107"/>
      <c r="AT203" s="107"/>
      <c r="AU203" s="107"/>
      <c r="AV203" s="107"/>
      <c r="AW203" s="107"/>
      <c r="AX203" s="107"/>
      <c r="AY203" s="107"/>
      <c r="AZ203" s="107"/>
    </row>
    <row r="204" spans="1:52" s="116" customFormat="1" x14ac:dyDescent="0.2">
      <c r="A204" s="1681">
        <v>4213</v>
      </c>
      <c r="B204" s="1565" t="s">
        <v>1427</v>
      </c>
      <c r="C204" s="1052">
        <f>SUM(C205:C209)</f>
        <v>10450000</v>
      </c>
      <c r="D204" s="1052">
        <f t="shared" ref="D204:K204" si="19">SUM(D205:D209)</f>
        <v>1400000</v>
      </c>
      <c r="E204" s="1045">
        <f t="shared" si="19"/>
        <v>0</v>
      </c>
      <c r="F204" s="1052">
        <f t="shared" si="19"/>
        <v>191660.65</v>
      </c>
      <c r="G204" s="1052">
        <f t="shared" si="19"/>
        <v>191660.65</v>
      </c>
      <c r="H204" s="1045">
        <f t="shared" si="19"/>
        <v>191660.65</v>
      </c>
      <c r="I204" s="1052">
        <f t="shared" si="19"/>
        <v>1817357.44</v>
      </c>
      <c r="J204" s="718">
        <f t="shared" si="19"/>
        <v>0</v>
      </c>
      <c r="K204" s="884">
        <f t="shared" si="19"/>
        <v>0</v>
      </c>
      <c r="L204" s="107"/>
      <c r="M204" s="107"/>
      <c r="N204" s="107"/>
      <c r="O204" s="107"/>
      <c r="P204" s="107"/>
      <c r="Q204" s="107"/>
      <c r="R204" s="107"/>
      <c r="S204" s="107"/>
      <c r="T204" s="107"/>
      <c r="U204" s="107"/>
      <c r="V204" s="107"/>
      <c r="W204" s="107"/>
      <c r="X204" s="107"/>
      <c r="Y204" s="107"/>
      <c r="Z204" s="107"/>
      <c r="AA204" s="107"/>
      <c r="AB204" s="107"/>
      <c r="AC204" s="107"/>
      <c r="AD204" s="107"/>
      <c r="AE204" s="107"/>
      <c r="AF204" s="107"/>
      <c r="AG204" s="107"/>
      <c r="AH204" s="107"/>
      <c r="AI204" s="107"/>
      <c r="AJ204" s="107"/>
      <c r="AK204" s="107"/>
      <c r="AL204" s="107"/>
      <c r="AM204" s="107"/>
      <c r="AN204" s="107"/>
      <c r="AO204" s="107"/>
      <c r="AP204" s="107"/>
      <c r="AQ204" s="107"/>
      <c r="AR204" s="107"/>
      <c r="AS204" s="107"/>
      <c r="AT204" s="107"/>
      <c r="AU204" s="107"/>
      <c r="AV204" s="107"/>
      <c r="AW204" s="107"/>
      <c r="AX204" s="107"/>
      <c r="AY204" s="107"/>
      <c r="AZ204" s="107"/>
    </row>
    <row r="205" spans="1:52" s="116" customFormat="1" x14ac:dyDescent="0.2">
      <c r="A205" s="1638" t="s">
        <v>1827</v>
      </c>
      <c r="B205" s="1567" t="s">
        <v>1687</v>
      </c>
      <c r="C205" s="1572">
        <v>0</v>
      </c>
      <c r="D205" s="1572">
        <v>0</v>
      </c>
      <c r="E205" s="1572">
        <v>0</v>
      </c>
      <c r="F205" s="1572">
        <v>191660.65</v>
      </c>
      <c r="G205" s="1572">
        <v>191660.65</v>
      </c>
      <c r="H205" s="1176">
        <v>191660.65</v>
      </c>
      <c r="I205" s="1052"/>
      <c r="J205" s="718"/>
      <c r="K205" s="884"/>
      <c r="L205" s="107"/>
      <c r="M205" s="107"/>
      <c r="N205" s="107"/>
      <c r="O205" s="107"/>
      <c r="P205" s="107"/>
      <c r="Q205" s="107"/>
      <c r="R205" s="107"/>
      <c r="S205" s="107"/>
      <c r="T205" s="107"/>
      <c r="U205" s="107"/>
      <c r="V205" s="107"/>
      <c r="W205" s="107"/>
      <c r="X205" s="107"/>
      <c r="Y205" s="107"/>
      <c r="Z205" s="107"/>
      <c r="AA205" s="107"/>
      <c r="AB205" s="107"/>
      <c r="AC205" s="107"/>
      <c r="AD205" s="107"/>
      <c r="AE205" s="107"/>
      <c r="AF205" s="107"/>
      <c r="AG205" s="107"/>
      <c r="AH205" s="107"/>
      <c r="AI205" s="107"/>
      <c r="AJ205" s="107"/>
      <c r="AK205" s="107"/>
      <c r="AL205" s="107"/>
      <c r="AM205" s="107"/>
      <c r="AN205" s="107"/>
      <c r="AO205" s="107"/>
      <c r="AP205" s="107"/>
      <c r="AQ205" s="107"/>
      <c r="AR205" s="107"/>
      <c r="AS205" s="107"/>
      <c r="AT205" s="107"/>
      <c r="AU205" s="107"/>
      <c r="AV205" s="107"/>
      <c r="AW205" s="107"/>
      <c r="AX205" s="107"/>
      <c r="AY205" s="107"/>
      <c r="AZ205" s="107"/>
    </row>
    <row r="206" spans="1:52" s="2" customFormat="1" x14ac:dyDescent="0.2">
      <c r="A206" s="1639"/>
      <c r="B206" s="1640" t="s">
        <v>1978</v>
      </c>
      <c r="C206" s="1572">
        <v>4250000</v>
      </c>
      <c r="D206" s="1572">
        <v>0</v>
      </c>
      <c r="E206" s="1572">
        <v>0</v>
      </c>
      <c r="F206" s="1572">
        <v>0</v>
      </c>
      <c r="G206" s="1572">
        <v>0</v>
      </c>
      <c r="H206" s="1641">
        <v>0</v>
      </c>
      <c r="I206" s="1572">
        <v>0</v>
      </c>
      <c r="J206" s="1051"/>
      <c r="K206" s="1299"/>
      <c r="L206" s="129"/>
      <c r="M206" s="129"/>
      <c r="N206" s="129"/>
      <c r="O206" s="129"/>
      <c r="P206" s="129"/>
      <c r="Q206" s="129"/>
      <c r="R206" s="129"/>
      <c r="S206" s="129"/>
      <c r="T206" s="129"/>
      <c r="U206" s="129"/>
      <c r="V206" s="129"/>
      <c r="W206" s="129"/>
      <c r="X206" s="129"/>
      <c r="Y206" s="129"/>
      <c r="Z206" s="129"/>
      <c r="AA206" s="129"/>
      <c r="AB206" s="129"/>
      <c r="AC206" s="129"/>
      <c r="AD206" s="129"/>
      <c r="AE206" s="129"/>
      <c r="AF206" s="129"/>
      <c r="AG206" s="129"/>
      <c r="AH206" s="129"/>
      <c r="AI206" s="129"/>
      <c r="AJ206" s="129"/>
      <c r="AK206" s="129"/>
      <c r="AL206" s="129"/>
      <c r="AM206" s="129"/>
      <c r="AN206" s="129"/>
      <c r="AO206" s="129"/>
      <c r="AP206" s="129"/>
      <c r="AQ206" s="129"/>
      <c r="AR206" s="129"/>
      <c r="AS206" s="129"/>
      <c r="AT206" s="129"/>
      <c r="AU206" s="129"/>
      <c r="AV206" s="129"/>
      <c r="AW206" s="129"/>
      <c r="AX206" s="129"/>
      <c r="AY206" s="129"/>
      <c r="AZ206" s="129"/>
    </row>
    <row r="207" spans="1:52" s="2" customFormat="1" x14ac:dyDescent="0.2">
      <c r="A207" s="1639"/>
      <c r="B207" s="1640" t="s">
        <v>1979</v>
      </c>
      <c r="C207" s="1572">
        <v>4800000</v>
      </c>
      <c r="D207" s="1572">
        <v>0</v>
      </c>
      <c r="E207" s="1572">
        <v>0</v>
      </c>
      <c r="F207" s="1572">
        <v>0</v>
      </c>
      <c r="G207" s="1572">
        <v>0</v>
      </c>
      <c r="H207" s="1641">
        <v>0</v>
      </c>
      <c r="I207" s="1572">
        <v>0</v>
      </c>
      <c r="J207" s="1032"/>
      <c r="K207" s="1300"/>
      <c r="L207" s="129"/>
      <c r="M207" s="129"/>
      <c r="N207" s="129"/>
      <c r="O207" s="129"/>
      <c r="P207" s="129"/>
      <c r="Q207" s="129"/>
      <c r="R207" s="129"/>
      <c r="S207" s="129"/>
      <c r="T207" s="129"/>
      <c r="U207" s="129"/>
      <c r="V207" s="129"/>
      <c r="W207" s="129"/>
      <c r="X207" s="129"/>
      <c r="Y207" s="129"/>
      <c r="Z207" s="129"/>
      <c r="AA207" s="129"/>
      <c r="AB207" s="129"/>
      <c r="AC207" s="129"/>
      <c r="AD207" s="129"/>
      <c r="AE207" s="129"/>
      <c r="AF207" s="129"/>
      <c r="AG207" s="129"/>
      <c r="AH207" s="129"/>
      <c r="AI207" s="129"/>
      <c r="AJ207" s="129"/>
      <c r="AK207" s="129"/>
      <c r="AL207" s="129"/>
      <c r="AM207" s="129"/>
      <c r="AN207" s="129"/>
      <c r="AO207" s="129"/>
      <c r="AP207" s="129"/>
      <c r="AQ207" s="129"/>
      <c r="AR207" s="129"/>
      <c r="AS207" s="129"/>
      <c r="AT207" s="129"/>
      <c r="AU207" s="129"/>
      <c r="AV207" s="129"/>
      <c r="AW207" s="129"/>
      <c r="AX207" s="129"/>
      <c r="AY207" s="129"/>
      <c r="AZ207" s="129"/>
    </row>
    <row r="208" spans="1:52" s="2" customFormat="1" x14ac:dyDescent="0.2">
      <c r="A208" s="1639"/>
      <c r="B208" s="1643" t="s">
        <v>1685</v>
      </c>
      <c r="C208" s="1572">
        <v>1400000</v>
      </c>
      <c r="D208" s="1572">
        <v>1400000</v>
      </c>
      <c r="E208" s="1572">
        <v>0</v>
      </c>
      <c r="F208" s="1572">
        <v>0</v>
      </c>
      <c r="G208" s="1572">
        <v>0</v>
      </c>
      <c r="H208" s="1641">
        <v>0</v>
      </c>
      <c r="I208" s="1572">
        <v>0</v>
      </c>
      <c r="J208" s="1032"/>
      <c r="K208" s="1300"/>
      <c r="L208" s="129"/>
      <c r="M208" s="129"/>
      <c r="N208" s="129"/>
      <c r="O208" s="129"/>
      <c r="P208" s="129"/>
      <c r="Q208" s="129"/>
      <c r="R208" s="129"/>
      <c r="S208" s="129"/>
      <c r="T208" s="129"/>
      <c r="U208" s="129"/>
      <c r="V208" s="129"/>
      <c r="W208" s="129"/>
      <c r="X208" s="129"/>
      <c r="Y208" s="129"/>
      <c r="Z208" s="129"/>
      <c r="AA208" s="129"/>
      <c r="AB208" s="129"/>
      <c r="AC208" s="129"/>
      <c r="AD208" s="129"/>
      <c r="AE208" s="129"/>
      <c r="AF208" s="129"/>
      <c r="AG208" s="129"/>
      <c r="AH208" s="129"/>
      <c r="AI208" s="129"/>
      <c r="AJ208" s="129"/>
      <c r="AK208" s="129"/>
      <c r="AL208" s="129"/>
      <c r="AM208" s="129"/>
      <c r="AN208" s="129"/>
      <c r="AO208" s="129"/>
      <c r="AP208" s="129"/>
      <c r="AQ208" s="129"/>
      <c r="AR208" s="129"/>
      <c r="AS208" s="129"/>
      <c r="AT208" s="129"/>
      <c r="AU208" s="129"/>
      <c r="AV208" s="129"/>
      <c r="AW208" s="129"/>
      <c r="AX208" s="129"/>
      <c r="AY208" s="129"/>
      <c r="AZ208" s="129"/>
    </row>
    <row r="209" spans="1:52" s="2" customFormat="1" x14ac:dyDescent="0.2">
      <c r="A209" s="1639"/>
      <c r="B209" s="1644" t="s">
        <v>1691</v>
      </c>
      <c r="C209" s="1572">
        <v>0</v>
      </c>
      <c r="D209" s="1572">
        <v>0</v>
      </c>
      <c r="E209" s="1572">
        <v>0</v>
      </c>
      <c r="F209" s="1572">
        <v>0</v>
      </c>
      <c r="G209" s="1572">
        <v>0</v>
      </c>
      <c r="H209" s="1641">
        <v>0</v>
      </c>
      <c r="I209" s="1572">
        <v>1817357.44</v>
      </c>
      <c r="J209" s="1047"/>
      <c r="K209" s="1301"/>
      <c r="L209" s="129"/>
      <c r="M209" s="129"/>
      <c r="N209" s="129"/>
      <c r="O209" s="129"/>
      <c r="P209" s="129"/>
      <c r="Q209" s="129"/>
      <c r="R209" s="129"/>
      <c r="S209" s="129"/>
      <c r="T209" s="129"/>
      <c r="U209" s="129"/>
      <c r="V209" s="129"/>
      <c r="W209" s="129"/>
      <c r="X209" s="129"/>
      <c r="Y209" s="129"/>
      <c r="Z209" s="129"/>
      <c r="AA209" s="129"/>
      <c r="AB209" s="129"/>
      <c r="AC209" s="129"/>
      <c r="AD209" s="129"/>
      <c r="AE209" s="129"/>
      <c r="AF209" s="129"/>
      <c r="AG209" s="129"/>
      <c r="AH209" s="129"/>
      <c r="AI209" s="129"/>
      <c r="AJ209" s="129"/>
      <c r="AK209" s="129"/>
      <c r="AL209" s="129"/>
      <c r="AM209" s="129"/>
      <c r="AN209" s="129"/>
      <c r="AO209" s="129"/>
      <c r="AP209" s="129"/>
      <c r="AQ209" s="129"/>
      <c r="AR209" s="129"/>
      <c r="AS209" s="129"/>
      <c r="AT209" s="129"/>
      <c r="AU209" s="129"/>
      <c r="AV209" s="129"/>
      <c r="AW209" s="129"/>
      <c r="AX209" s="129"/>
      <c r="AY209" s="129"/>
      <c r="AZ209" s="129"/>
    </row>
    <row r="210" spans="1:52" s="116" customFormat="1" ht="12.75" customHeight="1" x14ac:dyDescent="0.2">
      <c r="A210" s="1555">
        <v>4216</v>
      </c>
      <c r="B210" s="1592" t="s">
        <v>234</v>
      </c>
      <c r="C210" s="1645">
        <f t="shared" ref="C210:K210" si="20">SUM(C211:C218)</f>
        <v>3369843.8</v>
      </c>
      <c r="D210" s="1645">
        <f t="shared" si="20"/>
        <v>12222148.329999998</v>
      </c>
      <c r="E210" s="1646">
        <f t="shared" si="20"/>
        <v>15103093.329999998</v>
      </c>
      <c r="F210" s="1645">
        <f t="shared" si="20"/>
        <v>15103093.329999998</v>
      </c>
      <c r="G210" s="1645">
        <f t="shared" si="20"/>
        <v>10552304.529999999</v>
      </c>
      <c r="H210" s="1646">
        <f t="shared" si="20"/>
        <v>9352304.5299999993</v>
      </c>
      <c r="I210" s="1645">
        <f t="shared" si="20"/>
        <v>0</v>
      </c>
      <c r="J210" s="777">
        <f t="shared" si="20"/>
        <v>0</v>
      </c>
      <c r="K210" s="1067">
        <f t="shared" si="20"/>
        <v>0</v>
      </c>
      <c r="L210" s="107"/>
      <c r="M210" s="107"/>
      <c r="N210" s="107"/>
      <c r="O210" s="173"/>
      <c r="P210" s="107"/>
      <c r="Q210" s="107"/>
      <c r="R210" s="107"/>
      <c r="S210" s="107"/>
      <c r="T210" s="107"/>
      <c r="U210" s="107"/>
      <c r="V210" s="107"/>
      <c r="W210" s="107"/>
      <c r="X210" s="107"/>
      <c r="Y210" s="107"/>
      <c r="Z210" s="107"/>
      <c r="AA210" s="107"/>
      <c r="AB210" s="107"/>
      <c r="AC210" s="107"/>
      <c r="AD210" s="107"/>
      <c r="AE210" s="107"/>
      <c r="AF210" s="107"/>
      <c r="AG210" s="107"/>
      <c r="AH210" s="107"/>
      <c r="AI210" s="107"/>
      <c r="AJ210" s="107"/>
      <c r="AK210" s="107"/>
      <c r="AL210" s="107"/>
      <c r="AM210" s="107"/>
      <c r="AN210" s="107"/>
      <c r="AO210" s="107"/>
      <c r="AP210" s="107"/>
      <c r="AQ210" s="107"/>
      <c r="AR210" s="107"/>
      <c r="AS210" s="107"/>
      <c r="AT210" s="107"/>
      <c r="AU210" s="107"/>
      <c r="AV210" s="107"/>
      <c r="AW210" s="107"/>
      <c r="AX210" s="107"/>
      <c r="AY210" s="107"/>
      <c r="AZ210" s="107"/>
    </row>
    <row r="211" spans="1:52" s="2" customFormat="1" ht="12.75" customHeight="1" x14ac:dyDescent="0.2">
      <c r="A211" s="1639"/>
      <c r="B211" s="1567" t="s">
        <v>1668</v>
      </c>
      <c r="C211" s="1053">
        <v>500000</v>
      </c>
      <c r="D211" s="1572">
        <v>0</v>
      </c>
      <c r="E211" s="1572">
        <v>0</v>
      </c>
      <c r="F211" s="1572">
        <v>0</v>
      </c>
      <c r="G211" s="1572">
        <v>0</v>
      </c>
      <c r="H211" s="1641">
        <v>0</v>
      </c>
      <c r="I211" s="1099">
        <v>0</v>
      </c>
      <c r="J211" s="708"/>
      <c r="K211" s="1191"/>
    </row>
    <row r="212" spans="1:52" s="116" customFormat="1" ht="12.75" customHeight="1" x14ac:dyDescent="0.2">
      <c r="A212" s="1630" t="s">
        <v>1692</v>
      </c>
      <c r="B212" s="1547" t="s">
        <v>2048</v>
      </c>
      <c r="C212" s="1053">
        <v>0</v>
      </c>
      <c r="D212" s="1600">
        <v>205587.45</v>
      </c>
      <c r="E212" s="1600">
        <v>205587.45</v>
      </c>
      <c r="F212" s="1600">
        <v>205587.45</v>
      </c>
      <c r="G212" s="1600">
        <v>205587.45</v>
      </c>
      <c r="H212" s="1599">
        <v>205587.45</v>
      </c>
      <c r="I212" s="1099">
        <v>0</v>
      </c>
      <c r="J212" s="708"/>
      <c r="K212" s="1066"/>
      <c r="O212" s="179"/>
    </row>
    <row r="213" spans="1:52" s="116" customFormat="1" ht="12.75" customHeight="1" x14ac:dyDescent="0.2">
      <c r="A213" s="1630" t="s">
        <v>1693</v>
      </c>
      <c r="B213" s="1547" t="s">
        <v>1694</v>
      </c>
      <c r="C213" s="1053">
        <v>0</v>
      </c>
      <c r="D213" s="1572">
        <v>4111749.01</v>
      </c>
      <c r="E213" s="1572">
        <v>4111749.01</v>
      </c>
      <c r="F213" s="1572">
        <v>4111749.01</v>
      </c>
      <c r="G213" s="1572">
        <v>4111749.01</v>
      </c>
      <c r="H213" s="1176">
        <v>4111749.01</v>
      </c>
      <c r="I213" s="1099">
        <v>0</v>
      </c>
      <c r="J213" s="708"/>
      <c r="K213" s="1066"/>
      <c r="O213" s="179"/>
    </row>
    <row r="214" spans="1:52" s="116" customFormat="1" ht="12.75" customHeight="1" x14ac:dyDescent="0.2">
      <c r="A214" s="1630" t="s">
        <v>1692</v>
      </c>
      <c r="B214" s="1547" t="s">
        <v>1695</v>
      </c>
      <c r="C214" s="1099">
        <v>0</v>
      </c>
      <c r="D214" s="1602">
        <v>239760.39</v>
      </c>
      <c r="E214" s="1602">
        <v>239760.39</v>
      </c>
      <c r="F214" s="1602">
        <v>239760.39</v>
      </c>
      <c r="G214" s="1602">
        <v>239760.39</v>
      </c>
      <c r="H214" s="1603">
        <v>239760.39</v>
      </c>
      <c r="I214" s="1099">
        <v>0</v>
      </c>
      <c r="J214" s="1103"/>
      <c r="K214" s="1180"/>
      <c r="O214" s="179"/>
    </row>
    <row r="215" spans="1:52" s="116" customFormat="1" ht="12.75" customHeight="1" x14ac:dyDescent="0.2">
      <c r="A215" s="1630" t="s">
        <v>1828</v>
      </c>
      <c r="B215" s="1547" t="s">
        <v>1696</v>
      </c>
      <c r="C215" s="1099">
        <v>0</v>
      </c>
      <c r="D215" s="1602">
        <v>4795207.6799999997</v>
      </c>
      <c r="E215" s="1602">
        <v>4795207.6799999997</v>
      </c>
      <c r="F215" s="1602">
        <v>4795207.6799999997</v>
      </c>
      <c r="G215" s="1602">
        <v>4795207.6799999997</v>
      </c>
      <c r="H215" s="1603">
        <v>4795207.6799999997</v>
      </c>
      <c r="I215" s="1099">
        <v>0</v>
      </c>
      <c r="J215" s="1103"/>
      <c r="K215" s="1180"/>
      <c r="O215" s="179"/>
    </row>
    <row r="216" spans="1:52" s="116" customFormat="1" ht="12.75" customHeight="1" x14ac:dyDescent="0.2">
      <c r="A216" s="1630"/>
      <c r="B216" s="1547" t="s">
        <v>1977</v>
      </c>
      <c r="C216" s="2000">
        <v>0</v>
      </c>
      <c r="D216" s="1602">
        <v>0</v>
      </c>
      <c r="E216" s="1602">
        <v>1200000</v>
      </c>
      <c r="F216" s="1602">
        <v>1200000</v>
      </c>
      <c r="G216" s="1602">
        <v>1200000</v>
      </c>
      <c r="H216" s="1603"/>
      <c r="I216" s="2000">
        <v>0</v>
      </c>
      <c r="J216" s="2138"/>
      <c r="K216" s="2140"/>
      <c r="O216" s="179"/>
    </row>
    <row r="217" spans="1:52" s="116" customFormat="1" ht="12.75" customHeight="1" x14ac:dyDescent="0.2">
      <c r="A217" s="1630"/>
      <c r="B217" s="1643" t="s">
        <v>1685</v>
      </c>
      <c r="C217" s="2000">
        <v>0</v>
      </c>
      <c r="D217" s="1602"/>
      <c r="E217" s="1572">
        <v>1680945</v>
      </c>
      <c r="F217" s="1572">
        <v>1680945</v>
      </c>
      <c r="G217" s="1602">
        <v>0</v>
      </c>
      <c r="H217" s="1603"/>
      <c r="I217" s="2000"/>
      <c r="J217" s="2138"/>
      <c r="K217" s="2140"/>
      <c r="O217" s="179"/>
    </row>
    <row r="218" spans="1:52" s="116" customFormat="1" ht="12.75" customHeight="1" x14ac:dyDescent="0.2">
      <c r="A218" s="1598"/>
      <c r="B218" s="1640" t="s">
        <v>1624</v>
      </c>
      <c r="C218" s="1572">
        <v>2869843.8</v>
      </c>
      <c r="D218" s="1572">
        <v>2869843.8</v>
      </c>
      <c r="E218" s="1572">
        <v>2869843.8</v>
      </c>
      <c r="F218" s="1572">
        <v>2869843.8</v>
      </c>
      <c r="G218" s="1572">
        <v>0</v>
      </c>
      <c r="H218" s="1176">
        <v>0</v>
      </c>
      <c r="I218" s="1572">
        <v>0</v>
      </c>
      <c r="J218" s="1103"/>
      <c r="K218" s="1180"/>
      <c r="O218" s="179"/>
    </row>
    <row r="219" spans="1:52" s="116" customFormat="1" ht="12.75" customHeight="1" x14ac:dyDescent="0.2">
      <c r="A219" s="1555">
        <v>4222</v>
      </c>
      <c r="B219" s="1636" t="s">
        <v>245</v>
      </c>
      <c r="C219" s="1645">
        <f t="shared" ref="C219:I219" si="21">SUM(C220:C224)</f>
        <v>500080</v>
      </c>
      <c r="D219" s="1645">
        <f t="shared" si="21"/>
        <v>662864</v>
      </c>
      <c r="E219" s="1646">
        <f t="shared" si="21"/>
        <v>662864</v>
      </c>
      <c r="F219" s="1645">
        <f t="shared" si="21"/>
        <v>374884</v>
      </c>
      <c r="G219" s="1645">
        <f t="shared" si="21"/>
        <v>299884</v>
      </c>
      <c r="H219" s="1646">
        <f t="shared" si="21"/>
        <v>299884</v>
      </c>
      <c r="I219" s="1645">
        <f t="shared" si="21"/>
        <v>367960</v>
      </c>
      <c r="J219" s="719">
        <f>SUM(J220:J222)</f>
        <v>0</v>
      </c>
      <c r="K219" s="1302">
        <f>SUM(K220:K222)</f>
        <v>0</v>
      </c>
    </row>
    <row r="220" spans="1:52" s="116" customFormat="1" ht="12.75" customHeight="1" x14ac:dyDescent="0.2">
      <c r="A220" s="1630" t="s">
        <v>1829</v>
      </c>
      <c r="B220" s="1578" t="s">
        <v>1844</v>
      </c>
      <c r="C220" s="1053">
        <v>0</v>
      </c>
      <c r="D220" s="1895">
        <v>150000</v>
      </c>
      <c r="E220" s="1895">
        <v>150000</v>
      </c>
      <c r="F220" s="1597">
        <v>150000</v>
      </c>
      <c r="G220" s="1597">
        <v>75000</v>
      </c>
      <c r="H220" s="1176">
        <v>75000</v>
      </c>
      <c r="I220" s="1099">
        <v>0</v>
      </c>
      <c r="J220" s="1103"/>
      <c r="K220" s="1180"/>
      <c r="O220" s="179"/>
    </row>
    <row r="221" spans="1:52" s="116" customFormat="1" ht="12.75" customHeight="1" x14ac:dyDescent="0.2">
      <c r="A221" s="1630" t="s">
        <v>1830</v>
      </c>
      <c r="B221" s="1547" t="s">
        <v>1843</v>
      </c>
      <c r="C221" s="1053">
        <v>212100</v>
      </c>
      <c r="D221" s="1099">
        <f>212100-9234</f>
        <v>202866</v>
      </c>
      <c r="E221" s="1099">
        <f>212100-9234</f>
        <v>202866</v>
      </c>
      <c r="F221" s="1634">
        <f>212100-9234</f>
        <v>202866</v>
      </c>
      <c r="G221" s="1099">
        <f>212100-9234</f>
        <v>202866</v>
      </c>
      <c r="H221" s="1635">
        <v>202866</v>
      </c>
      <c r="I221" s="1099">
        <v>0</v>
      </c>
      <c r="J221" s="1103"/>
      <c r="K221" s="1303"/>
      <c r="O221" s="179"/>
    </row>
    <row r="222" spans="1:52" s="116" customFormat="1" ht="12.75" customHeight="1" x14ac:dyDescent="0.2">
      <c r="A222" s="1598"/>
      <c r="B222" s="1547" t="s">
        <v>1842</v>
      </c>
      <c r="C222" s="1099">
        <v>0</v>
      </c>
      <c r="D222" s="1634">
        <v>22018</v>
      </c>
      <c r="E222" s="1724">
        <v>22018</v>
      </c>
      <c r="F222" s="1634">
        <v>22018</v>
      </c>
      <c r="G222" s="1634">
        <v>22018</v>
      </c>
      <c r="H222" s="1635">
        <v>22018</v>
      </c>
      <c r="I222" s="1099">
        <v>0</v>
      </c>
      <c r="J222" s="1047"/>
      <c r="K222" s="1304"/>
      <c r="O222" s="179"/>
    </row>
    <row r="223" spans="1:52" s="116" customFormat="1" ht="12.75" customHeight="1" x14ac:dyDescent="0.2">
      <c r="A223" s="1598"/>
      <c r="B223" s="1648" t="s">
        <v>1335</v>
      </c>
      <c r="C223" s="1431">
        <v>0</v>
      </c>
      <c r="D223" s="1649">
        <v>0</v>
      </c>
      <c r="E223" s="1896">
        <v>0</v>
      </c>
      <c r="F223" s="1431">
        <v>0</v>
      </c>
      <c r="G223" s="1431">
        <v>0</v>
      </c>
      <c r="H223" s="1650"/>
      <c r="I223" s="1431">
        <v>79980</v>
      </c>
      <c r="J223" s="858"/>
      <c r="K223" s="1305"/>
    </row>
    <row r="224" spans="1:52" s="116" customFormat="1" ht="12.75" customHeight="1" x14ac:dyDescent="0.2">
      <c r="A224" s="1651"/>
      <c r="B224" s="1652" t="s">
        <v>1697</v>
      </c>
      <c r="C224" s="1427">
        <v>287980</v>
      </c>
      <c r="D224" s="1427">
        <v>287980</v>
      </c>
      <c r="E224" s="1427">
        <v>287980</v>
      </c>
      <c r="F224" s="1427">
        <v>0</v>
      </c>
      <c r="G224" s="1427">
        <v>0</v>
      </c>
      <c r="H224" s="1601">
        <v>0</v>
      </c>
      <c r="I224" s="1427">
        <v>287980</v>
      </c>
      <c r="J224" s="858"/>
      <c r="K224" s="1305"/>
    </row>
    <row r="225" spans="1:11" s="116" customFormat="1" ht="13.5" thickBot="1" x14ac:dyDescent="0.25">
      <c r="A225" s="1654"/>
      <c r="B225" s="1655"/>
      <c r="C225" s="1583"/>
      <c r="D225" s="1583"/>
      <c r="E225" s="1657"/>
      <c r="F225" s="1583"/>
      <c r="G225" s="1583"/>
      <c r="H225" s="1656"/>
      <c r="I225" s="1583"/>
      <c r="J225" s="743"/>
      <c r="K225" s="1306"/>
    </row>
    <row r="226" spans="1:11" s="116" customFormat="1" ht="21" thickBot="1" x14ac:dyDescent="0.35">
      <c r="A226" s="1658"/>
      <c r="B226" s="1659" t="s">
        <v>13</v>
      </c>
      <c r="C226" s="1660">
        <f t="shared" ref="C226:K226" si="22">SUM(C4+C36+C132+C159)</f>
        <v>828459861.11999989</v>
      </c>
      <c r="D226" s="1661">
        <f t="shared" si="22"/>
        <v>861919565.07000005</v>
      </c>
      <c r="E226" s="1662">
        <f t="shared" si="22"/>
        <v>857759473.41999996</v>
      </c>
      <c r="F226" s="1662">
        <f>SUM(F4+F36+F132+F159)</f>
        <v>847363091.52999997</v>
      </c>
      <c r="G226" s="1660">
        <f t="shared" si="22"/>
        <v>745649557.75</v>
      </c>
      <c r="H226" s="1663">
        <f t="shared" si="22"/>
        <v>648162906.65999997</v>
      </c>
      <c r="I226" s="1660">
        <f t="shared" si="22"/>
        <v>839036351.17000008</v>
      </c>
      <c r="J226" s="1387">
        <f t="shared" si="22"/>
        <v>618109655</v>
      </c>
      <c r="K226" s="1307">
        <f t="shared" si="22"/>
        <v>621586392</v>
      </c>
    </row>
    <row r="227" spans="1:11" s="116" customFormat="1" ht="16.5" thickBot="1" x14ac:dyDescent="0.3">
      <c r="A227" s="1664"/>
      <c r="B227" s="1665"/>
      <c r="C227" s="1666"/>
      <c r="D227" s="1667"/>
      <c r="E227" s="1668"/>
      <c r="F227" s="1669"/>
      <c r="G227" s="1670"/>
      <c r="H227" s="1671"/>
      <c r="I227" s="1666"/>
      <c r="J227" s="1317"/>
      <c r="K227" s="878"/>
    </row>
    <row r="228" spans="1:11" s="116" customFormat="1" ht="18.75" thickBot="1" x14ac:dyDescent="0.3">
      <c r="A228" s="1584"/>
      <c r="B228" s="1585" t="s">
        <v>14</v>
      </c>
      <c r="C228" s="1672">
        <f t="shared" ref="C228:K228" si="23">SUM(C229:C232)</f>
        <v>172017736.07999998</v>
      </c>
      <c r="D228" s="1673">
        <f t="shared" si="23"/>
        <v>172017736.07999998</v>
      </c>
      <c r="E228" s="1673">
        <f t="shared" si="23"/>
        <v>163275012.94</v>
      </c>
      <c r="F228" s="1673">
        <f t="shared" si="23"/>
        <v>82611336.407499999</v>
      </c>
      <c r="G228" s="1674">
        <f t="shared" si="23"/>
        <v>-39329269.100000009</v>
      </c>
      <c r="H228" s="1674">
        <f t="shared" si="23"/>
        <v>-6070338.3799999999</v>
      </c>
      <c r="I228" s="1675">
        <f t="shared" si="23"/>
        <v>173504211.83249995</v>
      </c>
      <c r="J228" s="1098">
        <f t="shared" si="23"/>
        <v>126200960.05</v>
      </c>
      <c r="K228" s="1308">
        <f t="shared" si="23"/>
        <v>136200960.05000001</v>
      </c>
    </row>
    <row r="229" spans="1:11" ht="25.5" x14ac:dyDescent="0.2">
      <c r="A229" s="1576">
        <v>8115</v>
      </c>
      <c r="B229" s="1676" t="s">
        <v>2055</v>
      </c>
      <c r="C229" s="1182">
        <f>100000000-11315591.92</f>
        <v>88684408.079999998</v>
      </c>
      <c r="D229" s="1182">
        <f>100000000-11315591.92</f>
        <v>88684408.079999998</v>
      </c>
      <c r="E229" s="1594">
        <f>88684408.08-8742723.14</f>
        <v>79941684.939999998</v>
      </c>
      <c r="F229" s="1677">
        <f>50000000+30000000-2140560.86+9772425.45-93078106.63</f>
        <v>-5446242.0399999917</v>
      </c>
      <c r="G229" s="1594">
        <f>88684408.08-210300830.12</f>
        <v>-121616422.04000001</v>
      </c>
      <c r="H229" s="1594">
        <v>0</v>
      </c>
      <c r="I229" s="1745">
        <f>50000000+97724250.45+30000000-2140560.86-400000+24200-125387.36-55000</f>
        <v>175027502.22999996</v>
      </c>
      <c r="J229" s="1089">
        <f>95000000+30000000</f>
        <v>125000000</v>
      </c>
      <c r="K229" s="1139">
        <f>95000000+40000000</f>
        <v>135000000</v>
      </c>
    </row>
    <row r="230" spans="1:11" ht="12.75" customHeight="1" x14ac:dyDescent="0.2">
      <c r="A230" s="1576">
        <v>8124</v>
      </c>
      <c r="B230" s="1678" t="s">
        <v>1755</v>
      </c>
      <c r="C230" s="1182">
        <f>-(555556*12)</f>
        <v>-6666672</v>
      </c>
      <c r="D230" s="1182">
        <f>-(555556*12)</f>
        <v>-6666672</v>
      </c>
      <c r="E230" s="1261">
        <v>-6666672</v>
      </c>
      <c r="F230" s="1182">
        <f>-(555556*12)</f>
        <v>-6666672</v>
      </c>
      <c r="G230" s="1478">
        <v>-5555560</v>
      </c>
      <c r="H230" s="1679">
        <v>-3888892</v>
      </c>
      <c r="I230" s="1261">
        <f>-(555556*12)</f>
        <v>-6666672</v>
      </c>
      <c r="J230" s="1089">
        <f>-(555556*12)</f>
        <v>-6666672</v>
      </c>
      <c r="K230" s="1139">
        <f>-(555556*12)</f>
        <v>-6666672</v>
      </c>
    </row>
    <row r="231" spans="1:11" ht="27" customHeight="1" x14ac:dyDescent="0.2">
      <c r="A231" s="1576">
        <v>8125</v>
      </c>
      <c r="B231" s="1678" t="s">
        <v>2054</v>
      </c>
      <c r="C231" s="1182">
        <v>90000000</v>
      </c>
      <c r="D231" s="1182">
        <v>90000000</v>
      </c>
      <c r="E231" s="1478">
        <v>90000000</v>
      </c>
      <c r="F231" s="1680">
        <f>(102867431.07+200.98)*0.95</f>
        <v>97724250.44749999</v>
      </c>
      <c r="G231" s="1679">
        <v>90000000</v>
      </c>
      <c r="H231" s="1679">
        <v>0</v>
      </c>
      <c r="I231" s="1593">
        <f>(102867431.07+200.98)*0.05</f>
        <v>5143381.6025</v>
      </c>
      <c r="J231" s="718">
        <f>(200.98+102867431.07)-95000000</f>
        <v>7867632.049999997</v>
      </c>
      <c r="K231" s="884">
        <f>(200.98+102867431.07)-95000000</f>
        <v>7867632.049999997</v>
      </c>
    </row>
    <row r="232" spans="1:11" s="274" customFormat="1" ht="12.75" customHeight="1" x14ac:dyDescent="0.4">
      <c r="A232" s="1681">
        <v>8901</v>
      </c>
      <c r="B232" s="1636" t="s">
        <v>254</v>
      </c>
      <c r="C232" s="2192">
        <v>0</v>
      </c>
      <c r="D232" s="1052">
        <f t="shared" ref="D232:K232" si="24">SUM(D233:D233)</f>
        <v>0</v>
      </c>
      <c r="E232" s="2193">
        <v>0</v>
      </c>
      <c r="F232" s="2194">
        <v>-3000000</v>
      </c>
      <c r="G232" s="1868">
        <v>-2157287.06</v>
      </c>
      <c r="H232" s="1556">
        <f t="shared" si="24"/>
        <v>-2181446.38</v>
      </c>
      <c r="I232" s="1052">
        <f t="shared" si="24"/>
        <v>0</v>
      </c>
      <c r="J232" s="718">
        <f t="shared" si="24"/>
        <v>0</v>
      </c>
      <c r="K232" s="884">
        <f t="shared" si="24"/>
        <v>0</v>
      </c>
    </row>
    <row r="233" spans="1:11" s="276" customFormat="1" ht="12.75" customHeight="1" x14ac:dyDescent="0.35">
      <c r="A233" s="1643"/>
      <c r="B233" s="1682" t="s">
        <v>1656</v>
      </c>
      <c r="C233" s="1602"/>
      <c r="D233" s="1580">
        <v>0</v>
      </c>
      <c r="E233" s="1575"/>
      <c r="F233" s="1581"/>
      <c r="G233" s="1868"/>
      <c r="H233" s="1683">
        <v>-2181446.38</v>
      </c>
      <c r="I233" s="1602"/>
      <c r="J233" s="1069">
        <v>0</v>
      </c>
      <c r="K233" s="1309">
        <v>0</v>
      </c>
    </row>
    <row r="234" spans="1:11" ht="13.5" thickBot="1" x14ac:dyDescent="0.25">
      <c r="A234" s="1685"/>
      <c r="B234" s="1686"/>
      <c r="C234" s="1687"/>
      <c r="D234" s="1688"/>
      <c r="E234" s="1688"/>
      <c r="F234" s="1689"/>
      <c r="G234" s="1690"/>
      <c r="H234" s="1690"/>
      <c r="I234" s="1742"/>
      <c r="J234" s="743"/>
      <c r="K234" s="1310"/>
    </row>
    <row r="235" spans="1:11" s="283" customFormat="1" ht="27" thickBot="1" x14ac:dyDescent="0.45">
      <c r="A235" s="1691"/>
      <c r="B235" s="1692" t="s">
        <v>15</v>
      </c>
      <c r="C235" s="1693">
        <f t="shared" ref="C235:K235" si="25">SUM(C226+C228)</f>
        <v>1000477597.1999998</v>
      </c>
      <c r="D235" s="1694">
        <f t="shared" si="25"/>
        <v>1033937301.1500001</v>
      </c>
      <c r="E235" s="1695">
        <f t="shared" si="25"/>
        <v>1021034486.3599999</v>
      </c>
      <c r="F235" s="1694">
        <f t="shared" si="25"/>
        <v>929974427.9375</v>
      </c>
      <c r="G235" s="1695">
        <f t="shared" si="25"/>
        <v>706320288.64999998</v>
      </c>
      <c r="H235" s="1695">
        <f t="shared" si="25"/>
        <v>642092568.27999997</v>
      </c>
      <c r="I235" s="1869">
        <f t="shared" si="25"/>
        <v>1012540563.0025001</v>
      </c>
      <c r="J235" s="1311">
        <f t="shared" si="25"/>
        <v>744310615.04999995</v>
      </c>
      <c r="K235" s="1311">
        <f t="shared" si="25"/>
        <v>757787352.04999995</v>
      </c>
    </row>
    <row r="236" spans="1:11" s="116" customFormat="1" ht="36" customHeight="1" thickBot="1" x14ac:dyDescent="0.35">
      <c r="A236" s="1696"/>
      <c r="B236" s="1697" t="s">
        <v>257</v>
      </c>
      <c r="C236" s="1698"/>
      <c r="D236" s="1699"/>
      <c r="E236" s="1700"/>
      <c r="F236" s="1701"/>
      <c r="G236" s="1702"/>
      <c r="H236" s="1703"/>
      <c r="I236" s="1704"/>
      <c r="J236" s="1317"/>
      <c r="K236" s="1312"/>
    </row>
    <row r="237" spans="1:11" ht="21" thickBot="1" x14ac:dyDescent="0.35">
      <c r="A237" s="1705"/>
      <c r="B237" s="1697" t="s">
        <v>258</v>
      </c>
      <c r="C237" s="1706">
        <f t="shared" ref="C237:K237" si="26">C238+C253+C285+C295</f>
        <v>75934044.200000003</v>
      </c>
      <c r="D237" s="1707">
        <f t="shared" si="26"/>
        <v>75799081.200000003</v>
      </c>
      <c r="E237" s="1707">
        <f t="shared" si="26"/>
        <v>76799081.200000003</v>
      </c>
      <c r="F237" s="1707">
        <f t="shared" si="26"/>
        <v>62587532.750000007</v>
      </c>
      <c r="G237" s="1707">
        <f t="shared" si="26"/>
        <v>42692858.440000005</v>
      </c>
      <c r="H237" s="1708" t="e">
        <f t="shared" si="26"/>
        <v>#REF!</v>
      </c>
      <c r="I237" s="1709">
        <f t="shared" si="26"/>
        <v>90523182</v>
      </c>
      <c r="J237" s="1313" t="e">
        <f t="shared" si="26"/>
        <v>#REF!</v>
      </c>
      <c r="K237" s="1313" t="e">
        <f t="shared" si="26"/>
        <v>#REF!</v>
      </c>
    </row>
    <row r="238" spans="1:11" ht="16.5" thickBot="1" x14ac:dyDescent="0.25">
      <c r="A238" s="1993"/>
      <c r="B238" s="1994" t="s">
        <v>259</v>
      </c>
      <c r="C238" s="1995">
        <f>SUM(C239+C245+C250)</f>
        <v>2095000</v>
      </c>
      <c r="D238" s="1710">
        <f t="shared" ref="D238:I238" si="27">SUM(D239+D245+D250)</f>
        <v>2337676</v>
      </c>
      <c r="E238" s="1710">
        <f t="shared" si="27"/>
        <v>2337676</v>
      </c>
      <c r="F238" s="1710">
        <f t="shared" si="27"/>
        <v>2204436</v>
      </c>
      <c r="G238" s="1710">
        <f t="shared" si="27"/>
        <v>1043347.25</v>
      </c>
      <c r="H238" s="1996">
        <f t="shared" si="27"/>
        <v>888998.98</v>
      </c>
      <c r="I238" s="1995">
        <f t="shared" si="27"/>
        <v>3825000</v>
      </c>
      <c r="J238" s="1314">
        <f t="shared" ref="J238:K238" si="28">SUM(J239+J245+J250)</f>
        <v>0</v>
      </c>
      <c r="K238" s="1314">
        <f t="shared" si="28"/>
        <v>0</v>
      </c>
    </row>
    <row r="239" spans="1:11" x14ac:dyDescent="0.2">
      <c r="A239" s="1997">
        <v>2310</v>
      </c>
      <c r="B239" s="1998" t="s">
        <v>1354</v>
      </c>
      <c r="C239" s="1999">
        <f t="shared" ref="C239:I239" si="29">SUM(C240:C244)</f>
        <v>315000</v>
      </c>
      <c r="D239" s="1999">
        <f t="shared" si="29"/>
        <v>315000</v>
      </c>
      <c r="E239" s="1999">
        <f t="shared" si="29"/>
        <v>315000</v>
      </c>
      <c r="F239" s="1999">
        <f t="shared" si="29"/>
        <v>201760</v>
      </c>
      <c r="G239" s="1999">
        <f t="shared" si="29"/>
        <v>77466</v>
      </c>
      <c r="H239" s="1711">
        <f t="shared" si="29"/>
        <v>77466</v>
      </c>
      <c r="I239" s="1999">
        <f t="shared" si="29"/>
        <v>1865000</v>
      </c>
      <c r="J239" s="1388">
        <f t="shared" ref="J239:K239" si="30">SUM(J240:J244)</f>
        <v>0</v>
      </c>
      <c r="K239" s="1315">
        <f t="shared" si="30"/>
        <v>0</v>
      </c>
    </row>
    <row r="240" spans="1:11" x14ac:dyDescent="0.2">
      <c r="A240" s="1712" t="s">
        <v>261</v>
      </c>
      <c r="B240" s="1547" t="s">
        <v>262</v>
      </c>
      <c r="C240" s="2000">
        <v>15000</v>
      </c>
      <c r="D240" s="1549">
        <v>1760</v>
      </c>
      <c r="E240" s="1549">
        <v>1760</v>
      </c>
      <c r="F240" s="1549">
        <v>1760</v>
      </c>
      <c r="G240" s="1546">
        <v>0</v>
      </c>
      <c r="H240" s="1546">
        <v>0</v>
      </c>
      <c r="I240" s="2000">
        <v>15000</v>
      </c>
      <c r="J240" s="1094"/>
      <c r="K240" s="1094"/>
    </row>
    <row r="241" spans="1:11" x14ac:dyDescent="0.2">
      <c r="A241" s="1712" t="s">
        <v>263</v>
      </c>
      <c r="B241" s="1547" t="s">
        <v>1542</v>
      </c>
      <c r="C241" s="2000">
        <v>150000</v>
      </c>
      <c r="D241" s="1560">
        <v>150000</v>
      </c>
      <c r="E241" s="1560">
        <v>208821</v>
      </c>
      <c r="F241" s="1549">
        <v>150000</v>
      </c>
      <c r="G241" s="1546">
        <v>64226</v>
      </c>
      <c r="H241" s="1546">
        <v>64226</v>
      </c>
      <c r="I241" s="2000">
        <v>200000</v>
      </c>
      <c r="J241" s="1094"/>
      <c r="K241" s="1094"/>
    </row>
    <row r="242" spans="1:11" x14ac:dyDescent="0.2">
      <c r="A242" s="1712" t="s">
        <v>265</v>
      </c>
      <c r="B242" s="1547" t="s">
        <v>1518</v>
      </c>
      <c r="C242" s="2000">
        <v>150000</v>
      </c>
      <c r="D242" s="1549">
        <v>150000</v>
      </c>
      <c r="E242" s="2001">
        <v>91179</v>
      </c>
      <c r="F242" s="2001">
        <v>50000</v>
      </c>
      <c r="G242" s="2002">
        <v>0</v>
      </c>
      <c r="H242" s="2002">
        <v>0</v>
      </c>
      <c r="I242" s="2000">
        <v>150000</v>
      </c>
      <c r="J242" s="1094"/>
      <c r="K242" s="1094"/>
    </row>
    <row r="243" spans="1:11" x14ac:dyDescent="0.2">
      <c r="A243" s="1712" t="s">
        <v>1519</v>
      </c>
      <c r="B243" s="1547" t="s">
        <v>1520</v>
      </c>
      <c r="C243" s="2000">
        <v>0</v>
      </c>
      <c r="D243" s="1549">
        <v>0</v>
      </c>
      <c r="E243" s="2001">
        <v>0</v>
      </c>
      <c r="F243" s="2001">
        <v>0</v>
      </c>
      <c r="G243" s="2002">
        <v>0</v>
      </c>
      <c r="H243" s="2002">
        <v>0</v>
      </c>
      <c r="I243" s="2000">
        <v>1500000</v>
      </c>
      <c r="J243" s="1094"/>
      <c r="K243" s="1094"/>
    </row>
    <row r="244" spans="1:11" x14ac:dyDescent="0.2">
      <c r="A244" s="1712" t="s">
        <v>1521</v>
      </c>
      <c r="B244" s="1547" t="s">
        <v>1522</v>
      </c>
      <c r="C244" s="2000">
        <v>0</v>
      </c>
      <c r="D244" s="1549">
        <v>13240</v>
      </c>
      <c r="E244" s="2001">
        <v>13240</v>
      </c>
      <c r="F244" s="2001">
        <v>0</v>
      </c>
      <c r="G244" s="2002">
        <v>13240</v>
      </c>
      <c r="H244" s="2002">
        <v>13240</v>
      </c>
      <c r="I244" s="2000">
        <v>0</v>
      </c>
      <c r="J244" s="1094"/>
      <c r="K244" s="1094"/>
    </row>
    <row r="245" spans="1:11" x14ac:dyDescent="0.2">
      <c r="A245" s="1555">
        <v>2321</v>
      </c>
      <c r="B245" s="1194" t="s">
        <v>1355</v>
      </c>
      <c r="C245" s="1052">
        <f>SUM(C246:C249)</f>
        <v>1600000</v>
      </c>
      <c r="D245" s="1551">
        <f>SUM(D246+D247+D248+D249)</f>
        <v>1842676</v>
      </c>
      <c r="E245" s="1551">
        <f>SUM(E246+E247+E248+E249)</f>
        <v>1842676</v>
      </c>
      <c r="F245" s="1551">
        <f>SUM(F246+F247+F248+F249)</f>
        <v>1842676</v>
      </c>
      <c r="G245" s="1551">
        <f>SUM(G246+G247+G248+G249)</f>
        <v>965881.25</v>
      </c>
      <c r="H245" s="1183">
        <f>SUM(H246:H249)</f>
        <v>811532.98</v>
      </c>
      <c r="I245" s="1052">
        <f>SUM(I246:I249)</f>
        <v>1800000</v>
      </c>
      <c r="J245" s="718">
        <f>SUM(J246:J249)</f>
        <v>0</v>
      </c>
      <c r="K245" s="884">
        <f>SUM(K246:K249)</f>
        <v>0</v>
      </c>
    </row>
    <row r="246" spans="1:11" x14ac:dyDescent="0.2">
      <c r="A246" s="1712" t="s">
        <v>268</v>
      </c>
      <c r="B246" s="1547" t="s">
        <v>269</v>
      </c>
      <c r="C246" s="2000">
        <v>200000</v>
      </c>
      <c r="D246" s="1549">
        <v>200000</v>
      </c>
      <c r="E246" s="1549">
        <v>200000</v>
      </c>
      <c r="F246" s="1549">
        <v>200000</v>
      </c>
      <c r="G246" s="1546">
        <v>187850</v>
      </c>
      <c r="H246" s="1546">
        <v>124545</v>
      </c>
      <c r="I246" s="2000">
        <v>200000</v>
      </c>
      <c r="J246" s="1090"/>
      <c r="K246" s="1094"/>
    </row>
    <row r="247" spans="1:11" s="2" customFormat="1" x14ac:dyDescent="0.2">
      <c r="A247" s="1712" t="s">
        <v>270</v>
      </c>
      <c r="B247" s="1547" t="s">
        <v>1523</v>
      </c>
      <c r="C247" s="2000">
        <v>500000</v>
      </c>
      <c r="D247" s="1549">
        <v>842676</v>
      </c>
      <c r="E247" s="1549">
        <v>842676</v>
      </c>
      <c r="F247" s="1549">
        <v>842676</v>
      </c>
      <c r="G247" s="1546">
        <v>406940.98</v>
      </c>
      <c r="H247" s="1546">
        <v>409995.18</v>
      </c>
      <c r="I247" s="2000">
        <v>800000</v>
      </c>
      <c r="J247" s="1090"/>
      <c r="K247" s="1094"/>
    </row>
    <row r="248" spans="1:11" x14ac:dyDescent="0.2">
      <c r="A248" s="1712" t="s">
        <v>270</v>
      </c>
      <c r="B248" s="1547" t="s">
        <v>1524</v>
      </c>
      <c r="C248" s="2000">
        <v>700000</v>
      </c>
      <c r="D248" s="1549">
        <v>600000</v>
      </c>
      <c r="E248" s="1549">
        <v>600000</v>
      </c>
      <c r="F248" s="1549">
        <v>600000</v>
      </c>
      <c r="G248" s="1546">
        <v>371090.27</v>
      </c>
      <c r="H248" s="1546">
        <v>276992.8</v>
      </c>
      <c r="I248" s="2000">
        <v>600000</v>
      </c>
      <c r="J248" s="1090"/>
      <c r="K248" s="1094"/>
    </row>
    <row r="249" spans="1:11" x14ac:dyDescent="0.2">
      <c r="A249" s="1712" t="s">
        <v>272</v>
      </c>
      <c r="B249" s="1553" t="s">
        <v>1356</v>
      </c>
      <c r="C249" s="2000">
        <v>200000</v>
      </c>
      <c r="D249" s="1549">
        <v>200000</v>
      </c>
      <c r="E249" s="1549">
        <v>200000</v>
      </c>
      <c r="F249" s="1713">
        <v>200000</v>
      </c>
      <c r="G249" s="1714">
        <v>0</v>
      </c>
      <c r="H249" s="1546">
        <v>0</v>
      </c>
      <c r="I249" s="2000">
        <v>200000</v>
      </c>
      <c r="J249" s="1090"/>
      <c r="K249" s="1094"/>
    </row>
    <row r="250" spans="1:11" x14ac:dyDescent="0.2">
      <c r="A250" s="2003">
        <v>2333</v>
      </c>
      <c r="B250" s="2004" t="s">
        <v>1357</v>
      </c>
      <c r="C250" s="1715">
        <f t="shared" ref="C250:I250" si="31">SUM(C251:C252)</f>
        <v>180000</v>
      </c>
      <c r="D250" s="1716">
        <f t="shared" si="31"/>
        <v>180000</v>
      </c>
      <c r="E250" s="1716">
        <f t="shared" si="31"/>
        <v>180000</v>
      </c>
      <c r="F250" s="1716">
        <f t="shared" si="31"/>
        <v>160000</v>
      </c>
      <c r="G250" s="1716">
        <f t="shared" si="31"/>
        <v>0</v>
      </c>
      <c r="H250" s="1717">
        <f t="shared" si="31"/>
        <v>0</v>
      </c>
      <c r="I250" s="1715">
        <f t="shared" si="31"/>
        <v>160000</v>
      </c>
      <c r="J250" s="946">
        <f t="shared" ref="J250:K250" si="32">SUM(J251:J252)</f>
        <v>0</v>
      </c>
      <c r="K250" s="1316">
        <f t="shared" si="32"/>
        <v>0</v>
      </c>
    </row>
    <row r="251" spans="1:11" x14ac:dyDescent="0.2">
      <c r="A251" s="1712" t="s">
        <v>276</v>
      </c>
      <c r="B251" s="1547" t="s">
        <v>1025</v>
      </c>
      <c r="C251" s="2000">
        <v>80000</v>
      </c>
      <c r="D251" s="1549">
        <v>80000</v>
      </c>
      <c r="E251" s="1549">
        <v>80000</v>
      </c>
      <c r="F251" s="1549">
        <v>60000</v>
      </c>
      <c r="G251" s="1546">
        <v>0</v>
      </c>
      <c r="H251" s="1546">
        <v>0</v>
      </c>
      <c r="I251" s="2000">
        <v>80000</v>
      </c>
      <c r="J251" s="1090"/>
      <c r="K251" s="1094"/>
    </row>
    <row r="252" spans="1:11" ht="13.5" thickBot="1" x14ac:dyDescent="0.25">
      <c r="A252" s="1712" t="s">
        <v>278</v>
      </c>
      <c r="B252" s="1547" t="s">
        <v>1026</v>
      </c>
      <c r="C252" s="1416">
        <v>100000</v>
      </c>
      <c r="D252" s="1718">
        <v>100000</v>
      </c>
      <c r="E252" s="1718">
        <v>100000</v>
      </c>
      <c r="F252" s="1581">
        <v>100000</v>
      </c>
      <c r="G252" s="1683">
        <v>0</v>
      </c>
      <c r="H252" s="1683">
        <v>0</v>
      </c>
      <c r="I252" s="1416">
        <v>80000</v>
      </c>
      <c r="J252" s="735"/>
      <c r="K252" s="1317"/>
    </row>
    <row r="253" spans="1:11" s="116" customFormat="1" ht="16.5" thickBot="1" x14ac:dyDescent="0.3">
      <c r="A253" s="2005"/>
      <c r="B253" s="2006" t="s">
        <v>279</v>
      </c>
      <c r="C253" s="1720">
        <f t="shared" ref="C253:K253" si="33">SUM(C254+C270+C280)</f>
        <v>47752000</v>
      </c>
      <c r="D253" s="2007">
        <f t="shared" si="33"/>
        <v>46711687.310000002</v>
      </c>
      <c r="E253" s="2007">
        <f t="shared" si="33"/>
        <v>47311687.310000002</v>
      </c>
      <c r="F253" s="1719">
        <f t="shared" si="33"/>
        <v>36423061.900000006</v>
      </c>
      <c r="G253" s="2007">
        <f t="shared" si="33"/>
        <v>27451419.290000003</v>
      </c>
      <c r="H253" s="2008" t="e">
        <f t="shared" si="33"/>
        <v>#REF!</v>
      </c>
      <c r="I253" s="1720">
        <f t="shared" si="33"/>
        <v>54135000</v>
      </c>
      <c r="J253" s="1251" t="e">
        <f t="shared" si="33"/>
        <v>#REF!</v>
      </c>
      <c r="K253" s="1318" t="e">
        <f t="shared" si="33"/>
        <v>#REF!</v>
      </c>
    </row>
    <row r="254" spans="1:11" s="116" customFormat="1" x14ac:dyDescent="0.2">
      <c r="A254" s="1612">
        <v>2212</v>
      </c>
      <c r="B254" s="1998" t="s">
        <v>1358</v>
      </c>
      <c r="C254" s="2009">
        <f t="shared" ref="C254:I254" si="34">SUM(C256:C269)</f>
        <v>45642000</v>
      </c>
      <c r="D254" s="1721">
        <f t="shared" si="34"/>
        <v>46003673</v>
      </c>
      <c r="E254" s="1721">
        <f t="shared" si="34"/>
        <v>45903673</v>
      </c>
      <c r="F254" s="1721">
        <f t="shared" si="34"/>
        <v>35066673</v>
      </c>
      <c r="G254" s="1745">
        <f t="shared" si="34"/>
        <v>26686874.23</v>
      </c>
      <c r="H254" s="2010">
        <f t="shared" si="34"/>
        <v>20742619.800000001</v>
      </c>
      <c r="I254" s="2009">
        <f t="shared" si="34"/>
        <v>51195000</v>
      </c>
      <c r="J254" s="1389">
        <f>SUM(J256:J269)</f>
        <v>0</v>
      </c>
      <c r="K254" s="1319">
        <f>SUM(K256:K269)</f>
        <v>0</v>
      </c>
    </row>
    <row r="255" spans="1:11" s="2" customFormat="1" x14ac:dyDescent="0.2">
      <c r="A255" s="1639"/>
      <c r="B255" s="2011" t="s">
        <v>1096</v>
      </c>
      <c r="C255" s="1572">
        <f>SUM(C256:C259)</f>
        <v>11467000</v>
      </c>
      <c r="D255" s="1572">
        <f>SUM(D256:D259)</f>
        <v>11467000</v>
      </c>
      <c r="E255" s="1572">
        <f>SUM(E256:E259)</f>
        <v>11467000</v>
      </c>
      <c r="F255" s="1642">
        <f>SUM(F256:F259)</f>
        <v>830000</v>
      </c>
      <c r="G255" s="1572">
        <f>SUM(G256:G259)</f>
        <v>0</v>
      </c>
      <c r="H255" s="1176">
        <f t="shared" ref="H255:I255" si="35">SUM(H256:H259)</f>
        <v>0</v>
      </c>
      <c r="I255" s="1572">
        <f t="shared" si="35"/>
        <v>12550000</v>
      </c>
      <c r="J255" s="733"/>
      <c r="K255" s="1276"/>
    </row>
    <row r="256" spans="1:11" s="116" customFormat="1" x14ac:dyDescent="0.2">
      <c r="A256" s="1712" t="s">
        <v>282</v>
      </c>
      <c r="B256" s="2012" t="s">
        <v>1149</v>
      </c>
      <c r="C256" s="2000">
        <v>30000</v>
      </c>
      <c r="D256" s="1642">
        <v>30000</v>
      </c>
      <c r="E256" s="1642">
        <v>30000</v>
      </c>
      <c r="F256" s="1723">
        <v>30000</v>
      </c>
      <c r="G256" s="1597">
        <v>0</v>
      </c>
      <c r="H256" s="1176">
        <v>0</v>
      </c>
      <c r="I256" s="2000">
        <v>0</v>
      </c>
      <c r="J256" s="1090"/>
      <c r="K256" s="1094"/>
    </row>
    <row r="257" spans="1:11" s="116" customFormat="1" x14ac:dyDescent="0.2">
      <c r="A257" s="1712" t="s">
        <v>282</v>
      </c>
      <c r="B257" s="2012" t="s">
        <v>1150</v>
      </c>
      <c r="C257" s="2000">
        <v>10637000</v>
      </c>
      <c r="D257" s="1642">
        <v>10637000</v>
      </c>
      <c r="E257" s="1642">
        <v>10637000</v>
      </c>
      <c r="F257" s="1723">
        <v>0</v>
      </c>
      <c r="G257" s="1597">
        <v>0</v>
      </c>
      <c r="H257" s="1176">
        <v>0</v>
      </c>
      <c r="I257" s="2000">
        <v>10750000</v>
      </c>
      <c r="J257" s="1090"/>
      <c r="K257" s="1094"/>
    </row>
    <row r="258" spans="1:11" s="116" customFormat="1" ht="25.5" x14ac:dyDescent="0.2">
      <c r="A258" s="1712" t="s">
        <v>282</v>
      </c>
      <c r="B258" s="2133" t="s">
        <v>1970</v>
      </c>
      <c r="C258" s="2000">
        <v>0</v>
      </c>
      <c r="D258" s="1642">
        <v>0</v>
      </c>
      <c r="E258" s="1642">
        <v>0</v>
      </c>
      <c r="F258" s="1723">
        <v>0</v>
      </c>
      <c r="G258" s="1597">
        <v>0</v>
      </c>
      <c r="H258" s="1176">
        <v>0</v>
      </c>
      <c r="I258" s="2000">
        <f>2200000-400000</f>
        <v>1800000</v>
      </c>
      <c r="J258" s="1090"/>
      <c r="K258" s="1094"/>
    </row>
    <row r="259" spans="1:11" s="116" customFormat="1" x14ac:dyDescent="0.2">
      <c r="A259" s="1712" t="s">
        <v>282</v>
      </c>
      <c r="B259" s="2012" t="s">
        <v>1151</v>
      </c>
      <c r="C259" s="2000">
        <v>800000</v>
      </c>
      <c r="D259" s="1642">
        <v>800000</v>
      </c>
      <c r="E259" s="1642">
        <v>800000</v>
      </c>
      <c r="F259" s="1723">
        <v>800000</v>
      </c>
      <c r="G259" s="1597">
        <v>0</v>
      </c>
      <c r="H259" s="1176">
        <v>0</v>
      </c>
      <c r="I259" s="2000">
        <v>0</v>
      </c>
      <c r="J259" s="1090"/>
      <c r="K259" s="1094"/>
    </row>
    <row r="260" spans="1:11" s="116" customFormat="1" x14ac:dyDescent="0.2">
      <c r="A260" s="1712" t="s">
        <v>286</v>
      </c>
      <c r="B260" s="1547" t="s">
        <v>1095</v>
      </c>
      <c r="C260" s="2000">
        <v>4440000</v>
      </c>
      <c r="D260" s="2013">
        <v>4440000</v>
      </c>
      <c r="E260" s="2013">
        <v>4440000</v>
      </c>
      <c r="F260" s="1723">
        <v>4440000</v>
      </c>
      <c r="G260" s="1597">
        <v>4440000</v>
      </c>
      <c r="H260" s="1176">
        <v>3330000</v>
      </c>
      <c r="I260" s="2000">
        <v>4600000</v>
      </c>
      <c r="J260" s="1090"/>
      <c r="K260" s="1094"/>
    </row>
    <row r="261" spans="1:11" s="116" customFormat="1" x14ac:dyDescent="0.2">
      <c r="A261" s="1712" t="s">
        <v>286</v>
      </c>
      <c r="B261" s="1547" t="s">
        <v>1359</v>
      </c>
      <c r="C261" s="2000">
        <v>23730000</v>
      </c>
      <c r="D261" s="1684">
        <v>23730000</v>
      </c>
      <c r="E261" s="1684">
        <v>23730000</v>
      </c>
      <c r="F261" s="1723">
        <v>23730000</v>
      </c>
      <c r="G261" s="1597">
        <v>19775000</v>
      </c>
      <c r="H261" s="1176">
        <v>15820000</v>
      </c>
      <c r="I261" s="2000">
        <v>24695000</v>
      </c>
      <c r="J261" s="1090"/>
      <c r="K261" s="1094"/>
    </row>
    <row r="262" spans="1:11" s="116" customFormat="1" x14ac:dyDescent="0.2">
      <c r="A262" s="1712" t="s">
        <v>291</v>
      </c>
      <c r="B262" s="1547" t="s">
        <v>1525</v>
      </c>
      <c r="C262" s="2000">
        <v>2000000</v>
      </c>
      <c r="D262" s="1642">
        <v>2061673</v>
      </c>
      <c r="E262" s="1642">
        <v>1961673</v>
      </c>
      <c r="F262" s="1723">
        <v>2061673</v>
      </c>
      <c r="G262" s="1597">
        <v>558159.91</v>
      </c>
      <c r="H262" s="1176">
        <v>375680.8</v>
      </c>
      <c r="I262" s="2014">
        <v>2000000</v>
      </c>
      <c r="J262" s="1117"/>
      <c r="K262" s="1320"/>
    </row>
    <row r="263" spans="1:11" s="116" customFormat="1" x14ac:dyDescent="0.2">
      <c r="A263" s="1712" t="s">
        <v>1699</v>
      </c>
      <c r="B263" s="1547" t="s">
        <v>1152</v>
      </c>
      <c r="C263" s="2000">
        <v>1000000</v>
      </c>
      <c r="D263" s="1642">
        <v>1800000</v>
      </c>
      <c r="E263" s="1642">
        <v>2100000</v>
      </c>
      <c r="F263" s="1723">
        <v>1800000</v>
      </c>
      <c r="G263" s="1597">
        <v>556536.31999999995</v>
      </c>
      <c r="H263" s="1176">
        <v>117370</v>
      </c>
      <c r="I263" s="2014">
        <v>3700000</v>
      </c>
      <c r="J263" s="1117"/>
      <c r="K263" s="1320"/>
    </row>
    <row r="264" spans="1:11" s="116" customFormat="1" x14ac:dyDescent="0.2">
      <c r="A264" s="1712" t="s">
        <v>291</v>
      </c>
      <c r="B264" s="1547" t="s">
        <v>1526</v>
      </c>
      <c r="C264" s="2000">
        <v>0</v>
      </c>
      <c r="D264" s="1684">
        <v>0</v>
      </c>
      <c r="E264" s="1684">
        <v>0</v>
      </c>
      <c r="F264" s="1724">
        <v>0</v>
      </c>
      <c r="G264" s="1634">
        <v>0</v>
      </c>
      <c r="H264" s="1176">
        <v>0</v>
      </c>
      <c r="I264" s="2014">
        <v>820000</v>
      </c>
      <c r="J264" s="1117"/>
      <c r="K264" s="1320"/>
    </row>
    <row r="265" spans="1:11" s="116" customFormat="1" x14ac:dyDescent="0.2">
      <c r="A265" s="1712" t="s">
        <v>293</v>
      </c>
      <c r="B265" s="1547" t="s">
        <v>1709</v>
      </c>
      <c r="C265" s="2000">
        <v>2050000</v>
      </c>
      <c r="D265" s="1684">
        <v>1550000</v>
      </c>
      <c r="E265" s="1684">
        <v>700000</v>
      </c>
      <c r="F265" s="1724">
        <v>700000</v>
      </c>
      <c r="G265" s="1895">
        <v>189987</v>
      </c>
      <c r="H265" s="1176">
        <v>144569</v>
      </c>
      <c r="I265" s="2014">
        <f>1230000+800000</f>
        <v>2030000</v>
      </c>
      <c r="J265" s="1117"/>
      <c r="K265" s="1320"/>
    </row>
    <row r="266" spans="1:11" s="116" customFormat="1" x14ac:dyDescent="0.2">
      <c r="A266" s="1712" t="s">
        <v>1700</v>
      </c>
      <c r="B266" s="1547" t="s">
        <v>1527</v>
      </c>
      <c r="C266" s="2000">
        <v>350000</v>
      </c>
      <c r="D266" s="1653">
        <v>350000</v>
      </c>
      <c r="E266" s="1653">
        <v>900000</v>
      </c>
      <c r="F266" s="1725">
        <v>900000</v>
      </c>
      <c r="G266" s="2015">
        <v>562191</v>
      </c>
      <c r="H266" s="1430">
        <v>350000</v>
      </c>
      <c r="I266" s="2014">
        <v>450000</v>
      </c>
      <c r="J266" s="1117"/>
      <c r="K266" s="1320"/>
    </row>
    <row r="267" spans="1:11" s="116" customFormat="1" x14ac:dyDescent="0.2">
      <c r="A267" s="1712" t="s">
        <v>1710</v>
      </c>
      <c r="B267" s="1547" t="s">
        <v>1711</v>
      </c>
      <c r="C267" s="2000">
        <v>0</v>
      </c>
      <c r="D267" s="1653">
        <v>0</v>
      </c>
      <c r="E267" s="1653">
        <v>0</v>
      </c>
      <c r="F267" s="1725">
        <v>0</v>
      </c>
      <c r="G267" s="2015">
        <v>0</v>
      </c>
      <c r="H267" s="1427">
        <v>0</v>
      </c>
      <c r="I267" s="2014">
        <v>130000</v>
      </c>
      <c r="J267" s="1117"/>
      <c r="K267" s="1320"/>
    </row>
    <row r="268" spans="1:11" s="116" customFormat="1" x14ac:dyDescent="0.2">
      <c r="A268" s="1712" t="s">
        <v>1712</v>
      </c>
      <c r="B268" s="1547" t="s">
        <v>1713</v>
      </c>
      <c r="C268" s="2000">
        <v>0</v>
      </c>
      <c r="D268" s="1653">
        <v>0</v>
      </c>
      <c r="E268" s="1653">
        <v>0</v>
      </c>
      <c r="F268" s="1725">
        <v>0</v>
      </c>
      <c r="G268" s="2015">
        <v>0</v>
      </c>
      <c r="H268" s="1427">
        <v>0</v>
      </c>
      <c r="I268" s="2014">
        <v>220000</v>
      </c>
      <c r="J268" s="1117"/>
      <c r="K268" s="1320"/>
    </row>
    <row r="269" spans="1:11" s="116" customFormat="1" x14ac:dyDescent="0.2">
      <c r="A269" s="1712" t="s">
        <v>1329</v>
      </c>
      <c r="B269" s="1547" t="s">
        <v>1360</v>
      </c>
      <c r="C269" s="2000">
        <v>605000</v>
      </c>
      <c r="D269" s="1653">
        <v>605000</v>
      </c>
      <c r="E269" s="1653">
        <v>605000</v>
      </c>
      <c r="F269" s="1725">
        <v>605000</v>
      </c>
      <c r="G269" s="2015">
        <v>605000</v>
      </c>
      <c r="H269" s="1427">
        <v>605000</v>
      </c>
      <c r="I269" s="2014">
        <v>0</v>
      </c>
      <c r="J269" s="1117"/>
      <c r="K269" s="1320"/>
    </row>
    <row r="270" spans="1:11" s="116" customFormat="1" x14ac:dyDescent="0.2">
      <c r="A270" s="1555">
        <v>2219</v>
      </c>
      <c r="B270" s="1194" t="s">
        <v>1361</v>
      </c>
      <c r="C270" s="1052">
        <f>SUM(C271+C278+C279+C277)</f>
        <v>1960000</v>
      </c>
      <c r="D270" s="1052">
        <f>SUM(D271+D278+D279+D277)</f>
        <v>480785.88</v>
      </c>
      <c r="E270" s="1052">
        <f>SUM(E271+E278+E279+E277)</f>
        <v>1256890.31</v>
      </c>
      <c r="F270" s="1052">
        <f>SUM(F271+F278+F279+F277)</f>
        <v>1246890.31</v>
      </c>
      <c r="G270" s="1052">
        <f>SUM(G271+G278+G279+G277)</f>
        <v>715040.33000000007</v>
      </c>
      <c r="H270" s="1045" t="e">
        <f>SUM(H271+#REF!+H278+H279+H277)</f>
        <v>#REF!</v>
      </c>
      <c r="I270" s="1052">
        <f>SUM(I271+I278+I279+I277)</f>
        <v>2790000</v>
      </c>
      <c r="J270" s="718" t="e">
        <f>SUM(J271+#REF!+J278+J279+J277)</f>
        <v>#REF!</v>
      </c>
      <c r="K270" s="884" t="e">
        <f>SUM(K271+#REF!+K278+K279+K277)</f>
        <v>#REF!</v>
      </c>
    </row>
    <row r="271" spans="1:11" s="116" customFormat="1" x14ac:dyDescent="0.2">
      <c r="A271" s="1639"/>
      <c r="B271" s="2011" t="s">
        <v>281</v>
      </c>
      <c r="C271" s="1572">
        <f>SUM(C272:C276)</f>
        <v>1300000</v>
      </c>
      <c r="D271" s="1572">
        <f t="shared" ref="D271:H271" si="36">SUM(D272:D272)</f>
        <v>0</v>
      </c>
      <c r="E271" s="1572">
        <f>SUM(E272:E276)</f>
        <v>603000</v>
      </c>
      <c r="F271" s="1572">
        <f>SUM(F272:F276)</f>
        <v>600000</v>
      </c>
      <c r="G271" s="1572">
        <f>SUM(G272:G276)</f>
        <v>415706.63</v>
      </c>
      <c r="H271" s="1176">
        <f t="shared" si="36"/>
        <v>0</v>
      </c>
      <c r="I271" s="1572">
        <f>SUM(I272:I276)</f>
        <v>1880000</v>
      </c>
      <c r="J271" s="733"/>
      <c r="K271" s="1276"/>
    </row>
    <row r="272" spans="1:11" s="116" customFormat="1" x14ac:dyDescent="0.2">
      <c r="A272" s="1712" t="s">
        <v>1027</v>
      </c>
      <c r="B272" s="1547" t="s">
        <v>1528</v>
      </c>
      <c r="C272" s="2000">
        <v>0</v>
      </c>
      <c r="D272" s="1642">
        <v>0</v>
      </c>
      <c r="E272" s="1642">
        <v>0</v>
      </c>
      <c r="F272" s="1723">
        <v>0</v>
      </c>
      <c r="G272" s="1597">
        <v>0</v>
      </c>
      <c r="H272" s="1176">
        <v>0</v>
      </c>
      <c r="I272" s="2000">
        <v>30000</v>
      </c>
      <c r="J272" s="1090"/>
      <c r="K272" s="1094"/>
    </row>
    <row r="273" spans="1:11" s="116" customFormat="1" x14ac:dyDescent="0.2">
      <c r="A273" s="1712" t="s">
        <v>1176</v>
      </c>
      <c r="B273" s="1726" t="s">
        <v>1529</v>
      </c>
      <c r="C273" s="2000">
        <v>0</v>
      </c>
      <c r="D273" s="1642">
        <v>0</v>
      </c>
      <c r="E273" s="1642">
        <v>0</v>
      </c>
      <c r="F273" s="1723">
        <v>0</v>
      </c>
      <c r="G273" s="1597">
        <v>0</v>
      </c>
      <c r="H273" s="1176">
        <v>0</v>
      </c>
      <c r="I273" s="2014">
        <v>1050000</v>
      </c>
      <c r="J273" s="1117"/>
      <c r="K273" s="1320"/>
    </row>
    <row r="274" spans="1:11" s="116" customFormat="1" x14ac:dyDescent="0.2">
      <c r="A274" s="1712" t="s">
        <v>477</v>
      </c>
      <c r="B274" s="1547" t="s">
        <v>1153</v>
      </c>
      <c r="C274" s="2000">
        <v>700000</v>
      </c>
      <c r="D274" s="1642">
        <v>0</v>
      </c>
      <c r="E274" s="1642">
        <v>3000</v>
      </c>
      <c r="F274" s="1723">
        <v>0</v>
      </c>
      <c r="G274" s="1597">
        <v>3000</v>
      </c>
      <c r="H274" s="1176">
        <v>0</v>
      </c>
      <c r="I274" s="2014">
        <v>700000</v>
      </c>
      <c r="J274" s="1117"/>
      <c r="K274" s="1320"/>
    </row>
    <row r="275" spans="1:11" s="116" customFormat="1" x14ac:dyDescent="0.2">
      <c r="A275" s="1712" t="s">
        <v>1180</v>
      </c>
      <c r="B275" s="1547" t="s">
        <v>1316</v>
      </c>
      <c r="C275" s="2000">
        <v>500000</v>
      </c>
      <c r="D275" s="1642">
        <v>500000</v>
      </c>
      <c r="E275" s="1642">
        <v>500000</v>
      </c>
      <c r="F275" s="1723">
        <v>500000</v>
      </c>
      <c r="G275" s="1597">
        <v>385844.63</v>
      </c>
      <c r="H275" s="1176">
        <v>0</v>
      </c>
      <c r="I275" s="2014">
        <v>0</v>
      </c>
      <c r="J275" s="1117"/>
      <c r="K275" s="1320"/>
    </row>
    <row r="276" spans="1:11" s="116" customFormat="1" x14ac:dyDescent="0.2">
      <c r="A276" s="1712" t="s">
        <v>501</v>
      </c>
      <c r="B276" s="1547" t="s">
        <v>1154</v>
      </c>
      <c r="C276" s="2000">
        <v>100000</v>
      </c>
      <c r="D276" s="1642">
        <v>100000</v>
      </c>
      <c r="E276" s="1642">
        <v>100000</v>
      </c>
      <c r="F276" s="1723">
        <v>100000</v>
      </c>
      <c r="G276" s="1597">
        <v>26862</v>
      </c>
      <c r="H276" s="1176">
        <v>0</v>
      </c>
      <c r="I276" s="2000">
        <v>100000</v>
      </c>
      <c r="J276" s="1090"/>
      <c r="K276" s="1094"/>
    </row>
    <row r="277" spans="1:11" s="116" customFormat="1" x14ac:dyDescent="0.2">
      <c r="A277" s="1712" t="s">
        <v>1028</v>
      </c>
      <c r="B277" s="1547" t="s">
        <v>1968</v>
      </c>
      <c r="C277" s="2000">
        <v>10000</v>
      </c>
      <c r="D277" s="1642">
        <v>10000</v>
      </c>
      <c r="E277" s="1642">
        <v>7000</v>
      </c>
      <c r="F277" s="1723">
        <v>0</v>
      </c>
      <c r="G277" s="1597">
        <v>0</v>
      </c>
      <c r="H277" s="1176">
        <v>0</v>
      </c>
      <c r="I277" s="2000">
        <v>10000</v>
      </c>
      <c r="J277" s="1090"/>
      <c r="K277" s="1094"/>
    </row>
    <row r="278" spans="1:11" x14ac:dyDescent="0.2">
      <c r="A278" s="1727" t="s">
        <v>299</v>
      </c>
      <c r="B278" s="1578" t="s">
        <v>1155</v>
      </c>
      <c r="C278" s="2000">
        <v>100000</v>
      </c>
      <c r="D278" s="1684">
        <v>100000</v>
      </c>
      <c r="E278" s="1684">
        <v>100000</v>
      </c>
      <c r="F278" s="1723">
        <v>100000</v>
      </c>
      <c r="G278" s="1597">
        <v>40000</v>
      </c>
      <c r="H278" s="1176">
        <v>40000</v>
      </c>
      <c r="I278" s="2000">
        <v>100000</v>
      </c>
      <c r="J278" s="1090"/>
      <c r="K278" s="1094"/>
    </row>
    <row r="279" spans="1:11" s="2" customFormat="1" x14ac:dyDescent="0.2">
      <c r="A279" s="1728" t="s">
        <v>301</v>
      </c>
      <c r="B279" s="1729" t="s">
        <v>1029</v>
      </c>
      <c r="C279" s="2016">
        <v>550000</v>
      </c>
      <c r="D279" s="1730">
        <v>370785.88</v>
      </c>
      <c r="E279" s="1730">
        <v>546890.31000000006</v>
      </c>
      <c r="F279" s="1731">
        <v>546890.31000000006</v>
      </c>
      <c r="G279" s="1732">
        <v>259333.7</v>
      </c>
      <c r="H279" s="1733">
        <v>87330</v>
      </c>
      <c r="I279" s="2016">
        <v>800000</v>
      </c>
      <c r="J279" s="1118"/>
      <c r="K279" s="1321"/>
    </row>
    <row r="280" spans="1:11" x14ac:dyDescent="0.2">
      <c r="A280" s="1555">
        <v>2221</v>
      </c>
      <c r="B280" s="1194" t="s">
        <v>1362</v>
      </c>
      <c r="C280" s="1052">
        <f>SUM(C282:C284)</f>
        <v>150000</v>
      </c>
      <c r="D280" s="1556">
        <f t="shared" ref="D280:I280" si="37">SUM(D282:D284)</f>
        <v>227228.43</v>
      </c>
      <c r="E280" s="1556">
        <f>SUM(E282:E284)</f>
        <v>151124</v>
      </c>
      <c r="F280" s="1556">
        <f t="shared" si="37"/>
        <v>109498.59</v>
      </c>
      <c r="G280" s="1052">
        <f t="shared" si="37"/>
        <v>49504.729999999996</v>
      </c>
      <c r="H280" s="1045">
        <f t="shared" si="37"/>
        <v>44785.729999999996</v>
      </c>
      <c r="I280" s="1052">
        <f t="shared" si="37"/>
        <v>150000</v>
      </c>
      <c r="J280" s="718">
        <f t="shared" ref="J280:K280" si="38">SUM(J282:J284)</f>
        <v>0</v>
      </c>
      <c r="K280" s="884">
        <f t="shared" si="38"/>
        <v>0</v>
      </c>
    </row>
    <row r="281" spans="1:11" x14ac:dyDescent="0.2">
      <c r="A281" s="1639"/>
      <c r="B281" s="2011" t="s">
        <v>281</v>
      </c>
      <c r="C281" s="1572">
        <f t="shared" ref="C281:I281" si="39">SUM(C282:C282)</f>
        <v>0</v>
      </c>
      <c r="D281" s="1572">
        <f t="shared" si="39"/>
        <v>105603.02</v>
      </c>
      <c r="E281" s="1572">
        <f t="shared" si="39"/>
        <v>29498.59</v>
      </c>
      <c r="F281" s="1642">
        <f t="shared" si="39"/>
        <v>29498.59</v>
      </c>
      <c r="G281" s="1572">
        <f t="shared" si="39"/>
        <v>29498.59</v>
      </c>
      <c r="H281" s="1176">
        <f t="shared" si="39"/>
        <v>29498.59</v>
      </c>
      <c r="I281" s="1572">
        <f t="shared" si="39"/>
        <v>0</v>
      </c>
      <c r="J281" s="733"/>
      <c r="K281" s="1276"/>
    </row>
    <row r="282" spans="1:11" x14ac:dyDescent="0.2">
      <c r="A282" s="1734" t="s">
        <v>1030</v>
      </c>
      <c r="B282" s="1567" t="s">
        <v>1031</v>
      </c>
      <c r="C282" s="2000">
        <v>0</v>
      </c>
      <c r="D282" s="1642">
        <v>105603.02</v>
      </c>
      <c r="E282" s="1430">
        <v>29498.59</v>
      </c>
      <c r="F282" s="1684">
        <v>29498.59</v>
      </c>
      <c r="G282" s="1602">
        <v>29498.59</v>
      </c>
      <c r="H282" s="1603">
        <v>29498.59</v>
      </c>
      <c r="I282" s="2000">
        <v>0</v>
      </c>
      <c r="J282" s="1090"/>
      <c r="K282" s="1094"/>
    </row>
    <row r="283" spans="1:11" x14ac:dyDescent="0.2">
      <c r="A283" s="2017" t="s">
        <v>308</v>
      </c>
      <c r="B283" s="2011" t="s">
        <v>1097</v>
      </c>
      <c r="C283" s="2000">
        <v>60000</v>
      </c>
      <c r="D283" s="2013">
        <v>30501.41</v>
      </c>
      <c r="E283" s="1429">
        <v>30501.41</v>
      </c>
      <c r="F283" s="1642">
        <v>30000</v>
      </c>
      <c r="G283" s="1572">
        <v>0</v>
      </c>
      <c r="H283" s="1176">
        <v>0</v>
      </c>
      <c r="I283" s="2000">
        <v>60000</v>
      </c>
      <c r="J283" s="1090"/>
      <c r="K283" s="1094"/>
    </row>
    <row r="284" spans="1:11" ht="13.5" thickBot="1" x14ac:dyDescent="0.25">
      <c r="A284" s="2017" t="s">
        <v>310</v>
      </c>
      <c r="B284" s="1735" t="s">
        <v>1098</v>
      </c>
      <c r="C284" s="2000">
        <v>90000</v>
      </c>
      <c r="D284" s="1657">
        <v>91124</v>
      </c>
      <c r="E284" s="1657">
        <v>91124</v>
      </c>
      <c r="F284" s="1684">
        <v>50000</v>
      </c>
      <c r="G284" s="1602">
        <v>20006.14</v>
      </c>
      <c r="H284" s="1603">
        <v>15287.14</v>
      </c>
      <c r="I284" s="2000">
        <v>90000</v>
      </c>
      <c r="J284" s="1090"/>
      <c r="K284" s="1094"/>
    </row>
    <row r="285" spans="1:11" ht="16.5" thickBot="1" x14ac:dyDescent="0.3">
      <c r="A285" s="2005"/>
      <c r="B285" s="2006" t="s">
        <v>312</v>
      </c>
      <c r="C285" s="1738">
        <f>C286</f>
        <v>1050000</v>
      </c>
      <c r="D285" s="1736">
        <f t="shared" ref="D285:I285" si="40">D286</f>
        <v>1050000</v>
      </c>
      <c r="E285" s="2018">
        <f t="shared" si="40"/>
        <v>1050000</v>
      </c>
      <c r="F285" s="2018">
        <f t="shared" si="40"/>
        <v>978000</v>
      </c>
      <c r="G285" s="1737">
        <f t="shared" si="40"/>
        <v>246594</v>
      </c>
      <c r="H285" s="2019">
        <f t="shared" si="40"/>
        <v>215857</v>
      </c>
      <c r="I285" s="1738">
        <f t="shared" si="40"/>
        <v>5110000</v>
      </c>
      <c r="J285" s="1390">
        <f t="shared" ref="J285:K285" si="41">J286</f>
        <v>0</v>
      </c>
      <c r="K285" s="1322">
        <f t="shared" si="41"/>
        <v>0</v>
      </c>
    </row>
    <row r="286" spans="1:11" x14ac:dyDescent="0.2">
      <c r="A286" s="1997">
        <v>3639</v>
      </c>
      <c r="B286" s="1998" t="s">
        <v>313</v>
      </c>
      <c r="C286" s="2009">
        <f t="shared" ref="C286:I286" si="42">SUM(C287:C294)</f>
        <v>1050000</v>
      </c>
      <c r="D286" s="2020">
        <f t="shared" si="42"/>
        <v>1050000</v>
      </c>
      <c r="E286" s="2020">
        <f t="shared" si="42"/>
        <v>1050000</v>
      </c>
      <c r="F286" s="1739">
        <f>SUM(F287:F294)</f>
        <v>978000</v>
      </c>
      <c r="G286" s="2031">
        <f t="shared" si="42"/>
        <v>246594</v>
      </c>
      <c r="H286" s="2010">
        <f t="shared" si="42"/>
        <v>215857</v>
      </c>
      <c r="I286" s="2009">
        <f t="shared" si="42"/>
        <v>5110000</v>
      </c>
      <c r="J286" s="1389">
        <f t="shared" ref="J286:K286" si="43">SUM(J287:J294)</f>
        <v>0</v>
      </c>
      <c r="K286" s="1319">
        <f t="shared" si="43"/>
        <v>0</v>
      </c>
    </row>
    <row r="287" spans="1:11" x14ac:dyDescent="0.2">
      <c r="A287" s="1734" t="s">
        <v>314</v>
      </c>
      <c r="B287" s="1567" t="s">
        <v>1701</v>
      </c>
      <c r="C287" s="2000">
        <v>500000</v>
      </c>
      <c r="D287" s="1546">
        <v>500000</v>
      </c>
      <c r="E287" s="1572">
        <v>500000</v>
      </c>
      <c r="F287" s="1723">
        <v>500000</v>
      </c>
      <c r="G287" s="1597">
        <v>10290</v>
      </c>
      <c r="H287" s="1176">
        <v>10290</v>
      </c>
      <c r="I287" s="2000">
        <v>4500000</v>
      </c>
      <c r="J287" s="1090"/>
      <c r="K287" s="1094"/>
    </row>
    <row r="288" spans="1:11" x14ac:dyDescent="0.2">
      <c r="A288" s="1734" t="s">
        <v>316</v>
      </c>
      <c r="B288" s="1547" t="s">
        <v>1363</v>
      </c>
      <c r="C288" s="2000">
        <v>50000</v>
      </c>
      <c r="D288" s="1546">
        <v>50000</v>
      </c>
      <c r="E288" s="1602">
        <v>50000</v>
      </c>
      <c r="F288" s="1724">
        <v>50000</v>
      </c>
      <c r="G288" s="1634">
        <v>3630</v>
      </c>
      <c r="H288" s="1176">
        <v>3025</v>
      </c>
      <c r="I288" s="2000">
        <v>30000</v>
      </c>
      <c r="J288" s="1090"/>
      <c r="K288" s="1094"/>
    </row>
    <row r="289" spans="1:11" x14ac:dyDescent="0.2">
      <c r="A289" s="1740" t="s">
        <v>316</v>
      </c>
      <c r="B289" s="1578" t="s">
        <v>1364</v>
      </c>
      <c r="C289" s="2000">
        <v>50000</v>
      </c>
      <c r="D289" s="1546">
        <v>50000</v>
      </c>
      <c r="E289" s="1572">
        <v>50000</v>
      </c>
      <c r="F289" s="1723">
        <v>20000</v>
      </c>
      <c r="G289" s="1597">
        <v>0</v>
      </c>
      <c r="H289" s="1176">
        <v>0</v>
      </c>
      <c r="I289" s="2000">
        <v>30000</v>
      </c>
      <c r="J289" s="1090"/>
      <c r="K289" s="1094"/>
    </row>
    <row r="290" spans="1:11" x14ac:dyDescent="0.2">
      <c r="A290" s="1734" t="s">
        <v>325</v>
      </c>
      <c r="B290" s="1547" t="s">
        <v>326</v>
      </c>
      <c r="C290" s="2000">
        <v>50000</v>
      </c>
      <c r="D290" s="1546">
        <v>50000</v>
      </c>
      <c r="E290" s="1572">
        <v>42000</v>
      </c>
      <c r="F290" s="1642">
        <v>0</v>
      </c>
      <c r="G290" s="1572">
        <v>0</v>
      </c>
      <c r="H290" s="1176">
        <v>0</v>
      </c>
      <c r="I290" s="2000">
        <v>150000</v>
      </c>
      <c r="J290" s="1090"/>
      <c r="K290" s="1094"/>
    </row>
    <row r="291" spans="1:11" x14ac:dyDescent="0.2">
      <c r="A291" s="1734" t="s">
        <v>321</v>
      </c>
      <c r="B291" s="1547" t="s">
        <v>327</v>
      </c>
      <c r="C291" s="2000">
        <v>150000</v>
      </c>
      <c r="D291" s="1546">
        <v>150000</v>
      </c>
      <c r="E291" s="1572">
        <v>150000</v>
      </c>
      <c r="F291" s="1642">
        <v>150000</v>
      </c>
      <c r="G291" s="1572">
        <v>97735</v>
      </c>
      <c r="H291" s="1176">
        <v>89335</v>
      </c>
      <c r="I291" s="2000">
        <v>150000</v>
      </c>
      <c r="J291" s="1090"/>
      <c r="K291" s="1094"/>
    </row>
    <row r="292" spans="1:11" x14ac:dyDescent="0.2">
      <c r="A292" s="1734" t="s">
        <v>323</v>
      </c>
      <c r="B292" s="1547" t="s">
        <v>328</v>
      </c>
      <c r="C292" s="2000">
        <v>210000</v>
      </c>
      <c r="D292" s="1546">
        <v>210000</v>
      </c>
      <c r="E292" s="1572">
        <v>210000</v>
      </c>
      <c r="F292" s="1642">
        <v>210000</v>
      </c>
      <c r="G292" s="1572">
        <v>117724</v>
      </c>
      <c r="H292" s="1176">
        <v>105992</v>
      </c>
      <c r="I292" s="2000">
        <v>210000</v>
      </c>
      <c r="J292" s="1090"/>
      <c r="K292" s="1094"/>
    </row>
    <row r="293" spans="1:11" x14ac:dyDescent="0.2">
      <c r="A293" s="2017" t="s">
        <v>331</v>
      </c>
      <c r="B293" s="1726" t="s">
        <v>332</v>
      </c>
      <c r="C293" s="2000">
        <v>10000</v>
      </c>
      <c r="D293" s="1546">
        <v>10000</v>
      </c>
      <c r="E293" s="1572">
        <v>18000</v>
      </c>
      <c r="F293" s="1642">
        <v>18000</v>
      </c>
      <c r="G293" s="1572">
        <v>8000</v>
      </c>
      <c r="H293" s="1176">
        <v>0</v>
      </c>
      <c r="I293" s="2000">
        <v>10000</v>
      </c>
      <c r="J293" s="1090"/>
      <c r="K293" s="1094"/>
    </row>
    <row r="294" spans="1:11" ht="13.5" thickBot="1" x14ac:dyDescent="0.25">
      <c r="A294" s="2017" t="s">
        <v>333</v>
      </c>
      <c r="B294" s="1741" t="s">
        <v>334</v>
      </c>
      <c r="C294" s="2000">
        <v>30000</v>
      </c>
      <c r="D294" s="1546">
        <v>30000</v>
      </c>
      <c r="E294" s="1742">
        <v>30000</v>
      </c>
      <c r="F294" s="1642">
        <v>30000</v>
      </c>
      <c r="G294" s="1572">
        <v>9215</v>
      </c>
      <c r="H294" s="1176">
        <v>7215</v>
      </c>
      <c r="I294" s="2000">
        <v>30000</v>
      </c>
      <c r="J294" s="1090"/>
      <c r="K294" s="1094"/>
    </row>
    <row r="295" spans="1:11" ht="16.5" thickBot="1" x14ac:dyDescent="0.3">
      <c r="A295" s="2005"/>
      <c r="B295" s="2006" t="s">
        <v>335</v>
      </c>
      <c r="C295" s="2021">
        <f t="shared" ref="C295:I295" si="44">SUM(C296+C301+C310+C319+C335+C342+C344+C347)</f>
        <v>25037044.199999999</v>
      </c>
      <c r="D295" s="2022">
        <f t="shared" si="44"/>
        <v>25699717.889999997</v>
      </c>
      <c r="E295" s="2022">
        <f t="shared" si="44"/>
        <v>26099717.889999997</v>
      </c>
      <c r="F295" s="1743">
        <f t="shared" si="44"/>
        <v>22982034.850000001</v>
      </c>
      <c r="G295" s="2023">
        <f t="shared" si="44"/>
        <v>13951497.9</v>
      </c>
      <c r="H295" s="1744">
        <f t="shared" si="44"/>
        <v>10592891.409999998</v>
      </c>
      <c r="I295" s="2021">
        <f t="shared" si="44"/>
        <v>27453182</v>
      </c>
      <c r="J295" s="1391">
        <f t="shared" ref="J295:K295" si="45">SUM(J296+J301+J309+J318+J334+J341+J343+J346)</f>
        <v>0</v>
      </c>
      <c r="K295" s="1323">
        <f t="shared" si="45"/>
        <v>0</v>
      </c>
    </row>
    <row r="296" spans="1:11" x14ac:dyDescent="0.2">
      <c r="A296" s="1997">
        <v>3341</v>
      </c>
      <c r="B296" s="1998" t="s">
        <v>1365</v>
      </c>
      <c r="C296" s="1745">
        <f t="shared" ref="C296:I296" si="46">SUM(C297:C300)</f>
        <v>225000</v>
      </c>
      <c r="D296" s="1745">
        <f t="shared" si="46"/>
        <v>225000</v>
      </c>
      <c r="E296" s="1745">
        <f t="shared" si="46"/>
        <v>225000</v>
      </c>
      <c r="F296" s="1721">
        <f t="shared" si="46"/>
        <v>223875</v>
      </c>
      <c r="G296" s="1745">
        <f t="shared" si="46"/>
        <v>22155.68</v>
      </c>
      <c r="H296" s="1746">
        <f t="shared" si="46"/>
        <v>22155.68</v>
      </c>
      <c r="I296" s="1745">
        <f t="shared" si="46"/>
        <v>3177552</v>
      </c>
      <c r="J296" s="732">
        <f t="shared" ref="J296:K296" si="47">SUM(J297:J300)</f>
        <v>0</v>
      </c>
      <c r="K296" s="1279">
        <f t="shared" si="47"/>
        <v>0</v>
      </c>
    </row>
    <row r="297" spans="1:11" x14ac:dyDescent="0.2">
      <c r="A297" s="1734" t="s">
        <v>337</v>
      </c>
      <c r="B297" s="1567" t="s">
        <v>338</v>
      </c>
      <c r="C297" s="2000">
        <v>145000</v>
      </c>
      <c r="D297" s="1642">
        <v>145000</v>
      </c>
      <c r="E297" s="1642">
        <v>145000</v>
      </c>
      <c r="F297" s="1723">
        <v>145000</v>
      </c>
      <c r="G297" s="1597">
        <v>18280.68</v>
      </c>
      <c r="H297" s="1176">
        <v>18280.68</v>
      </c>
      <c r="I297" s="2000">
        <v>200000</v>
      </c>
      <c r="J297" s="1090"/>
      <c r="K297" s="1094"/>
    </row>
    <row r="298" spans="1:11" x14ac:dyDescent="0.2">
      <c r="A298" s="1734" t="s">
        <v>339</v>
      </c>
      <c r="B298" s="1567" t="s">
        <v>1032</v>
      </c>
      <c r="C298" s="2000">
        <v>5000</v>
      </c>
      <c r="D298" s="1642">
        <v>5000</v>
      </c>
      <c r="E298" s="1642">
        <v>5000</v>
      </c>
      <c r="F298" s="1723">
        <v>3875</v>
      </c>
      <c r="G298" s="1597">
        <v>3875</v>
      </c>
      <c r="H298" s="1176">
        <v>3875</v>
      </c>
      <c r="I298" s="2000">
        <v>5000</v>
      </c>
      <c r="J298" s="1090"/>
      <c r="K298" s="1094"/>
    </row>
    <row r="299" spans="1:11" x14ac:dyDescent="0.2">
      <c r="A299" s="1734" t="s">
        <v>1156</v>
      </c>
      <c r="B299" s="1567" t="s">
        <v>1790</v>
      </c>
      <c r="C299" s="2000">
        <v>75000</v>
      </c>
      <c r="D299" s="1642">
        <v>75000</v>
      </c>
      <c r="E299" s="1642">
        <v>75000</v>
      </c>
      <c r="F299" s="1723">
        <v>75000</v>
      </c>
      <c r="G299" s="1597">
        <v>0</v>
      </c>
      <c r="H299" s="1176">
        <v>0</v>
      </c>
      <c r="I299" s="2000">
        <v>600000</v>
      </c>
      <c r="J299" s="1090"/>
      <c r="K299" s="1094"/>
    </row>
    <row r="300" spans="1:11" x14ac:dyDescent="0.2">
      <c r="A300" s="1734" t="s">
        <v>1156</v>
      </c>
      <c r="B300" s="1567" t="s">
        <v>1530</v>
      </c>
      <c r="C300" s="2000">
        <v>0</v>
      </c>
      <c r="D300" s="1642">
        <v>0</v>
      </c>
      <c r="E300" s="1642">
        <v>0</v>
      </c>
      <c r="F300" s="1723">
        <v>0</v>
      </c>
      <c r="G300" s="1597">
        <v>0</v>
      </c>
      <c r="H300" s="1176">
        <v>0</v>
      </c>
      <c r="I300" s="2000">
        <v>2372552</v>
      </c>
      <c r="J300" s="1090"/>
      <c r="K300" s="1094"/>
    </row>
    <row r="301" spans="1:11" x14ac:dyDescent="0.2">
      <c r="A301" s="2003">
        <v>3421</v>
      </c>
      <c r="B301" s="1194" t="s">
        <v>1945</v>
      </c>
      <c r="C301" s="1052">
        <f>SUM(C302:C309)</f>
        <v>1740000</v>
      </c>
      <c r="D301" s="1052">
        <f t="shared" ref="D301:I301" si="48">SUM(D302:D309)</f>
        <v>2163109.69</v>
      </c>
      <c r="E301" s="1052">
        <f t="shared" si="48"/>
        <v>2363109.69</v>
      </c>
      <c r="F301" s="1052">
        <f t="shared" si="48"/>
        <v>2360462.35</v>
      </c>
      <c r="G301" s="1052">
        <f t="shared" si="48"/>
        <v>2212322.39</v>
      </c>
      <c r="H301" s="1052">
        <f t="shared" si="48"/>
        <v>1253558.02</v>
      </c>
      <c r="I301" s="1052">
        <f t="shared" si="48"/>
        <v>2690000</v>
      </c>
      <c r="J301" s="718">
        <f t="shared" ref="J301:K301" si="49">SUM(J302:J308)</f>
        <v>0</v>
      </c>
      <c r="K301" s="884">
        <f t="shared" si="49"/>
        <v>0</v>
      </c>
    </row>
    <row r="302" spans="1:11" x14ac:dyDescent="0.2">
      <c r="A302" s="1734" t="s">
        <v>350</v>
      </c>
      <c r="B302" s="2024" t="s">
        <v>1033</v>
      </c>
      <c r="C302" s="1430">
        <v>500000</v>
      </c>
      <c r="D302" s="1642">
        <v>750000</v>
      </c>
      <c r="E302" s="1642">
        <v>750000</v>
      </c>
      <c r="F302" s="1723">
        <v>750000</v>
      </c>
      <c r="G302" s="1597">
        <v>698565.69</v>
      </c>
      <c r="H302" s="1176">
        <v>499905.57</v>
      </c>
      <c r="I302" s="1430">
        <v>750000</v>
      </c>
      <c r="J302" s="825"/>
      <c r="K302" s="1324"/>
    </row>
    <row r="303" spans="1:11" x14ac:dyDescent="0.2">
      <c r="A303" s="1734" t="s">
        <v>342</v>
      </c>
      <c r="B303" s="1747" t="s">
        <v>1034</v>
      </c>
      <c r="C303" s="2000">
        <v>600000</v>
      </c>
      <c r="D303" s="1642">
        <v>0</v>
      </c>
      <c r="E303" s="1642">
        <v>0</v>
      </c>
      <c r="F303" s="1723">
        <v>0</v>
      </c>
      <c r="G303" s="1597">
        <v>0</v>
      </c>
      <c r="H303" s="1176">
        <v>0</v>
      </c>
      <c r="I303" s="2000">
        <v>300000</v>
      </c>
      <c r="J303" s="1090"/>
      <c r="K303" s="1094"/>
    </row>
    <row r="304" spans="1:11" x14ac:dyDescent="0.2">
      <c r="A304" s="1734" t="s">
        <v>344</v>
      </c>
      <c r="B304" s="1747" t="s">
        <v>1035</v>
      </c>
      <c r="C304" s="2000">
        <v>60000</v>
      </c>
      <c r="D304" s="1642">
        <v>60000</v>
      </c>
      <c r="E304" s="1642">
        <v>60000</v>
      </c>
      <c r="F304" s="1723">
        <v>60000</v>
      </c>
      <c r="G304" s="1597">
        <v>28132.400000000001</v>
      </c>
      <c r="H304" s="1176">
        <v>27031.4</v>
      </c>
      <c r="I304" s="2000">
        <v>60000</v>
      </c>
      <c r="J304" s="1090"/>
      <c r="K304" s="1094"/>
    </row>
    <row r="305" spans="1:12" x14ac:dyDescent="0.2">
      <c r="A305" s="1734" t="s">
        <v>346</v>
      </c>
      <c r="B305" s="1747" t="s">
        <v>1036</v>
      </c>
      <c r="C305" s="2000">
        <v>80000</v>
      </c>
      <c r="D305" s="1642">
        <v>80000</v>
      </c>
      <c r="E305" s="1642">
        <v>80000</v>
      </c>
      <c r="F305" s="1723">
        <v>80000</v>
      </c>
      <c r="G305" s="1597">
        <v>67579</v>
      </c>
      <c r="H305" s="1176">
        <v>0</v>
      </c>
      <c r="I305" s="2000">
        <v>80000</v>
      </c>
      <c r="J305" s="1090"/>
      <c r="K305" s="1094"/>
    </row>
    <row r="306" spans="1:12" x14ac:dyDescent="0.2">
      <c r="A306" s="1734" t="s">
        <v>348</v>
      </c>
      <c r="B306" s="2024" t="s">
        <v>1531</v>
      </c>
      <c r="C306" s="2000">
        <v>500000</v>
      </c>
      <c r="D306" s="1642">
        <v>679080</v>
      </c>
      <c r="E306" s="1642">
        <v>679080</v>
      </c>
      <c r="F306" s="1723">
        <v>679080</v>
      </c>
      <c r="G306" s="1597">
        <v>626662.94999999995</v>
      </c>
      <c r="H306" s="1176">
        <v>626662.94999999995</v>
      </c>
      <c r="I306" s="2000">
        <v>1500000</v>
      </c>
      <c r="J306" s="1090"/>
      <c r="K306" s="1094"/>
    </row>
    <row r="307" spans="1:12" x14ac:dyDescent="0.2">
      <c r="A307" s="1734" t="s">
        <v>1037</v>
      </c>
      <c r="B307" s="1747" t="s">
        <v>1532</v>
      </c>
      <c r="C307" s="2000">
        <v>0</v>
      </c>
      <c r="D307" s="1642">
        <v>100000</v>
      </c>
      <c r="E307" s="1642">
        <v>100000</v>
      </c>
      <c r="F307" s="1723">
        <v>99958.1</v>
      </c>
      <c r="G307" s="1597">
        <v>99958.1</v>
      </c>
      <c r="H307" s="1176">
        <v>99958.1</v>
      </c>
      <c r="I307" s="2000">
        <v>0</v>
      </c>
      <c r="J307" s="1090"/>
      <c r="K307" s="1094"/>
    </row>
    <row r="308" spans="1:12" x14ac:dyDescent="0.2">
      <c r="A308" s="1734" t="s">
        <v>1533</v>
      </c>
      <c r="B308" s="1747" t="s">
        <v>1534</v>
      </c>
      <c r="C308" s="2000">
        <v>0</v>
      </c>
      <c r="D308" s="1642">
        <v>494029.69</v>
      </c>
      <c r="E308" s="1642">
        <v>494029.69</v>
      </c>
      <c r="F308" s="1723">
        <v>494029.69</v>
      </c>
      <c r="G308" s="1597">
        <v>494029.69</v>
      </c>
      <c r="H308" s="1176">
        <v>0</v>
      </c>
      <c r="I308" s="2000">
        <v>0</v>
      </c>
      <c r="J308" s="1090"/>
      <c r="K308" s="1094"/>
    </row>
    <row r="309" spans="1:12" x14ac:dyDescent="0.2">
      <c r="A309" s="1734" t="s">
        <v>1533</v>
      </c>
      <c r="B309" s="1747" t="s">
        <v>1946</v>
      </c>
      <c r="C309" s="2000">
        <v>0</v>
      </c>
      <c r="D309" s="1642">
        <v>0</v>
      </c>
      <c r="E309" s="1642">
        <v>200000</v>
      </c>
      <c r="F309" s="1723">
        <v>197394.56</v>
      </c>
      <c r="G309" s="1597">
        <v>197394.56</v>
      </c>
      <c r="H309" s="1176">
        <v>0</v>
      </c>
      <c r="I309" s="2000">
        <v>0</v>
      </c>
      <c r="J309" s="718">
        <f t="shared" ref="J309:K309" si="50">SUM(J310:J317)</f>
        <v>0</v>
      </c>
      <c r="K309" s="884">
        <f t="shared" si="50"/>
        <v>0</v>
      </c>
    </row>
    <row r="310" spans="1:12" x14ac:dyDescent="0.2">
      <c r="A310" s="1555">
        <v>3613</v>
      </c>
      <c r="B310" s="1194" t="s">
        <v>1366</v>
      </c>
      <c r="C310" s="1052">
        <f t="shared" ref="C310:I310" si="51">SUM(C311:C318)</f>
        <v>1870000</v>
      </c>
      <c r="D310" s="1556">
        <f t="shared" si="51"/>
        <v>1826077</v>
      </c>
      <c r="E310" s="1556">
        <f t="shared" si="51"/>
        <v>1826077</v>
      </c>
      <c r="F310" s="1748">
        <f t="shared" si="51"/>
        <v>1570000</v>
      </c>
      <c r="G310" s="1052">
        <f t="shared" si="51"/>
        <v>629627.50999999989</v>
      </c>
      <c r="H310" s="1045">
        <f t="shared" si="51"/>
        <v>514473.89</v>
      </c>
      <c r="I310" s="1052">
        <f t="shared" si="51"/>
        <v>1960000</v>
      </c>
      <c r="J310" s="1090"/>
      <c r="K310" s="1094"/>
    </row>
    <row r="311" spans="1:12" x14ac:dyDescent="0.2">
      <c r="A311" s="1734" t="s">
        <v>1166</v>
      </c>
      <c r="B311" s="2024" t="s">
        <v>1367</v>
      </c>
      <c r="C311" s="2000">
        <v>350000</v>
      </c>
      <c r="D311" s="1642">
        <v>350000</v>
      </c>
      <c r="E311" s="1642">
        <v>350000</v>
      </c>
      <c r="F311" s="1749">
        <v>350000</v>
      </c>
      <c r="G311" s="1750">
        <v>0</v>
      </c>
      <c r="H311" s="1176">
        <v>0</v>
      </c>
      <c r="I311" s="2000">
        <v>0</v>
      </c>
      <c r="J311" s="1090"/>
      <c r="K311" s="1094"/>
    </row>
    <row r="312" spans="1:12" x14ac:dyDescent="0.2">
      <c r="A312" s="2017" t="s">
        <v>353</v>
      </c>
      <c r="B312" s="2012" t="s">
        <v>1038</v>
      </c>
      <c r="C312" s="2000">
        <v>5000</v>
      </c>
      <c r="D312" s="1642">
        <v>5000</v>
      </c>
      <c r="E312" s="1642">
        <v>5000</v>
      </c>
      <c r="F312" s="1723">
        <v>5000</v>
      </c>
      <c r="G312" s="1597">
        <v>0</v>
      </c>
      <c r="H312" s="1176">
        <v>0</v>
      </c>
      <c r="I312" s="2000">
        <v>5000</v>
      </c>
      <c r="J312" s="1090"/>
      <c r="K312" s="1094"/>
      <c r="L312" s="859"/>
    </row>
    <row r="313" spans="1:12" x14ac:dyDescent="0.2">
      <c r="A313" s="2017" t="s">
        <v>355</v>
      </c>
      <c r="B313" s="2012" t="s">
        <v>1039</v>
      </c>
      <c r="C313" s="2000">
        <v>15000</v>
      </c>
      <c r="D313" s="1642">
        <v>15000</v>
      </c>
      <c r="E313" s="1642">
        <v>15000</v>
      </c>
      <c r="F313" s="1723">
        <v>15000</v>
      </c>
      <c r="G313" s="1597">
        <v>14246.2</v>
      </c>
      <c r="H313" s="1176">
        <v>12112.2</v>
      </c>
      <c r="I313" s="2000">
        <v>15000</v>
      </c>
      <c r="J313" s="1090"/>
      <c r="K313" s="1094"/>
    </row>
    <row r="314" spans="1:12" x14ac:dyDescent="0.2">
      <c r="A314" s="2017" t="s">
        <v>357</v>
      </c>
      <c r="B314" s="1547" t="s">
        <v>1791</v>
      </c>
      <c r="C314" s="2000">
        <v>200000</v>
      </c>
      <c r="D314" s="1642">
        <v>200000</v>
      </c>
      <c r="E314" s="1642">
        <v>200000</v>
      </c>
      <c r="F314" s="1751">
        <v>200000</v>
      </c>
      <c r="G314" s="1752">
        <v>63276</v>
      </c>
      <c r="H314" s="1753">
        <v>15870</v>
      </c>
      <c r="I314" s="2000">
        <v>200000</v>
      </c>
      <c r="J314" s="1090"/>
      <c r="K314" s="1094"/>
    </row>
    <row r="315" spans="1:12" x14ac:dyDescent="0.2">
      <c r="A315" s="2017" t="s">
        <v>359</v>
      </c>
      <c r="B315" s="1547" t="s">
        <v>1040</v>
      </c>
      <c r="C315" s="2000">
        <v>640000</v>
      </c>
      <c r="D315" s="1642">
        <v>640000</v>
      </c>
      <c r="E315" s="2013">
        <v>640000</v>
      </c>
      <c r="F315" s="2013">
        <v>640000</v>
      </c>
      <c r="G315" s="2000">
        <v>550508.11</v>
      </c>
      <c r="H315" s="2025">
        <v>486491.69</v>
      </c>
      <c r="I315" s="2000">
        <v>640000</v>
      </c>
      <c r="J315" s="1090"/>
      <c r="K315" s="1094"/>
    </row>
    <row r="316" spans="1:12" x14ac:dyDescent="0.2">
      <c r="A316" s="2017" t="s">
        <v>361</v>
      </c>
      <c r="B316" s="1547" t="s">
        <v>1041</v>
      </c>
      <c r="C316" s="2000">
        <v>100000</v>
      </c>
      <c r="D316" s="1642">
        <v>56077</v>
      </c>
      <c r="E316" s="2013">
        <v>56077</v>
      </c>
      <c r="F316" s="2013">
        <v>100000</v>
      </c>
      <c r="G316" s="2000">
        <v>0</v>
      </c>
      <c r="H316" s="2025">
        <v>0</v>
      </c>
      <c r="I316" s="2000">
        <v>100000</v>
      </c>
      <c r="J316" s="1090"/>
      <c r="K316" s="1094"/>
    </row>
    <row r="317" spans="1:12" x14ac:dyDescent="0.2">
      <c r="A317" s="2017" t="s">
        <v>364</v>
      </c>
      <c r="B317" s="1754" t="s">
        <v>1541</v>
      </c>
      <c r="C317" s="2000">
        <v>260000</v>
      </c>
      <c r="D317" s="1642">
        <v>260000</v>
      </c>
      <c r="E317" s="2013">
        <v>260000</v>
      </c>
      <c r="F317" s="2013">
        <v>260000</v>
      </c>
      <c r="G317" s="2000">
        <v>1597.2</v>
      </c>
      <c r="H317" s="2025">
        <v>0</v>
      </c>
      <c r="I317" s="2000">
        <v>1000000</v>
      </c>
      <c r="J317" s="1090"/>
      <c r="K317" s="1094"/>
    </row>
    <row r="318" spans="1:12" x14ac:dyDescent="0.2">
      <c r="A318" s="1734" t="s">
        <v>1211</v>
      </c>
      <c r="B318" s="1747" t="s">
        <v>1157</v>
      </c>
      <c r="C318" s="2000">
        <v>300000</v>
      </c>
      <c r="D318" s="1642">
        <v>300000</v>
      </c>
      <c r="E318" s="1642">
        <v>300000</v>
      </c>
      <c r="F318" s="1723">
        <v>0</v>
      </c>
      <c r="G318" s="1597">
        <v>0</v>
      </c>
      <c r="H318" s="1176">
        <v>0</v>
      </c>
      <c r="I318" s="2000">
        <v>0</v>
      </c>
      <c r="J318" s="718">
        <f t="shared" ref="J318:K318" si="52">SUM(J319++J320+J321+J322+J323+J324+J325)</f>
        <v>0</v>
      </c>
      <c r="K318" s="884">
        <f t="shared" si="52"/>
        <v>0</v>
      </c>
    </row>
    <row r="319" spans="1:12" x14ac:dyDescent="0.2">
      <c r="A319" s="1555">
        <v>3631</v>
      </c>
      <c r="B319" s="1194" t="s">
        <v>1368</v>
      </c>
      <c r="C319" s="1052">
        <f t="shared" ref="C319:I319" si="53">SUM(C320++C321+C322+C323+C324+C325+C326)</f>
        <v>14990000</v>
      </c>
      <c r="D319" s="1052">
        <f t="shared" si="53"/>
        <v>14991858</v>
      </c>
      <c r="E319" s="1052">
        <f t="shared" si="53"/>
        <v>14991858</v>
      </c>
      <c r="F319" s="1556">
        <f t="shared" si="53"/>
        <v>12706228</v>
      </c>
      <c r="G319" s="1052">
        <f t="shared" si="53"/>
        <v>7635680.7000000002</v>
      </c>
      <c r="H319" s="1045">
        <f t="shared" si="53"/>
        <v>6316050.7000000002</v>
      </c>
      <c r="I319" s="1052">
        <f t="shared" si="53"/>
        <v>15504000</v>
      </c>
      <c r="J319" s="1090"/>
      <c r="K319" s="1094"/>
    </row>
    <row r="320" spans="1:12" x14ac:dyDescent="0.2">
      <c r="A320" s="1734" t="s">
        <v>371</v>
      </c>
      <c r="B320" s="1547" t="s">
        <v>1042</v>
      </c>
      <c r="C320" s="2000">
        <v>4800000</v>
      </c>
      <c r="D320" s="1642">
        <v>4800000</v>
      </c>
      <c r="E320" s="1642">
        <v>4800000</v>
      </c>
      <c r="F320" s="1751">
        <v>4800000</v>
      </c>
      <c r="G320" s="1752">
        <v>4000000</v>
      </c>
      <c r="H320" s="1753">
        <v>3200000</v>
      </c>
      <c r="I320" s="2000">
        <v>4900000</v>
      </c>
      <c r="J320" s="1090"/>
      <c r="K320" s="1094"/>
    </row>
    <row r="321" spans="1:11" ht="12.75" customHeight="1" x14ac:dyDescent="0.2">
      <c r="A321" s="1755" t="s">
        <v>1535</v>
      </c>
      <c r="B321" s="1547" t="s">
        <v>1536</v>
      </c>
      <c r="C321" s="2000">
        <v>0</v>
      </c>
      <c r="D321" s="1642">
        <v>0</v>
      </c>
      <c r="E321" s="1642">
        <v>0</v>
      </c>
      <c r="F321" s="1751">
        <v>0</v>
      </c>
      <c r="G321" s="1752">
        <v>0</v>
      </c>
      <c r="H321" s="1753">
        <v>0</v>
      </c>
      <c r="I321" s="2000">
        <v>84000</v>
      </c>
      <c r="J321" s="1090"/>
      <c r="K321" s="1094"/>
    </row>
    <row r="322" spans="1:11" ht="12.75" customHeight="1" x14ac:dyDescent="0.2">
      <c r="A322" s="2017" t="s">
        <v>367</v>
      </c>
      <c r="B322" s="1547" t="s">
        <v>1043</v>
      </c>
      <c r="C322" s="2000">
        <v>50000</v>
      </c>
      <c r="D322" s="1642">
        <v>50000</v>
      </c>
      <c r="E322" s="1642">
        <v>50000</v>
      </c>
      <c r="F322" s="1642">
        <v>50000</v>
      </c>
      <c r="G322" s="1572">
        <v>0</v>
      </c>
      <c r="H322" s="1176">
        <v>0</v>
      </c>
      <c r="I322" s="2000">
        <v>50000</v>
      </c>
      <c r="J322" s="1090"/>
      <c r="K322" s="1094"/>
    </row>
    <row r="323" spans="1:11" x14ac:dyDescent="0.2">
      <c r="A323" s="2017" t="s">
        <v>369</v>
      </c>
      <c r="B323" s="1547" t="s">
        <v>1537</v>
      </c>
      <c r="C323" s="2000">
        <v>250000</v>
      </c>
      <c r="D323" s="1642">
        <v>250000</v>
      </c>
      <c r="E323" s="1642">
        <v>250000</v>
      </c>
      <c r="F323" s="1756">
        <v>250000</v>
      </c>
      <c r="G323" s="1757">
        <v>0</v>
      </c>
      <c r="H323" s="1753">
        <v>0</v>
      </c>
      <c r="I323" s="2000">
        <v>250000</v>
      </c>
      <c r="J323" s="1090"/>
      <c r="K323" s="1094"/>
    </row>
    <row r="324" spans="1:11" ht="12.75" customHeight="1" x14ac:dyDescent="0.2">
      <c r="A324" s="2017" t="s">
        <v>369</v>
      </c>
      <c r="B324" s="1547" t="s">
        <v>1044</v>
      </c>
      <c r="C324" s="2000">
        <v>300000</v>
      </c>
      <c r="D324" s="1642">
        <v>301858</v>
      </c>
      <c r="E324" s="1642">
        <v>301858</v>
      </c>
      <c r="F324" s="1758">
        <v>300000</v>
      </c>
      <c r="G324" s="1759">
        <v>0</v>
      </c>
      <c r="H324" s="1176">
        <v>0</v>
      </c>
      <c r="I324" s="2000">
        <v>600000</v>
      </c>
      <c r="J324" s="1090"/>
      <c r="K324" s="1094"/>
    </row>
    <row r="325" spans="1:11" ht="12.75" customHeight="1" x14ac:dyDescent="0.2">
      <c r="A325" s="1734" t="s">
        <v>373</v>
      </c>
      <c r="B325" s="1547" t="s">
        <v>374</v>
      </c>
      <c r="C325" s="2000">
        <v>7200000</v>
      </c>
      <c r="D325" s="1642">
        <v>7200000</v>
      </c>
      <c r="E325" s="1642">
        <v>7200000</v>
      </c>
      <c r="F325" s="1760">
        <v>7200000</v>
      </c>
      <c r="G325" s="1761">
        <v>3605850.7</v>
      </c>
      <c r="H325" s="1753">
        <v>3106380.7</v>
      </c>
      <c r="I325" s="2000">
        <v>7200000</v>
      </c>
      <c r="J325" s="733"/>
      <c r="K325" s="1276"/>
    </row>
    <row r="326" spans="1:11" ht="12.75" customHeight="1" x14ac:dyDescent="0.2">
      <c r="A326" s="1734"/>
      <c r="B326" s="2011" t="s">
        <v>281</v>
      </c>
      <c r="C326" s="1572">
        <f t="shared" ref="C326:I326" si="54">SUM(C327:C334)</f>
        <v>2390000</v>
      </c>
      <c r="D326" s="1572">
        <f t="shared" si="54"/>
        <v>2390000</v>
      </c>
      <c r="E326" s="1572">
        <f t="shared" si="54"/>
        <v>2390000</v>
      </c>
      <c r="F326" s="1642">
        <f t="shared" si="54"/>
        <v>106228</v>
      </c>
      <c r="G326" s="1572">
        <f t="shared" si="54"/>
        <v>29830</v>
      </c>
      <c r="H326" s="1176">
        <f t="shared" si="54"/>
        <v>9670</v>
      </c>
      <c r="I326" s="1572">
        <f t="shared" si="54"/>
        <v>2420000</v>
      </c>
      <c r="J326" s="1117"/>
      <c r="K326" s="1320"/>
    </row>
    <row r="327" spans="1:11" ht="12.75" customHeight="1" x14ac:dyDescent="0.2">
      <c r="A327" s="1734" t="s">
        <v>585</v>
      </c>
      <c r="B327" s="1747" t="s">
        <v>1158</v>
      </c>
      <c r="C327" s="2000">
        <v>650000</v>
      </c>
      <c r="D327" s="1642">
        <v>650000</v>
      </c>
      <c r="E327" s="1642">
        <v>650000</v>
      </c>
      <c r="F327" s="1723">
        <v>8470</v>
      </c>
      <c r="G327" s="1597">
        <v>8470</v>
      </c>
      <c r="H327" s="1176">
        <v>8470</v>
      </c>
      <c r="I327" s="2014">
        <v>650000</v>
      </c>
      <c r="J327" s="1117"/>
      <c r="K327" s="1320"/>
    </row>
    <row r="328" spans="1:11" ht="12.75" customHeight="1" x14ac:dyDescent="0.2">
      <c r="A328" s="1734" t="s">
        <v>1538</v>
      </c>
      <c r="B328" s="1747" t="s">
        <v>1539</v>
      </c>
      <c r="C328" s="2000">
        <v>0</v>
      </c>
      <c r="D328" s="1642">
        <v>70301</v>
      </c>
      <c r="E328" s="1642">
        <v>70301</v>
      </c>
      <c r="F328" s="1723">
        <v>70301</v>
      </c>
      <c r="G328" s="1597">
        <v>0</v>
      </c>
      <c r="H328" s="1176">
        <v>0</v>
      </c>
      <c r="I328" s="2014">
        <v>0</v>
      </c>
      <c r="J328" s="1117"/>
      <c r="K328" s="1320"/>
    </row>
    <row r="329" spans="1:11" x14ac:dyDescent="0.2">
      <c r="A329" s="1734" t="s">
        <v>577</v>
      </c>
      <c r="B329" s="1747" t="s">
        <v>1540</v>
      </c>
      <c r="C329" s="2000">
        <v>0</v>
      </c>
      <c r="D329" s="1642">
        <v>26257</v>
      </c>
      <c r="E329" s="1642">
        <v>26257</v>
      </c>
      <c r="F329" s="1760">
        <v>26257</v>
      </c>
      <c r="G329" s="1761">
        <v>0</v>
      </c>
      <c r="H329" s="1753">
        <v>0</v>
      </c>
      <c r="I329" s="2014">
        <v>0</v>
      </c>
      <c r="J329" s="1117"/>
      <c r="K329" s="1320"/>
    </row>
    <row r="330" spans="1:11" s="2" customFormat="1" x14ac:dyDescent="0.2">
      <c r="A330" s="1734" t="s">
        <v>1159</v>
      </c>
      <c r="B330" s="1747" t="s">
        <v>1160</v>
      </c>
      <c r="C330" s="2000">
        <v>80000</v>
      </c>
      <c r="D330" s="1642">
        <v>80000</v>
      </c>
      <c r="E330" s="1642">
        <v>80000</v>
      </c>
      <c r="F330" s="1760">
        <v>0</v>
      </c>
      <c r="G330" s="1761">
        <v>0</v>
      </c>
      <c r="H330" s="1753">
        <v>0</v>
      </c>
      <c r="I330" s="2014">
        <v>80000</v>
      </c>
      <c r="J330" s="1117"/>
      <c r="K330" s="1320"/>
    </row>
    <row r="331" spans="1:11" s="116" customFormat="1" x14ac:dyDescent="0.2">
      <c r="A331" s="1734" t="s">
        <v>1212</v>
      </c>
      <c r="B331" s="1747" t="s">
        <v>1317</v>
      </c>
      <c r="C331" s="2000">
        <v>550000</v>
      </c>
      <c r="D331" s="1642">
        <v>425518</v>
      </c>
      <c r="E331" s="1642">
        <v>425518</v>
      </c>
      <c r="F331" s="1760">
        <v>1200</v>
      </c>
      <c r="G331" s="1761">
        <v>1200</v>
      </c>
      <c r="H331" s="1753">
        <v>1200</v>
      </c>
      <c r="I331" s="2014">
        <v>550000</v>
      </c>
      <c r="J331" s="1117"/>
      <c r="K331" s="1320"/>
    </row>
    <row r="332" spans="1:11" s="116" customFormat="1" x14ac:dyDescent="0.2">
      <c r="A332" s="1734" t="s">
        <v>1161</v>
      </c>
      <c r="B332" s="1747" t="s">
        <v>1162</v>
      </c>
      <c r="C332" s="2000">
        <v>50000</v>
      </c>
      <c r="D332" s="1642">
        <v>77924</v>
      </c>
      <c r="E332" s="1642">
        <v>77924</v>
      </c>
      <c r="F332" s="1760">
        <v>0</v>
      </c>
      <c r="G332" s="1761">
        <v>0</v>
      </c>
      <c r="H332" s="1753">
        <v>0</v>
      </c>
      <c r="I332" s="2014">
        <v>80000</v>
      </c>
      <c r="J332" s="1117"/>
      <c r="K332" s="1320"/>
    </row>
    <row r="333" spans="1:11" s="116" customFormat="1" x14ac:dyDescent="0.2">
      <c r="A333" s="1734" t="s">
        <v>1163</v>
      </c>
      <c r="B333" s="1747" t="s">
        <v>1164</v>
      </c>
      <c r="C333" s="2000">
        <v>60000</v>
      </c>
      <c r="D333" s="1642">
        <v>60000</v>
      </c>
      <c r="E333" s="1642">
        <v>60000</v>
      </c>
      <c r="F333" s="1760">
        <v>0</v>
      </c>
      <c r="G333" s="1761">
        <v>0</v>
      </c>
      <c r="H333" s="1753">
        <v>0</v>
      </c>
      <c r="I333" s="2014">
        <v>60000</v>
      </c>
      <c r="J333" s="1117"/>
      <c r="K333" s="1320"/>
    </row>
    <row r="334" spans="1:11" s="116" customFormat="1" x14ac:dyDescent="0.2">
      <c r="A334" s="1013" t="s">
        <v>591</v>
      </c>
      <c r="B334" s="963" t="s">
        <v>1327</v>
      </c>
      <c r="C334" s="2026">
        <v>1000000</v>
      </c>
      <c r="D334" s="904">
        <v>1000000</v>
      </c>
      <c r="E334" s="904">
        <v>1000000</v>
      </c>
      <c r="F334" s="1449">
        <v>0</v>
      </c>
      <c r="G334" s="918">
        <v>20160</v>
      </c>
      <c r="H334" s="917">
        <v>0</v>
      </c>
      <c r="I334" s="2027">
        <v>1000000</v>
      </c>
      <c r="J334" s="718">
        <f t="shared" ref="J334:K334" si="55">SUM(J336:J340)</f>
        <v>0</v>
      </c>
      <c r="K334" s="884">
        <f t="shared" si="55"/>
        <v>0</v>
      </c>
    </row>
    <row r="335" spans="1:11" s="116" customFormat="1" x14ac:dyDescent="0.2">
      <c r="A335" s="1010">
        <v>3632</v>
      </c>
      <c r="B335" s="931" t="s">
        <v>1369</v>
      </c>
      <c r="C335" s="718">
        <f t="shared" ref="C335:H335" si="56">SUM(C337:C341)</f>
        <v>4142630</v>
      </c>
      <c r="D335" s="897">
        <f t="shared" si="56"/>
        <v>4351328</v>
      </c>
      <c r="E335" s="897">
        <f t="shared" si="56"/>
        <v>4351328</v>
      </c>
      <c r="F335" s="897">
        <f t="shared" si="56"/>
        <v>3881240</v>
      </c>
      <c r="G335" s="718">
        <f t="shared" si="56"/>
        <v>3129411</v>
      </c>
      <c r="H335" s="699">
        <f t="shared" si="56"/>
        <v>2296908</v>
      </c>
      <c r="I335" s="718">
        <f>SUM(I337:I341)</f>
        <v>3466630</v>
      </c>
      <c r="J335" s="733"/>
      <c r="K335" s="1276"/>
    </row>
    <row r="336" spans="1:11" s="116" customFormat="1" x14ac:dyDescent="0.2">
      <c r="A336" s="744"/>
      <c r="B336" s="923" t="s">
        <v>1045</v>
      </c>
      <c r="C336" s="733">
        <f t="shared" ref="C336:I336" si="57">SUM(C337:C338)</f>
        <v>366630</v>
      </c>
      <c r="D336" s="733">
        <f t="shared" si="57"/>
        <v>575328</v>
      </c>
      <c r="E336" s="733">
        <f t="shared" si="57"/>
        <v>575328</v>
      </c>
      <c r="F336" s="733">
        <f t="shared" si="57"/>
        <v>205240</v>
      </c>
      <c r="G336" s="733">
        <f t="shared" si="57"/>
        <v>30240</v>
      </c>
      <c r="H336" s="457">
        <f t="shared" si="57"/>
        <v>30240</v>
      </c>
      <c r="I336" s="733">
        <f t="shared" si="57"/>
        <v>366630</v>
      </c>
      <c r="J336" s="1090"/>
      <c r="K336" s="1094"/>
    </row>
    <row r="337" spans="1:11" s="116" customFormat="1" x14ac:dyDescent="0.2">
      <c r="A337" s="1013" t="s">
        <v>377</v>
      </c>
      <c r="B337" s="922" t="s">
        <v>1165</v>
      </c>
      <c r="C337" s="2026">
        <v>366630</v>
      </c>
      <c r="D337" s="904">
        <v>400328</v>
      </c>
      <c r="E337" s="904">
        <v>400328</v>
      </c>
      <c r="F337" s="904">
        <v>30240</v>
      </c>
      <c r="G337" s="733">
        <v>30240</v>
      </c>
      <c r="H337" s="457">
        <v>30240</v>
      </c>
      <c r="I337" s="2026">
        <f>342430+24200</f>
        <v>366630</v>
      </c>
      <c r="J337" s="1090"/>
      <c r="K337" s="1094"/>
    </row>
    <row r="338" spans="1:11" s="116" customFormat="1" x14ac:dyDescent="0.2">
      <c r="A338" s="1013" t="s">
        <v>377</v>
      </c>
      <c r="B338" s="922" t="s">
        <v>1956</v>
      </c>
      <c r="C338" s="2026">
        <v>0</v>
      </c>
      <c r="D338" s="904">
        <v>175000</v>
      </c>
      <c r="E338" s="904">
        <v>175000</v>
      </c>
      <c r="F338" s="904">
        <v>175000</v>
      </c>
      <c r="G338" s="733">
        <v>0</v>
      </c>
      <c r="H338" s="457">
        <v>0</v>
      </c>
      <c r="I338" s="2026">
        <v>0</v>
      </c>
      <c r="J338" s="1090"/>
      <c r="K338" s="1094"/>
    </row>
    <row r="339" spans="1:11" s="116" customFormat="1" x14ac:dyDescent="0.2">
      <c r="A339" s="1012" t="s">
        <v>383</v>
      </c>
      <c r="B339" s="922" t="s">
        <v>1046</v>
      </c>
      <c r="C339" s="2026">
        <v>3400000</v>
      </c>
      <c r="D339" s="904">
        <v>3400000</v>
      </c>
      <c r="E339" s="904">
        <v>3400000</v>
      </c>
      <c r="F339" s="904">
        <v>3400000</v>
      </c>
      <c r="G339" s="733">
        <v>2833334</v>
      </c>
      <c r="H339" s="457">
        <v>2266668</v>
      </c>
      <c r="I339" s="2026">
        <v>3000000</v>
      </c>
      <c r="J339" s="1090"/>
      <c r="K339" s="1094"/>
    </row>
    <row r="340" spans="1:11" s="116" customFormat="1" x14ac:dyDescent="0.2">
      <c r="A340" s="1012" t="s">
        <v>383</v>
      </c>
      <c r="B340" s="922" t="s">
        <v>1167</v>
      </c>
      <c r="C340" s="2026">
        <v>276000</v>
      </c>
      <c r="D340" s="904">
        <v>276000</v>
      </c>
      <c r="E340" s="904">
        <v>276000</v>
      </c>
      <c r="F340" s="904">
        <v>276000</v>
      </c>
      <c r="G340" s="733">
        <v>265837</v>
      </c>
      <c r="H340" s="457">
        <v>0</v>
      </c>
      <c r="I340" s="2026">
        <v>0</v>
      </c>
      <c r="J340" s="1090"/>
      <c r="K340" s="1094"/>
    </row>
    <row r="341" spans="1:11" s="116" customFormat="1" x14ac:dyDescent="0.2">
      <c r="A341" s="1012" t="s">
        <v>387</v>
      </c>
      <c r="B341" s="922" t="s">
        <v>388</v>
      </c>
      <c r="C341" s="2026">
        <v>100000</v>
      </c>
      <c r="D341" s="904">
        <v>100000</v>
      </c>
      <c r="E341" s="904">
        <v>100000</v>
      </c>
      <c r="F341" s="904">
        <v>0</v>
      </c>
      <c r="G341" s="733">
        <v>0</v>
      </c>
      <c r="H341" s="457">
        <v>0</v>
      </c>
      <c r="I341" s="2026">
        <v>100000</v>
      </c>
      <c r="J341" s="718">
        <f t="shared" ref="J341:K341" si="58">SUM(J342)</f>
        <v>0</v>
      </c>
      <c r="K341" s="884">
        <f t="shared" si="58"/>
        <v>0</v>
      </c>
    </row>
    <row r="342" spans="1:11" s="116" customFormat="1" x14ac:dyDescent="0.2">
      <c r="A342" s="745">
        <v>3633</v>
      </c>
      <c r="B342" s="786" t="s">
        <v>1370</v>
      </c>
      <c r="C342" s="718">
        <f t="shared" ref="C342:I342" si="59">SUM(C343)</f>
        <v>1780000</v>
      </c>
      <c r="D342" s="897">
        <f t="shared" si="59"/>
        <v>1780000</v>
      </c>
      <c r="E342" s="897">
        <f t="shared" si="59"/>
        <v>1780000</v>
      </c>
      <c r="F342" s="897">
        <f t="shared" si="59"/>
        <v>1780000</v>
      </c>
      <c r="G342" s="718">
        <f t="shared" si="59"/>
        <v>0</v>
      </c>
      <c r="H342" s="699">
        <f t="shared" si="59"/>
        <v>0</v>
      </c>
      <c r="I342" s="718">
        <f t="shared" si="59"/>
        <v>0</v>
      </c>
      <c r="J342" s="1090"/>
      <c r="K342" s="1094"/>
    </row>
    <row r="343" spans="1:11" s="116" customFormat="1" ht="24.75" x14ac:dyDescent="0.2">
      <c r="A343" s="1012"/>
      <c r="B343" s="924" t="s">
        <v>1371</v>
      </c>
      <c r="C343" s="2026">
        <v>1780000</v>
      </c>
      <c r="D343" s="904">
        <v>1780000</v>
      </c>
      <c r="E343" s="904">
        <v>1780000</v>
      </c>
      <c r="F343" s="904">
        <v>1780000</v>
      </c>
      <c r="G343" s="733">
        <v>0</v>
      </c>
      <c r="H343" s="457">
        <v>0</v>
      </c>
      <c r="I343" s="2026">
        <v>0</v>
      </c>
      <c r="J343" s="718">
        <f t="shared" ref="J343:K343" si="60">SUM(J344:J345)</f>
        <v>0</v>
      </c>
      <c r="K343" s="884">
        <f t="shared" si="60"/>
        <v>0</v>
      </c>
    </row>
    <row r="344" spans="1:11" s="116" customFormat="1" x14ac:dyDescent="0.2">
      <c r="A344" s="745">
        <v>3639</v>
      </c>
      <c r="B344" s="921" t="s">
        <v>1372</v>
      </c>
      <c r="C344" s="718">
        <f t="shared" ref="C344:I344" si="61">SUM(C345:C346)</f>
        <v>14414.2</v>
      </c>
      <c r="D344" s="897">
        <f t="shared" si="61"/>
        <v>14414.2</v>
      </c>
      <c r="E344" s="897">
        <f t="shared" si="61"/>
        <v>14414.2</v>
      </c>
      <c r="F344" s="897">
        <f t="shared" si="61"/>
        <v>5000</v>
      </c>
      <c r="G344" s="718">
        <f t="shared" si="61"/>
        <v>6250.42</v>
      </c>
      <c r="H344" s="699">
        <f t="shared" si="61"/>
        <v>6250.42</v>
      </c>
      <c r="I344" s="718">
        <f t="shared" si="61"/>
        <v>5000</v>
      </c>
      <c r="J344" s="1090"/>
      <c r="K344" s="1094"/>
    </row>
    <row r="345" spans="1:11" s="116" customFormat="1" x14ac:dyDescent="0.2">
      <c r="A345" s="1013" t="s">
        <v>390</v>
      </c>
      <c r="B345" s="2028" t="s">
        <v>1373</v>
      </c>
      <c r="C345" s="2026">
        <v>9414.2000000000007</v>
      </c>
      <c r="D345" s="904">
        <v>9414.2000000000007</v>
      </c>
      <c r="E345" s="904">
        <v>9414.2000000000007</v>
      </c>
      <c r="F345" s="904">
        <v>0</v>
      </c>
      <c r="G345" s="733">
        <v>6250.42</v>
      </c>
      <c r="H345" s="457">
        <v>6250.42</v>
      </c>
      <c r="I345" s="2026">
        <v>0</v>
      </c>
      <c r="J345" s="1090"/>
      <c r="K345" s="1094"/>
    </row>
    <row r="346" spans="1:11" s="116" customFormat="1" x14ac:dyDescent="0.2">
      <c r="A346" s="2029" t="s">
        <v>392</v>
      </c>
      <c r="B346" s="922" t="s">
        <v>1374</v>
      </c>
      <c r="C346" s="2026">
        <v>5000</v>
      </c>
      <c r="D346" s="904">
        <v>5000</v>
      </c>
      <c r="E346" s="904">
        <v>5000</v>
      </c>
      <c r="F346" s="904">
        <v>5000</v>
      </c>
      <c r="G346" s="733">
        <v>0</v>
      </c>
      <c r="H346" s="457">
        <v>0</v>
      </c>
      <c r="I346" s="2026">
        <v>5000</v>
      </c>
      <c r="J346" s="718">
        <f t="shared" ref="J346:K346" si="62">SUM(J347:J348)</f>
        <v>0</v>
      </c>
      <c r="K346" s="884">
        <f t="shared" si="62"/>
        <v>0</v>
      </c>
    </row>
    <row r="347" spans="1:11" s="116" customFormat="1" x14ac:dyDescent="0.2">
      <c r="A347" s="745">
        <v>3699</v>
      </c>
      <c r="B347" s="921" t="s">
        <v>1375</v>
      </c>
      <c r="C347" s="718">
        <f>SUM(C348:C349)</f>
        <v>275000</v>
      </c>
      <c r="D347" s="718">
        <f t="shared" ref="D347:I347" si="63">SUM(D348:D349)</f>
        <v>347931</v>
      </c>
      <c r="E347" s="718">
        <f t="shared" si="63"/>
        <v>547931</v>
      </c>
      <c r="F347" s="718">
        <f t="shared" si="63"/>
        <v>455229.5</v>
      </c>
      <c r="G347" s="718">
        <f t="shared" si="63"/>
        <v>316050.2</v>
      </c>
      <c r="H347" s="718">
        <f t="shared" si="63"/>
        <v>183494.7</v>
      </c>
      <c r="I347" s="718">
        <f t="shared" si="63"/>
        <v>650000</v>
      </c>
      <c r="J347" s="735"/>
      <c r="K347" s="1317"/>
    </row>
    <row r="348" spans="1:11" s="116" customFormat="1" ht="13.5" thickBot="1" x14ac:dyDescent="0.25">
      <c r="A348" s="1014" t="s">
        <v>1792</v>
      </c>
      <c r="B348" s="915" t="s">
        <v>1947</v>
      </c>
      <c r="C348" s="735">
        <v>0</v>
      </c>
      <c r="D348" s="905">
        <v>72931</v>
      </c>
      <c r="E348" s="905">
        <v>272931</v>
      </c>
      <c r="F348" s="2030">
        <v>180229.5</v>
      </c>
      <c r="G348" s="734">
        <v>180229.5</v>
      </c>
      <c r="H348" s="406">
        <v>47674</v>
      </c>
      <c r="I348" s="735">
        <v>100000</v>
      </c>
      <c r="J348" s="1101"/>
      <c r="K348" s="1325"/>
    </row>
    <row r="349" spans="1:11" ht="12.75" customHeight="1" thickBot="1" x14ac:dyDescent="0.3">
      <c r="A349" s="1014" t="s">
        <v>395</v>
      </c>
      <c r="B349" s="2102" t="s">
        <v>1952</v>
      </c>
      <c r="C349" s="825">
        <v>275000</v>
      </c>
      <c r="D349" s="1120">
        <v>275000</v>
      </c>
      <c r="E349" s="905">
        <v>275000</v>
      </c>
      <c r="F349" s="825">
        <v>275000</v>
      </c>
      <c r="G349" s="734">
        <v>135820.70000000001</v>
      </c>
      <c r="H349" s="1121">
        <v>135820.70000000001</v>
      </c>
      <c r="I349" s="825">
        <v>550000</v>
      </c>
      <c r="J349" s="1392">
        <f t="shared" ref="J349:K349" si="64">J351+J363+J427+J454+J467+J479+J486+J499+J545+J570</f>
        <v>88630000</v>
      </c>
      <c r="K349" s="1326">
        <f t="shared" si="64"/>
        <v>0</v>
      </c>
    </row>
    <row r="350" spans="1:11" ht="12.75" customHeight="1" thickBot="1" x14ac:dyDescent="0.3">
      <c r="A350" s="2103"/>
      <c r="B350" s="915"/>
      <c r="C350" s="735"/>
      <c r="D350" s="726"/>
      <c r="E350" s="1992"/>
      <c r="F350" s="726"/>
      <c r="G350" s="1992"/>
      <c r="H350" s="33"/>
      <c r="I350" s="735"/>
      <c r="J350" s="2100"/>
      <c r="K350" s="2101"/>
    </row>
    <row r="351" spans="1:11" ht="21" thickBot="1" x14ac:dyDescent="0.35">
      <c r="A351" s="2045"/>
      <c r="B351" s="2046" t="s">
        <v>1047</v>
      </c>
      <c r="C351" s="2047">
        <f t="shared" ref="C351:K351" si="65">C352+C364+C428+C455+C468+C480+C487+C500+C546+C571</f>
        <v>196635250</v>
      </c>
      <c r="D351" s="2047">
        <f t="shared" si="65"/>
        <v>172295717.44999999</v>
      </c>
      <c r="E351" s="2047">
        <f t="shared" si="65"/>
        <v>147903272.44999999</v>
      </c>
      <c r="F351" s="2047">
        <f t="shared" si="65"/>
        <v>124153015.69000001</v>
      </c>
      <c r="G351" s="2047">
        <f t="shared" si="65"/>
        <v>89270388.50999999</v>
      </c>
      <c r="H351" s="2047">
        <f t="shared" si="65"/>
        <v>33899443.950000003</v>
      </c>
      <c r="I351" s="2047">
        <f>I352+I364+I428+I455+I468+I480+I487+I500+I546+I571</f>
        <v>268131950</v>
      </c>
      <c r="J351" s="2047">
        <f t="shared" si="65"/>
        <v>88630000</v>
      </c>
      <c r="K351" s="2048">
        <f t="shared" si="65"/>
        <v>0</v>
      </c>
    </row>
    <row r="352" spans="1:11" s="116" customFormat="1" ht="16.5" thickBot="1" x14ac:dyDescent="0.25">
      <c r="A352" s="1897"/>
      <c r="B352" s="1898" t="s">
        <v>398</v>
      </c>
      <c r="C352" s="1226">
        <f t="shared" ref="C352:K352" si="66">SUM(C353+C356)</f>
        <v>4800000</v>
      </c>
      <c r="D352" s="1226">
        <f t="shared" si="66"/>
        <v>1520000</v>
      </c>
      <c r="E352" s="1226">
        <f t="shared" si="66"/>
        <v>820000</v>
      </c>
      <c r="F352" s="1226">
        <f t="shared" si="66"/>
        <v>161403</v>
      </c>
      <c r="G352" s="1226">
        <f t="shared" si="66"/>
        <v>160787</v>
      </c>
      <c r="H352" s="1226">
        <f t="shared" si="66"/>
        <v>130779</v>
      </c>
      <c r="I352" s="1226">
        <f t="shared" si="66"/>
        <v>7770000</v>
      </c>
      <c r="J352" s="1226">
        <f t="shared" si="66"/>
        <v>0</v>
      </c>
      <c r="K352" s="1327">
        <f t="shared" si="66"/>
        <v>0</v>
      </c>
    </row>
    <row r="353" spans="1:11" s="116" customFormat="1" ht="13.5" customHeight="1" x14ac:dyDescent="0.2">
      <c r="A353" s="1125">
        <v>2310</v>
      </c>
      <c r="B353" s="1126" t="s">
        <v>1376</v>
      </c>
      <c r="C353" s="1124">
        <f t="shared" ref="C353:K353" si="67">SUM(C354:C355)</f>
        <v>1010000</v>
      </c>
      <c r="D353" s="1124">
        <f t="shared" si="67"/>
        <v>10000</v>
      </c>
      <c r="E353" s="1124">
        <f t="shared" si="67"/>
        <v>10000</v>
      </c>
      <c r="F353" s="1124">
        <f t="shared" si="67"/>
        <v>3000</v>
      </c>
      <c r="G353" s="1124">
        <f t="shared" si="67"/>
        <v>3000</v>
      </c>
      <c r="H353" s="1124">
        <f t="shared" si="67"/>
        <v>3000</v>
      </c>
      <c r="I353" s="1124">
        <f t="shared" si="67"/>
        <v>505000</v>
      </c>
      <c r="J353" s="1544">
        <f t="shared" si="67"/>
        <v>0</v>
      </c>
      <c r="K353" s="1544">
        <f t="shared" si="67"/>
        <v>0</v>
      </c>
    </row>
    <row r="354" spans="1:11" s="107" customFormat="1" ht="13.5" customHeight="1" x14ac:dyDescent="0.2">
      <c r="A354" s="809" t="s">
        <v>404</v>
      </c>
      <c r="B354" s="784" t="s">
        <v>1845</v>
      </c>
      <c r="C354" s="736">
        <v>10000</v>
      </c>
      <c r="D354" s="738">
        <v>10000</v>
      </c>
      <c r="E354" s="736">
        <v>10000</v>
      </c>
      <c r="F354" s="738">
        <v>3000</v>
      </c>
      <c r="G354" s="736">
        <v>3000</v>
      </c>
      <c r="H354" s="738">
        <v>3000</v>
      </c>
      <c r="I354" s="736">
        <v>5000</v>
      </c>
      <c r="J354" s="1328"/>
      <c r="K354" s="1328"/>
    </row>
    <row r="355" spans="1:11" s="107" customFormat="1" x14ac:dyDescent="0.2">
      <c r="A355" s="811" t="s">
        <v>1279</v>
      </c>
      <c r="B355" s="784" t="s">
        <v>1846</v>
      </c>
      <c r="C355" s="736">
        <v>1000000</v>
      </c>
      <c r="D355" s="738">
        <v>0</v>
      </c>
      <c r="E355" s="736">
        <v>0</v>
      </c>
      <c r="F355" s="738">
        <v>0</v>
      </c>
      <c r="G355" s="736">
        <v>0</v>
      </c>
      <c r="H355" s="738">
        <v>0</v>
      </c>
      <c r="I355" s="736">
        <v>500000</v>
      </c>
      <c r="J355" s="1328"/>
      <c r="K355" s="1328"/>
    </row>
    <row r="356" spans="1:11" s="107" customFormat="1" x14ac:dyDescent="0.2">
      <c r="A356" s="882">
        <v>2321</v>
      </c>
      <c r="B356" s="786" t="s">
        <v>1377</v>
      </c>
      <c r="C356" s="1124">
        <f>SUM(C357:C363)</f>
        <v>3790000</v>
      </c>
      <c r="D356" s="1124">
        <f t="shared" ref="D356:I356" si="68">SUM(D357:D363)</f>
        <v>1510000</v>
      </c>
      <c r="E356" s="1124">
        <f t="shared" si="68"/>
        <v>810000</v>
      </c>
      <c r="F356" s="1124">
        <f t="shared" si="68"/>
        <v>158403</v>
      </c>
      <c r="G356" s="1124">
        <f t="shared" si="68"/>
        <v>157787</v>
      </c>
      <c r="H356" s="1124">
        <f t="shared" si="68"/>
        <v>127779</v>
      </c>
      <c r="I356" s="1124">
        <f t="shared" si="68"/>
        <v>7265000</v>
      </c>
      <c r="J356" s="1203">
        <f>SUM(J357:J362)</f>
        <v>0</v>
      </c>
      <c r="K356" s="1203">
        <f>SUM(K357:K362)</f>
        <v>0</v>
      </c>
    </row>
    <row r="357" spans="1:11" s="107" customFormat="1" x14ac:dyDescent="0.2">
      <c r="A357" s="809" t="s">
        <v>1048</v>
      </c>
      <c r="B357" s="784" t="s">
        <v>1720</v>
      </c>
      <c r="C357" s="736">
        <v>300000</v>
      </c>
      <c r="D357" s="738">
        <v>30000</v>
      </c>
      <c r="E357" s="736">
        <v>30000</v>
      </c>
      <c r="F357" s="738">
        <v>25473</v>
      </c>
      <c r="G357" s="736">
        <v>25473</v>
      </c>
      <c r="H357" s="738">
        <v>1273</v>
      </c>
      <c r="I357" s="736">
        <v>5000</v>
      </c>
      <c r="J357" s="1328"/>
      <c r="K357" s="1328"/>
    </row>
    <row r="358" spans="1:11" s="107" customFormat="1" x14ac:dyDescent="0.2">
      <c r="A358" s="809" t="s">
        <v>1280</v>
      </c>
      <c r="B358" s="784" t="s">
        <v>1847</v>
      </c>
      <c r="C358" s="736">
        <v>1500000</v>
      </c>
      <c r="D358" s="738">
        <v>500000</v>
      </c>
      <c r="E358" s="736">
        <v>0</v>
      </c>
      <c r="F358" s="738">
        <v>0</v>
      </c>
      <c r="G358" s="736">
        <v>0</v>
      </c>
      <c r="H358" s="738">
        <v>0</v>
      </c>
      <c r="I358" s="736">
        <v>750000</v>
      </c>
      <c r="J358" s="1328"/>
      <c r="K358" s="1328"/>
    </row>
    <row r="359" spans="1:11" s="107" customFormat="1" x14ac:dyDescent="0.2">
      <c r="A359" s="811" t="s">
        <v>1281</v>
      </c>
      <c r="B359" s="784" t="s">
        <v>1848</v>
      </c>
      <c r="C359" s="736">
        <v>1000000</v>
      </c>
      <c r="D359" s="738">
        <v>0</v>
      </c>
      <c r="E359" s="736">
        <v>0</v>
      </c>
      <c r="F359" s="738">
        <v>0</v>
      </c>
      <c r="G359" s="736">
        <v>0</v>
      </c>
      <c r="H359" s="738">
        <v>0</v>
      </c>
      <c r="I359" s="736">
        <v>500000</v>
      </c>
      <c r="J359" s="1328"/>
      <c r="K359" s="1328"/>
    </row>
    <row r="360" spans="1:11" s="107" customFormat="1" x14ac:dyDescent="0.2">
      <c r="A360" s="809" t="s">
        <v>1282</v>
      </c>
      <c r="B360" s="784" t="s">
        <v>1721</v>
      </c>
      <c r="C360" s="736">
        <v>500000</v>
      </c>
      <c r="D360" s="738">
        <v>500000</v>
      </c>
      <c r="E360" s="736">
        <v>300000</v>
      </c>
      <c r="F360" s="738">
        <v>22930</v>
      </c>
      <c r="G360" s="736">
        <v>22930</v>
      </c>
      <c r="H360" s="738">
        <v>22930</v>
      </c>
      <c r="I360" s="736">
        <v>500000</v>
      </c>
      <c r="J360" s="1328"/>
      <c r="K360" s="1328"/>
    </row>
    <row r="361" spans="1:11" s="107" customFormat="1" x14ac:dyDescent="0.2">
      <c r="A361" s="809" t="s">
        <v>413</v>
      </c>
      <c r="B361" s="784" t="s">
        <v>414</v>
      </c>
      <c r="C361" s="736">
        <v>230000</v>
      </c>
      <c r="D361" s="738">
        <v>220000</v>
      </c>
      <c r="E361" s="736">
        <v>220000</v>
      </c>
      <c r="F361" s="738">
        <v>110000</v>
      </c>
      <c r="G361" s="736">
        <v>109384</v>
      </c>
      <c r="H361" s="738">
        <v>103576</v>
      </c>
      <c r="I361" s="736">
        <v>5000000</v>
      </c>
      <c r="J361" s="1328"/>
      <c r="K361" s="1328"/>
    </row>
    <row r="362" spans="1:11" s="107" customFormat="1" ht="13.5" thickBot="1" x14ac:dyDescent="0.25">
      <c r="A362" s="809" t="s">
        <v>415</v>
      </c>
      <c r="B362" s="784" t="s">
        <v>1270</v>
      </c>
      <c r="C362" s="736">
        <v>250000</v>
      </c>
      <c r="D362" s="738">
        <v>250000</v>
      </c>
      <c r="E362" s="736">
        <v>250000</v>
      </c>
      <c r="F362" s="738">
        <v>0</v>
      </c>
      <c r="G362" s="736">
        <v>0</v>
      </c>
      <c r="H362" s="738">
        <v>0</v>
      </c>
      <c r="I362" s="736">
        <v>450000</v>
      </c>
      <c r="J362" s="1328"/>
      <c r="K362" s="1328"/>
    </row>
    <row r="363" spans="1:11" s="12" customFormat="1" ht="16.5" thickBot="1" x14ac:dyDescent="0.25">
      <c r="A363" s="812" t="s">
        <v>417</v>
      </c>
      <c r="B363" s="787" t="s">
        <v>1849</v>
      </c>
      <c r="C363" s="739">
        <v>10000</v>
      </c>
      <c r="D363" s="866">
        <v>10000</v>
      </c>
      <c r="E363" s="739">
        <v>10000</v>
      </c>
      <c r="F363" s="866">
        <v>0</v>
      </c>
      <c r="G363" s="739">
        <v>0</v>
      </c>
      <c r="H363" s="866">
        <v>0</v>
      </c>
      <c r="I363" s="739">
        <v>60000</v>
      </c>
      <c r="J363" s="1899"/>
      <c r="K363" s="1329"/>
    </row>
    <row r="364" spans="1:11" s="12" customFormat="1" ht="16.5" thickBot="1" x14ac:dyDescent="0.3">
      <c r="A364" s="1131"/>
      <c r="B364" s="964" t="s">
        <v>424</v>
      </c>
      <c r="C364" s="1132">
        <f t="shared" ref="C364:K364" si="69">SUM(C365+C386+C424)</f>
        <v>57873000</v>
      </c>
      <c r="D364" s="1227">
        <f t="shared" si="69"/>
        <v>54276467.450000003</v>
      </c>
      <c r="E364" s="1226">
        <f t="shared" si="69"/>
        <v>43926467.450000003</v>
      </c>
      <c r="F364" s="1512">
        <f t="shared" si="69"/>
        <v>38066851.810000002</v>
      </c>
      <c r="G364" s="1226">
        <f t="shared" si="69"/>
        <v>23606344.740000002</v>
      </c>
      <c r="H364" s="1226">
        <f t="shared" si="69"/>
        <v>6745149.9900000002</v>
      </c>
      <c r="I364" s="1393">
        <f t="shared" si="69"/>
        <v>65784950</v>
      </c>
      <c r="J364" s="1393">
        <f t="shared" si="69"/>
        <v>35600000</v>
      </c>
      <c r="K364" s="1330">
        <f t="shared" si="69"/>
        <v>0</v>
      </c>
    </row>
    <row r="365" spans="1:11" s="12" customFormat="1" x14ac:dyDescent="0.2">
      <c r="A365" s="1125">
        <v>2212</v>
      </c>
      <c r="B365" s="1126" t="s">
        <v>1378</v>
      </c>
      <c r="C365" s="737">
        <f t="shared" ref="C365:K365" si="70">SUM(C366:C385)</f>
        <v>10770000</v>
      </c>
      <c r="D365" s="737">
        <f t="shared" si="70"/>
        <v>13220000</v>
      </c>
      <c r="E365" s="737">
        <f t="shared" si="70"/>
        <v>8040000</v>
      </c>
      <c r="F365" s="737">
        <f t="shared" si="70"/>
        <v>7377508.25</v>
      </c>
      <c r="G365" s="737">
        <f t="shared" si="70"/>
        <v>5388600.7599999998</v>
      </c>
      <c r="H365" s="737">
        <f t="shared" si="70"/>
        <v>531736.25</v>
      </c>
      <c r="I365" s="737">
        <f t="shared" si="70"/>
        <v>29190000</v>
      </c>
      <c r="J365" s="1203">
        <f t="shared" si="70"/>
        <v>9400000</v>
      </c>
      <c r="K365" s="1203">
        <f t="shared" si="70"/>
        <v>0</v>
      </c>
    </row>
    <row r="366" spans="1:11" s="12" customFormat="1" ht="14.25" customHeight="1" x14ac:dyDescent="0.2">
      <c r="A366" s="809" t="s">
        <v>293</v>
      </c>
      <c r="B366" s="784" t="s">
        <v>426</v>
      </c>
      <c r="C366" s="736">
        <v>300000</v>
      </c>
      <c r="D366" s="738">
        <v>2236500</v>
      </c>
      <c r="E366" s="736">
        <v>436500</v>
      </c>
      <c r="F366" s="738">
        <v>350000</v>
      </c>
      <c r="G366" s="736">
        <v>155957</v>
      </c>
      <c r="H366" s="738">
        <v>104048</v>
      </c>
      <c r="I366" s="736">
        <v>300000</v>
      </c>
      <c r="J366" s="1328"/>
      <c r="K366" s="1328"/>
    </row>
    <row r="367" spans="1:11" s="12" customFormat="1" x14ac:dyDescent="0.2">
      <c r="A367" s="809" t="s">
        <v>291</v>
      </c>
      <c r="B367" s="784" t="s">
        <v>427</v>
      </c>
      <c r="C367" s="736">
        <v>5000000</v>
      </c>
      <c r="D367" s="738">
        <v>5000000</v>
      </c>
      <c r="E367" s="736">
        <v>5000000</v>
      </c>
      <c r="F367" s="738">
        <v>4700000</v>
      </c>
      <c r="G367" s="736">
        <v>4605305.51</v>
      </c>
      <c r="H367" s="738">
        <v>0</v>
      </c>
      <c r="I367" s="736">
        <v>4000000</v>
      </c>
      <c r="J367" s="1328"/>
      <c r="K367" s="1328"/>
    </row>
    <row r="368" spans="1:11" s="12" customFormat="1" x14ac:dyDescent="0.2">
      <c r="A368" s="809" t="s">
        <v>293</v>
      </c>
      <c r="B368" s="784" t="s">
        <v>1850</v>
      </c>
      <c r="C368" s="736">
        <v>0</v>
      </c>
      <c r="D368" s="738">
        <v>0</v>
      </c>
      <c r="E368" s="736">
        <v>0</v>
      </c>
      <c r="F368" s="738">
        <v>0</v>
      </c>
      <c r="G368" s="736">
        <v>0</v>
      </c>
      <c r="H368" s="738">
        <v>0</v>
      </c>
      <c r="I368" s="736">
        <v>1500000</v>
      </c>
      <c r="J368" s="1317"/>
      <c r="K368" s="1317"/>
    </row>
    <row r="369" spans="1:11" s="12" customFormat="1" x14ac:dyDescent="0.2">
      <c r="A369" s="809" t="s">
        <v>1779</v>
      </c>
      <c r="B369" s="784" t="s">
        <v>1750</v>
      </c>
      <c r="C369" s="736">
        <v>0</v>
      </c>
      <c r="D369" s="738">
        <v>0</v>
      </c>
      <c r="E369" s="736">
        <v>0</v>
      </c>
      <c r="F369" s="738">
        <v>0</v>
      </c>
      <c r="G369" s="736">
        <v>0</v>
      </c>
      <c r="H369" s="738">
        <v>0</v>
      </c>
      <c r="I369" s="736">
        <v>750000</v>
      </c>
      <c r="J369" s="1328">
        <v>0</v>
      </c>
      <c r="K369" s="1328"/>
    </row>
    <row r="370" spans="1:11" s="12" customFormat="1" x14ac:dyDescent="0.2">
      <c r="A370" s="809" t="s">
        <v>440</v>
      </c>
      <c r="B370" s="784" t="s">
        <v>1851</v>
      </c>
      <c r="C370" s="736">
        <v>10000</v>
      </c>
      <c r="D370" s="738">
        <v>10000</v>
      </c>
      <c r="E370" s="736">
        <v>10000</v>
      </c>
      <c r="F370" s="738">
        <v>0</v>
      </c>
      <c r="G370" s="736">
        <v>0</v>
      </c>
      <c r="H370" s="738">
        <v>0</v>
      </c>
      <c r="I370" s="736">
        <v>5000</v>
      </c>
      <c r="J370" s="1328"/>
      <c r="K370" s="1328"/>
    </row>
    <row r="371" spans="1:11" s="12" customFormat="1" x14ac:dyDescent="0.2">
      <c r="A371" s="809" t="s">
        <v>442</v>
      </c>
      <c r="B371" s="785" t="s">
        <v>1852</v>
      </c>
      <c r="C371" s="736">
        <v>10000</v>
      </c>
      <c r="D371" s="738">
        <v>10000</v>
      </c>
      <c r="E371" s="736">
        <v>10000</v>
      </c>
      <c r="F371" s="738">
        <v>0</v>
      </c>
      <c r="G371" s="736">
        <v>0</v>
      </c>
      <c r="H371" s="738">
        <v>0</v>
      </c>
      <c r="I371" s="736">
        <v>5000</v>
      </c>
      <c r="J371" s="1328"/>
      <c r="K371" s="1328"/>
    </row>
    <row r="372" spans="1:11" s="12" customFormat="1" x14ac:dyDescent="0.2">
      <c r="A372" s="809" t="s">
        <v>444</v>
      </c>
      <c r="B372" s="784" t="s">
        <v>1545</v>
      </c>
      <c r="C372" s="736">
        <v>0</v>
      </c>
      <c r="D372" s="738">
        <v>13500</v>
      </c>
      <c r="E372" s="736">
        <v>13500</v>
      </c>
      <c r="F372" s="738">
        <v>13500</v>
      </c>
      <c r="G372" s="736">
        <v>13500</v>
      </c>
      <c r="H372" s="738">
        <v>13500</v>
      </c>
      <c r="I372" s="736">
        <v>0</v>
      </c>
      <c r="J372" s="1328"/>
      <c r="K372" s="1328"/>
    </row>
    <row r="373" spans="1:11" s="12" customFormat="1" x14ac:dyDescent="0.2">
      <c r="A373" s="809" t="s">
        <v>1049</v>
      </c>
      <c r="B373" s="784" t="s">
        <v>1173</v>
      </c>
      <c r="C373" s="736">
        <v>2200000</v>
      </c>
      <c r="D373" s="738">
        <v>2000000</v>
      </c>
      <c r="E373" s="736">
        <v>0</v>
      </c>
      <c r="F373" s="738">
        <v>0</v>
      </c>
      <c r="G373" s="736">
        <v>0</v>
      </c>
      <c r="H373" s="738">
        <v>0</v>
      </c>
      <c r="I373" s="736">
        <v>1150000</v>
      </c>
      <c r="J373" s="1328"/>
      <c r="K373" s="1328"/>
    </row>
    <row r="374" spans="1:11" s="12" customFormat="1" x14ac:dyDescent="0.2">
      <c r="A374" s="809" t="s">
        <v>449</v>
      </c>
      <c r="B374" s="784" t="s">
        <v>1546</v>
      </c>
      <c r="C374" s="736">
        <v>550000</v>
      </c>
      <c r="D374" s="738">
        <v>550000</v>
      </c>
      <c r="E374" s="736">
        <v>550000</v>
      </c>
      <c r="F374" s="738">
        <v>550000</v>
      </c>
      <c r="G374" s="736">
        <v>0</v>
      </c>
      <c r="H374" s="738">
        <v>0</v>
      </c>
      <c r="I374" s="736">
        <v>13000000</v>
      </c>
      <c r="J374" s="1328"/>
      <c r="K374" s="1328"/>
    </row>
    <row r="375" spans="1:11" s="12" customFormat="1" x14ac:dyDescent="0.2">
      <c r="A375" s="809" t="s">
        <v>1050</v>
      </c>
      <c r="B375" s="784" t="s">
        <v>1722</v>
      </c>
      <c r="C375" s="736">
        <v>150000</v>
      </c>
      <c r="D375" s="738">
        <v>350000</v>
      </c>
      <c r="E375" s="736">
        <v>350000</v>
      </c>
      <c r="F375" s="738">
        <v>350000</v>
      </c>
      <c r="G375" s="736">
        <v>0</v>
      </c>
      <c r="H375" s="738">
        <v>0</v>
      </c>
      <c r="I375" s="736">
        <v>30000</v>
      </c>
      <c r="J375" s="1328">
        <v>6200000</v>
      </c>
      <c r="K375" s="1328"/>
    </row>
    <row r="376" spans="1:11" s="12" customFormat="1" x14ac:dyDescent="0.2">
      <c r="A376" s="809" t="s">
        <v>1547</v>
      </c>
      <c r="B376" s="784" t="s">
        <v>1723</v>
      </c>
      <c r="C376" s="736">
        <v>0</v>
      </c>
      <c r="D376" s="738">
        <v>500000</v>
      </c>
      <c r="E376" s="736">
        <v>50000</v>
      </c>
      <c r="F376" s="738">
        <v>36300</v>
      </c>
      <c r="G376" s="736">
        <v>36300</v>
      </c>
      <c r="H376" s="738">
        <v>0</v>
      </c>
      <c r="I376" s="736">
        <v>350000</v>
      </c>
      <c r="J376" s="1328"/>
      <c r="K376" s="1328"/>
    </row>
    <row r="377" spans="1:11" s="12" customFormat="1" x14ac:dyDescent="0.2">
      <c r="A377" s="810" t="s">
        <v>453</v>
      </c>
      <c r="B377" s="784" t="s">
        <v>1325</v>
      </c>
      <c r="C377" s="736">
        <v>500000</v>
      </c>
      <c r="D377" s="738">
        <v>500000</v>
      </c>
      <c r="E377" s="736">
        <v>0</v>
      </c>
      <c r="F377" s="738">
        <v>0</v>
      </c>
      <c r="G377" s="736">
        <v>0</v>
      </c>
      <c r="H377" s="738">
        <v>0</v>
      </c>
      <c r="I377" s="736">
        <v>200000</v>
      </c>
      <c r="J377" s="1328"/>
      <c r="K377" s="1328"/>
    </row>
    <row r="378" spans="1:11" s="12" customFormat="1" x14ac:dyDescent="0.2">
      <c r="A378" s="809" t="s">
        <v>1724</v>
      </c>
      <c r="B378" s="784" t="s">
        <v>1725</v>
      </c>
      <c r="C378" s="736">
        <v>0</v>
      </c>
      <c r="D378" s="738">
        <v>0</v>
      </c>
      <c r="E378" s="736">
        <v>0</v>
      </c>
      <c r="F378" s="738">
        <v>0</v>
      </c>
      <c r="G378" s="736">
        <v>0</v>
      </c>
      <c r="H378" s="738">
        <v>0</v>
      </c>
      <c r="I378" s="736">
        <v>500000</v>
      </c>
      <c r="J378" s="1328"/>
      <c r="K378" s="1328"/>
    </row>
    <row r="379" spans="1:11" s="12" customFormat="1" x14ac:dyDescent="0.2">
      <c r="A379" s="809" t="s">
        <v>455</v>
      </c>
      <c r="B379" s="784" t="s">
        <v>1548</v>
      </c>
      <c r="C379" s="736">
        <v>350000</v>
      </c>
      <c r="D379" s="738">
        <v>350000</v>
      </c>
      <c r="E379" s="736">
        <v>350000</v>
      </c>
      <c r="F379" s="738">
        <v>307708.25</v>
      </c>
      <c r="G379" s="736">
        <v>307708.25</v>
      </c>
      <c r="H379" s="738">
        <v>307708.25</v>
      </c>
      <c r="I379" s="736">
        <v>0</v>
      </c>
      <c r="J379" s="1328"/>
      <c r="K379" s="1328"/>
    </row>
    <row r="380" spans="1:11" s="12" customFormat="1" x14ac:dyDescent="0.2">
      <c r="A380" s="809" t="s">
        <v>1706</v>
      </c>
      <c r="B380" s="784" t="s">
        <v>1707</v>
      </c>
      <c r="C380" s="736">
        <v>0</v>
      </c>
      <c r="D380" s="738">
        <v>0</v>
      </c>
      <c r="E380" s="736">
        <v>0</v>
      </c>
      <c r="F380" s="738">
        <v>0</v>
      </c>
      <c r="G380" s="736">
        <v>0</v>
      </c>
      <c r="H380" s="738">
        <v>0</v>
      </c>
      <c r="I380" s="736">
        <v>350000</v>
      </c>
      <c r="J380" s="1328"/>
      <c r="K380" s="1328"/>
    </row>
    <row r="381" spans="1:11" s="12" customFormat="1" x14ac:dyDescent="0.2">
      <c r="A381" s="809" t="s">
        <v>1283</v>
      </c>
      <c r="B381" s="784" t="s">
        <v>1549</v>
      </c>
      <c r="C381" s="736">
        <v>500000</v>
      </c>
      <c r="D381" s="738">
        <v>500000</v>
      </c>
      <c r="E381" s="736">
        <v>270000</v>
      </c>
      <c r="F381" s="738">
        <v>270000</v>
      </c>
      <c r="G381" s="736">
        <v>269830</v>
      </c>
      <c r="H381" s="738">
        <v>106480</v>
      </c>
      <c r="I381" s="736">
        <v>3000000</v>
      </c>
      <c r="J381" s="1328"/>
      <c r="K381" s="1328"/>
    </row>
    <row r="382" spans="1:11" s="12" customFormat="1" x14ac:dyDescent="0.2">
      <c r="A382" s="809" t="s">
        <v>1284</v>
      </c>
      <c r="B382" s="784" t="s">
        <v>1174</v>
      </c>
      <c r="C382" s="736">
        <v>600000</v>
      </c>
      <c r="D382" s="738">
        <v>600000</v>
      </c>
      <c r="E382" s="736">
        <v>400000</v>
      </c>
      <c r="F382" s="738">
        <v>350000</v>
      </c>
      <c r="G382" s="736">
        <v>0</v>
      </c>
      <c r="H382" s="738">
        <v>0</v>
      </c>
      <c r="I382" s="736">
        <v>350000</v>
      </c>
      <c r="J382" s="1328">
        <v>3200000</v>
      </c>
      <c r="K382" s="1328"/>
    </row>
    <row r="383" spans="1:11" s="12" customFormat="1" x14ac:dyDescent="0.2">
      <c r="A383" s="809" t="s">
        <v>1285</v>
      </c>
      <c r="B383" s="784" t="s">
        <v>1853</v>
      </c>
      <c r="C383" s="736">
        <v>600000</v>
      </c>
      <c r="D383" s="738">
        <v>600000</v>
      </c>
      <c r="E383" s="736">
        <v>600000</v>
      </c>
      <c r="F383" s="738">
        <v>450000</v>
      </c>
      <c r="G383" s="736">
        <v>0</v>
      </c>
      <c r="H383" s="738">
        <v>0</v>
      </c>
      <c r="I383" s="736">
        <v>3250000</v>
      </c>
      <c r="J383" s="1276"/>
      <c r="K383" s="1331"/>
    </row>
    <row r="384" spans="1:11" s="12" customFormat="1" x14ac:dyDescent="0.2">
      <c r="A384" s="809" t="s">
        <v>1652</v>
      </c>
      <c r="B384" s="915" t="s">
        <v>1780</v>
      </c>
      <c r="C384" s="735">
        <v>0</v>
      </c>
      <c r="D384" s="33">
        <v>0</v>
      </c>
      <c r="E384" s="735">
        <v>0</v>
      </c>
      <c r="F384" s="33">
        <v>0</v>
      </c>
      <c r="G384" s="735">
        <v>0</v>
      </c>
      <c r="H384" s="33">
        <v>0</v>
      </c>
      <c r="I384" s="735">
        <v>250000</v>
      </c>
      <c r="J384" s="1317"/>
      <c r="K384" s="1331"/>
    </row>
    <row r="385" spans="1:11" s="12" customFormat="1" x14ac:dyDescent="0.2">
      <c r="A385" s="809" t="s">
        <v>1653</v>
      </c>
      <c r="B385" s="929" t="s">
        <v>1628</v>
      </c>
      <c r="C385" s="873">
        <v>0</v>
      </c>
      <c r="D385" s="872">
        <v>0</v>
      </c>
      <c r="E385" s="873">
        <v>0</v>
      </c>
      <c r="F385" s="872">
        <v>0</v>
      </c>
      <c r="G385" s="873">
        <v>0</v>
      </c>
      <c r="H385" s="872">
        <v>0</v>
      </c>
      <c r="I385" s="873">
        <v>200000</v>
      </c>
      <c r="J385" s="1228"/>
      <c r="K385" s="1331"/>
    </row>
    <row r="386" spans="1:11" s="12" customFormat="1" x14ac:dyDescent="0.2">
      <c r="A386" s="882">
        <v>2219</v>
      </c>
      <c r="B386" s="786" t="s">
        <v>1379</v>
      </c>
      <c r="C386" s="737">
        <f t="shared" ref="C386:K386" si="71">SUM(C387:C423)</f>
        <v>45348000</v>
      </c>
      <c r="D386" s="737">
        <f t="shared" si="71"/>
        <v>39201467.450000003</v>
      </c>
      <c r="E386" s="737">
        <f t="shared" si="71"/>
        <v>34031467.450000003</v>
      </c>
      <c r="F386" s="737">
        <f t="shared" si="71"/>
        <v>29163343.560000002</v>
      </c>
      <c r="G386" s="737">
        <f t="shared" si="71"/>
        <v>18040240.620000001</v>
      </c>
      <c r="H386" s="737">
        <f t="shared" si="71"/>
        <v>6173931.7400000002</v>
      </c>
      <c r="I386" s="737">
        <f t="shared" si="71"/>
        <v>34448950</v>
      </c>
      <c r="J386" s="737">
        <f t="shared" si="71"/>
        <v>26200000</v>
      </c>
      <c r="K386" s="1331">
        <f t="shared" si="71"/>
        <v>0</v>
      </c>
    </row>
    <row r="387" spans="1:11" s="12" customFormat="1" x14ac:dyDescent="0.2">
      <c r="A387" s="809" t="s">
        <v>299</v>
      </c>
      <c r="B387" s="784" t="s">
        <v>463</v>
      </c>
      <c r="C387" s="736">
        <v>200000</v>
      </c>
      <c r="D387" s="738">
        <v>250000</v>
      </c>
      <c r="E387" s="736">
        <v>250000</v>
      </c>
      <c r="F387" s="738">
        <v>230000</v>
      </c>
      <c r="G387" s="736">
        <v>133200</v>
      </c>
      <c r="H387" s="738">
        <v>88000</v>
      </c>
      <c r="I387" s="736">
        <v>200000</v>
      </c>
      <c r="J387" s="1328"/>
      <c r="K387" s="1328"/>
    </row>
    <row r="388" spans="1:11" s="12" customFormat="1" x14ac:dyDescent="0.2">
      <c r="A388" s="809" t="s">
        <v>301</v>
      </c>
      <c r="B388" s="784" t="s">
        <v>464</v>
      </c>
      <c r="C388" s="736">
        <v>3600000</v>
      </c>
      <c r="D388" s="738">
        <v>3500000</v>
      </c>
      <c r="E388" s="736">
        <v>3500000</v>
      </c>
      <c r="F388" s="738">
        <v>3400000</v>
      </c>
      <c r="G388" s="736">
        <v>920012.26</v>
      </c>
      <c r="H388" s="738">
        <v>0</v>
      </c>
      <c r="I388" s="736">
        <v>1500000</v>
      </c>
      <c r="J388" s="1328"/>
      <c r="K388" s="1328"/>
    </row>
    <row r="389" spans="1:11" s="12" customFormat="1" x14ac:dyDescent="0.2">
      <c r="A389" s="809" t="s">
        <v>467</v>
      </c>
      <c r="B389" s="784" t="s">
        <v>1781</v>
      </c>
      <c r="C389" s="736">
        <v>5350000</v>
      </c>
      <c r="D389" s="738">
        <v>5850000</v>
      </c>
      <c r="E389" s="736">
        <v>5850000</v>
      </c>
      <c r="F389" s="738">
        <v>4000000</v>
      </c>
      <c r="G389" s="736">
        <v>68752.2</v>
      </c>
      <c r="H389" s="738">
        <v>5808</v>
      </c>
      <c r="I389" s="736">
        <v>2000000</v>
      </c>
      <c r="J389" s="1328"/>
      <c r="K389" s="1328"/>
    </row>
    <row r="390" spans="1:11" s="12" customFormat="1" x14ac:dyDescent="0.2">
      <c r="A390" s="809" t="s">
        <v>471</v>
      </c>
      <c r="B390" s="784" t="s">
        <v>1782</v>
      </c>
      <c r="C390" s="736">
        <v>1500000</v>
      </c>
      <c r="D390" s="738">
        <v>2210000</v>
      </c>
      <c r="E390" s="736">
        <v>2210000</v>
      </c>
      <c r="F390" s="738">
        <v>1500000</v>
      </c>
      <c r="G390" s="736">
        <v>1301550.97</v>
      </c>
      <c r="H390" s="738">
        <v>1295550.97</v>
      </c>
      <c r="I390" s="736">
        <v>500000</v>
      </c>
      <c r="J390" s="1328"/>
      <c r="K390" s="1328"/>
    </row>
    <row r="391" spans="1:11" s="12" customFormat="1" x14ac:dyDescent="0.2">
      <c r="A391" s="809" t="s">
        <v>1629</v>
      </c>
      <c r="B391" s="785" t="s">
        <v>1783</v>
      </c>
      <c r="C391" s="736">
        <v>0</v>
      </c>
      <c r="D391" s="738">
        <v>0</v>
      </c>
      <c r="E391" s="736">
        <v>0</v>
      </c>
      <c r="F391" s="738">
        <v>0</v>
      </c>
      <c r="G391" s="736">
        <v>0</v>
      </c>
      <c r="H391" s="738">
        <v>0</v>
      </c>
      <c r="I391" s="736">
        <v>2200000</v>
      </c>
      <c r="J391" s="1328"/>
      <c r="K391" s="1328"/>
    </row>
    <row r="392" spans="1:11" s="12" customFormat="1" x14ac:dyDescent="0.2">
      <c r="A392" s="811" t="s">
        <v>473</v>
      </c>
      <c r="B392" s="785" t="s">
        <v>1854</v>
      </c>
      <c r="C392" s="736">
        <v>100000</v>
      </c>
      <c r="D392" s="738">
        <v>100000</v>
      </c>
      <c r="E392" s="736">
        <v>100000</v>
      </c>
      <c r="F392" s="738">
        <v>58080</v>
      </c>
      <c r="G392" s="736">
        <v>58080</v>
      </c>
      <c r="H392" s="738">
        <v>58080</v>
      </c>
      <c r="I392" s="736">
        <v>5000</v>
      </c>
      <c r="J392" s="1328"/>
      <c r="K392" s="1328"/>
    </row>
    <row r="393" spans="1:11" s="12" customFormat="1" x14ac:dyDescent="0.2">
      <c r="A393" s="809" t="s">
        <v>489</v>
      </c>
      <c r="B393" s="784" t="s">
        <v>1784</v>
      </c>
      <c r="C393" s="736">
        <v>500000</v>
      </c>
      <c r="D393" s="738">
        <v>3000000</v>
      </c>
      <c r="E393" s="736">
        <v>2700000</v>
      </c>
      <c r="F393" s="738">
        <v>2680300.56</v>
      </c>
      <c r="G393" s="736">
        <v>2630300.56</v>
      </c>
      <c r="H393" s="738">
        <v>2630300.56</v>
      </c>
      <c r="I393" s="736">
        <v>0</v>
      </c>
      <c r="J393" s="1328"/>
      <c r="K393" s="1328"/>
    </row>
    <row r="394" spans="1:11" s="12" customFormat="1" x14ac:dyDescent="0.2">
      <c r="A394" s="809" t="s">
        <v>495</v>
      </c>
      <c r="B394" s="785" t="s">
        <v>1550</v>
      </c>
      <c r="C394" s="736">
        <v>37000</v>
      </c>
      <c r="D394" s="738">
        <v>37000</v>
      </c>
      <c r="E394" s="736">
        <v>37000</v>
      </c>
      <c r="F394" s="738">
        <v>36300</v>
      </c>
      <c r="G394" s="736">
        <v>36300</v>
      </c>
      <c r="H394" s="738">
        <v>36300</v>
      </c>
      <c r="I394" s="736">
        <v>2800000</v>
      </c>
      <c r="J394" s="1328"/>
      <c r="K394" s="1328"/>
    </row>
    <row r="395" spans="1:11" s="12" customFormat="1" x14ac:dyDescent="0.2">
      <c r="A395" s="809" t="s">
        <v>1175</v>
      </c>
      <c r="B395" s="785" t="s">
        <v>1551</v>
      </c>
      <c r="C395" s="736">
        <v>37000</v>
      </c>
      <c r="D395" s="738">
        <v>37000</v>
      </c>
      <c r="E395" s="736">
        <v>37000</v>
      </c>
      <c r="F395" s="738">
        <v>36300</v>
      </c>
      <c r="G395" s="736">
        <v>36300</v>
      </c>
      <c r="H395" s="738">
        <v>36300</v>
      </c>
      <c r="I395" s="736">
        <v>5050000</v>
      </c>
      <c r="J395" s="1328"/>
      <c r="K395" s="1328"/>
    </row>
    <row r="396" spans="1:11" s="12" customFormat="1" x14ac:dyDescent="0.2">
      <c r="A396" s="811" t="s">
        <v>1051</v>
      </c>
      <c r="B396" s="785" t="s">
        <v>1552</v>
      </c>
      <c r="C396" s="736">
        <v>200000</v>
      </c>
      <c r="D396" s="738">
        <v>200000</v>
      </c>
      <c r="E396" s="736">
        <v>200000</v>
      </c>
      <c r="F396" s="738">
        <v>100000</v>
      </c>
      <c r="G396" s="736">
        <v>59692</v>
      </c>
      <c r="H396" s="738">
        <v>59692</v>
      </c>
      <c r="I396" s="736">
        <v>200000</v>
      </c>
      <c r="J396" s="1328"/>
      <c r="K396" s="1328"/>
    </row>
    <row r="397" spans="1:11" s="12" customFormat="1" x14ac:dyDescent="0.2">
      <c r="A397" s="811" t="s">
        <v>1052</v>
      </c>
      <c r="B397" s="785" t="s">
        <v>1553</v>
      </c>
      <c r="C397" s="736">
        <v>3330000</v>
      </c>
      <c r="D397" s="738">
        <v>3330000</v>
      </c>
      <c r="E397" s="736">
        <v>3330000</v>
      </c>
      <c r="F397" s="738">
        <v>2900000</v>
      </c>
      <c r="G397" s="736">
        <v>2556960.04</v>
      </c>
      <c r="H397" s="738">
        <v>141119</v>
      </c>
      <c r="I397" s="736">
        <v>0</v>
      </c>
      <c r="J397" s="1328"/>
      <c r="K397" s="1328"/>
    </row>
    <row r="398" spans="1:11" s="12" customFormat="1" x14ac:dyDescent="0.2">
      <c r="A398" s="811" t="s">
        <v>1053</v>
      </c>
      <c r="B398" s="785" t="s">
        <v>1554</v>
      </c>
      <c r="C398" s="736">
        <v>1630000</v>
      </c>
      <c r="D398" s="738">
        <v>1630000</v>
      </c>
      <c r="E398" s="736">
        <v>1180000</v>
      </c>
      <c r="F398" s="738">
        <v>1510000</v>
      </c>
      <c r="G398" s="736">
        <v>1172402.21</v>
      </c>
      <c r="H398" s="738">
        <v>112884.5</v>
      </c>
      <c r="I398" s="736">
        <v>0</v>
      </c>
      <c r="J398" s="1328"/>
      <c r="K398" s="1328"/>
    </row>
    <row r="399" spans="1:11" s="12" customFormat="1" x14ac:dyDescent="0.2">
      <c r="A399" s="811" t="s">
        <v>1054</v>
      </c>
      <c r="B399" s="785" t="s">
        <v>1555</v>
      </c>
      <c r="C399" s="736">
        <v>2400000</v>
      </c>
      <c r="D399" s="738">
        <v>2400000</v>
      </c>
      <c r="E399" s="736">
        <v>1600000</v>
      </c>
      <c r="F399" s="738">
        <v>1680000</v>
      </c>
      <c r="G399" s="736">
        <v>1591569.08</v>
      </c>
      <c r="H399" s="738">
        <v>79710</v>
      </c>
      <c r="I399" s="736">
        <v>0</v>
      </c>
      <c r="J399" s="1328"/>
      <c r="K399" s="1328"/>
    </row>
    <row r="400" spans="1:11" s="12" customFormat="1" x14ac:dyDescent="0.2">
      <c r="A400" s="811" t="s">
        <v>1055</v>
      </c>
      <c r="B400" s="785" t="s">
        <v>1556</v>
      </c>
      <c r="C400" s="736">
        <v>3150000</v>
      </c>
      <c r="D400" s="738">
        <v>2568449.4500000002</v>
      </c>
      <c r="E400" s="736">
        <v>2258449.4500000002</v>
      </c>
      <c r="F400" s="738">
        <v>2253000</v>
      </c>
      <c r="G400" s="736">
        <v>2252557.63</v>
      </c>
      <c r="H400" s="738">
        <v>138667</v>
      </c>
      <c r="I400" s="736">
        <v>0</v>
      </c>
      <c r="J400" s="1328"/>
      <c r="K400" s="1328"/>
    </row>
    <row r="401" spans="1:11" s="12" customFormat="1" x14ac:dyDescent="0.2">
      <c r="A401" s="811" t="s">
        <v>1176</v>
      </c>
      <c r="B401" s="785" t="s">
        <v>1557</v>
      </c>
      <c r="C401" s="736">
        <v>37000</v>
      </c>
      <c r="D401" s="738">
        <v>37000</v>
      </c>
      <c r="E401" s="736">
        <v>37000</v>
      </c>
      <c r="F401" s="738">
        <v>36300</v>
      </c>
      <c r="G401" s="736">
        <v>0</v>
      </c>
      <c r="H401" s="738">
        <v>0</v>
      </c>
      <c r="I401" s="736">
        <v>0</v>
      </c>
      <c r="J401" s="1328"/>
      <c r="K401" s="1328"/>
    </row>
    <row r="402" spans="1:11" s="12" customFormat="1" x14ac:dyDescent="0.2">
      <c r="A402" s="811" t="s">
        <v>1177</v>
      </c>
      <c r="B402" s="785" t="s">
        <v>1558</v>
      </c>
      <c r="C402" s="736">
        <v>37000</v>
      </c>
      <c r="D402" s="738">
        <v>37000</v>
      </c>
      <c r="E402" s="736">
        <v>37000</v>
      </c>
      <c r="F402" s="738">
        <v>36300</v>
      </c>
      <c r="G402" s="736">
        <v>0</v>
      </c>
      <c r="H402" s="738">
        <v>0</v>
      </c>
      <c r="I402" s="736">
        <v>2000000</v>
      </c>
      <c r="J402" s="1328"/>
      <c r="K402" s="1328"/>
    </row>
    <row r="403" spans="1:11" s="12" customFormat="1" x14ac:dyDescent="0.2">
      <c r="A403" s="811" t="s">
        <v>1178</v>
      </c>
      <c r="B403" s="785" t="s">
        <v>1271</v>
      </c>
      <c r="C403" s="736">
        <v>40000</v>
      </c>
      <c r="D403" s="738">
        <v>40000</v>
      </c>
      <c r="E403" s="736">
        <v>40000</v>
      </c>
      <c r="F403" s="738">
        <v>0</v>
      </c>
      <c r="G403" s="736">
        <v>0</v>
      </c>
      <c r="H403" s="738">
        <v>0</v>
      </c>
      <c r="I403" s="736">
        <v>0</v>
      </c>
      <c r="J403" s="1328"/>
      <c r="K403" s="1328"/>
    </row>
    <row r="404" spans="1:11" s="12" customFormat="1" x14ac:dyDescent="0.2">
      <c r="A404" s="811" t="s">
        <v>1179</v>
      </c>
      <c r="B404" s="785" t="s">
        <v>1785</v>
      </c>
      <c r="C404" s="736">
        <v>190000</v>
      </c>
      <c r="D404" s="738">
        <v>190000</v>
      </c>
      <c r="E404" s="736">
        <v>190000</v>
      </c>
      <c r="F404" s="738">
        <v>40000</v>
      </c>
      <c r="G404" s="736">
        <v>0</v>
      </c>
      <c r="H404" s="738">
        <v>0</v>
      </c>
      <c r="I404" s="736">
        <v>50000</v>
      </c>
      <c r="J404" s="1328"/>
      <c r="K404" s="1328"/>
    </row>
    <row r="405" spans="1:11" s="12" customFormat="1" x14ac:dyDescent="0.2">
      <c r="A405" s="811" t="s">
        <v>1286</v>
      </c>
      <c r="B405" s="785" t="s">
        <v>1855</v>
      </c>
      <c r="C405" s="736">
        <v>550000</v>
      </c>
      <c r="D405" s="738">
        <v>550000</v>
      </c>
      <c r="E405" s="736">
        <v>550000</v>
      </c>
      <c r="F405" s="738">
        <v>450000</v>
      </c>
      <c r="G405" s="736">
        <v>375100</v>
      </c>
      <c r="H405" s="738">
        <v>290400</v>
      </c>
      <c r="I405" s="736">
        <v>60000</v>
      </c>
      <c r="J405" s="1328">
        <v>9900000</v>
      </c>
      <c r="K405" s="1328"/>
    </row>
    <row r="406" spans="1:11" s="12" customFormat="1" x14ac:dyDescent="0.2">
      <c r="A406" s="811" t="s">
        <v>1287</v>
      </c>
      <c r="B406" s="785" t="s">
        <v>1272</v>
      </c>
      <c r="C406" s="736">
        <v>800000</v>
      </c>
      <c r="D406" s="738">
        <v>800000</v>
      </c>
      <c r="E406" s="736">
        <v>70000</v>
      </c>
      <c r="F406" s="738">
        <v>60500</v>
      </c>
      <c r="G406" s="736">
        <v>0</v>
      </c>
      <c r="H406" s="738">
        <v>0</v>
      </c>
      <c r="I406" s="736">
        <v>330000</v>
      </c>
      <c r="J406" s="1328"/>
      <c r="K406" s="1328"/>
    </row>
    <row r="407" spans="1:11" s="12" customFormat="1" x14ac:dyDescent="0.2">
      <c r="A407" s="811" t="s">
        <v>1288</v>
      </c>
      <c r="B407" s="785" t="s">
        <v>1273</v>
      </c>
      <c r="C407" s="736">
        <v>600000</v>
      </c>
      <c r="D407" s="738">
        <v>600000</v>
      </c>
      <c r="E407" s="736">
        <v>50000</v>
      </c>
      <c r="F407" s="738">
        <v>42350</v>
      </c>
      <c r="G407" s="736">
        <v>0</v>
      </c>
      <c r="H407" s="738">
        <v>0</v>
      </c>
      <c r="I407" s="736">
        <v>370000</v>
      </c>
      <c r="J407" s="1328"/>
      <c r="K407" s="1328"/>
    </row>
    <row r="408" spans="1:11" s="12" customFormat="1" x14ac:dyDescent="0.2">
      <c r="A408" s="811" t="s">
        <v>1289</v>
      </c>
      <c r="B408" s="785" t="s">
        <v>1274</v>
      </c>
      <c r="C408" s="736">
        <v>350000</v>
      </c>
      <c r="D408" s="738">
        <v>350000</v>
      </c>
      <c r="E408" s="2128">
        <v>350000</v>
      </c>
      <c r="F408" s="866">
        <v>9680</v>
      </c>
      <c r="G408" s="739">
        <v>9680</v>
      </c>
      <c r="H408" s="738">
        <v>0</v>
      </c>
      <c r="I408" s="736">
        <v>26000</v>
      </c>
      <c r="J408" s="1328"/>
      <c r="K408" s="1328"/>
    </row>
    <row r="409" spans="1:11" s="12" customFormat="1" x14ac:dyDescent="0.2">
      <c r="A409" s="811" t="s">
        <v>1630</v>
      </c>
      <c r="B409" s="785" t="s">
        <v>1559</v>
      </c>
      <c r="C409" s="736">
        <v>0</v>
      </c>
      <c r="D409" s="738">
        <v>0</v>
      </c>
      <c r="E409" s="1122">
        <v>0</v>
      </c>
      <c r="F409" s="2129">
        <v>0</v>
      </c>
      <c r="G409" s="2129">
        <v>0</v>
      </c>
      <c r="H409" s="738">
        <v>0</v>
      </c>
      <c r="I409" s="736">
        <v>500000</v>
      </c>
      <c r="J409" s="1328"/>
      <c r="K409" s="1328"/>
    </row>
    <row r="410" spans="1:11" s="12" customFormat="1" x14ac:dyDescent="0.2">
      <c r="A410" s="811" t="s">
        <v>1631</v>
      </c>
      <c r="B410" s="785" t="s">
        <v>1856</v>
      </c>
      <c r="C410" s="736">
        <v>0</v>
      </c>
      <c r="D410" s="738">
        <v>0</v>
      </c>
      <c r="E410" s="736">
        <v>0</v>
      </c>
      <c r="F410" s="738">
        <v>0</v>
      </c>
      <c r="G410" s="736">
        <v>0</v>
      </c>
      <c r="H410" s="738">
        <v>0</v>
      </c>
      <c r="I410" s="736">
        <v>500000</v>
      </c>
      <c r="J410" s="1328"/>
      <c r="K410" s="1328"/>
    </row>
    <row r="411" spans="1:11" s="12" customFormat="1" x14ac:dyDescent="0.2">
      <c r="A411" s="811" t="s">
        <v>1632</v>
      </c>
      <c r="B411" s="785" t="s">
        <v>1708</v>
      </c>
      <c r="C411" s="736">
        <v>0</v>
      </c>
      <c r="D411" s="738">
        <v>0</v>
      </c>
      <c r="E411" s="739">
        <v>0</v>
      </c>
      <c r="F411" s="1230">
        <v>0</v>
      </c>
      <c r="G411" s="739">
        <v>0</v>
      </c>
      <c r="H411" s="738">
        <v>0</v>
      </c>
      <c r="I411" s="736">
        <v>500000</v>
      </c>
      <c r="J411" s="1328"/>
      <c r="K411" s="1328"/>
    </row>
    <row r="412" spans="1:11" s="12" customFormat="1" x14ac:dyDescent="0.2">
      <c r="A412" s="811" t="s">
        <v>1056</v>
      </c>
      <c r="B412" s="785" t="s">
        <v>1560</v>
      </c>
      <c r="C412" s="736">
        <v>5600000</v>
      </c>
      <c r="D412" s="738">
        <v>5622018</v>
      </c>
      <c r="E412" s="2129">
        <v>5622018</v>
      </c>
      <c r="F412" s="1491">
        <v>5500000</v>
      </c>
      <c r="G412" s="2129">
        <v>4147514.66</v>
      </c>
      <c r="H412" s="738">
        <v>581660.21</v>
      </c>
      <c r="I412" s="736">
        <v>0</v>
      </c>
      <c r="J412" s="1328"/>
      <c r="K412" s="1328"/>
    </row>
    <row r="413" spans="1:11" s="12" customFormat="1" x14ac:dyDescent="0.2">
      <c r="A413" s="811" t="s">
        <v>1181</v>
      </c>
      <c r="B413" s="785" t="s">
        <v>1857</v>
      </c>
      <c r="C413" s="736">
        <v>1700000</v>
      </c>
      <c r="D413" s="738">
        <v>1700000</v>
      </c>
      <c r="E413" s="736">
        <v>1200000</v>
      </c>
      <c r="F413" s="738">
        <v>887933</v>
      </c>
      <c r="G413" s="736">
        <v>312896</v>
      </c>
      <c r="H413" s="738">
        <v>286770</v>
      </c>
      <c r="I413" s="736">
        <v>660000</v>
      </c>
      <c r="J413" s="1328">
        <v>10000000</v>
      </c>
      <c r="K413" s="1328"/>
    </row>
    <row r="414" spans="1:11" s="12" customFormat="1" x14ac:dyDescent="0.2">
      <c r="A414" s="811" t="s">
        <v>1182</v>
      </c>
      <c r="B414" s="785" t="s">
        <v>1057</v>
      </c>
      <c r="C414" s="736">
        <v>1300000</v>
      </c>
      <c r="D414" s="738">
        <v>1300000</v>
      </c>
      <c r="E414" s="736">
        <v>550000</v>
      </c>
      <c r="F414" s="738">
        <v>550000</v>
      </c>
      <c r="G414" s="736">
        <v>0</v>
      </c>
      <c r="H414" s="738">
        <v>0</v>
      </c>
      <c r="I414" s="736">
        <v>730000</v>
      </c>
      <c r="J414" s="1328"/>
      <c r="K414" s="1328"/>
    </row>
    <row r="415" spans="1:11" s="12" customFormat="1" x14ac:dyDescent="0.2">
      <c r="A415" s="811" t="s">
        <v>1290</v>
      </c>
      <c r="B415" s="785" t="s">
        <v>1219</v>
      </c>
      <c r="C415" s="736">
        <v>630000</v>
      </c>
      <c r="D415" s="738">
        <v>630000</v>
      </c>
      <c r="E415" s="736">
        <v>630000</v>
      </c>
      <c r="F415" s="738">
        <v>514250</v>
      </c>
      <c r="G415" s="736">
        <v>0</v>
      </c>
      <c r="H415" s="738">
        <v>0</v>
      </c>
      <c r="I415" s="736">
        <v>114950</v>
      </c>
      <c r="J415" s="1328"/>
      <c r="K415" s="1328"/>
    </row>
    <row r="416" spans="1:11" s="12" customFormat="1" x14ac:dyDescent="0.2">
      <c r="A416" s="811" t="s">
        <v>1291</v>
      </c>
      <c r="B416" s="785" t="s">
        <v>1220</v>
      </c>
      <c r="C416" s="736">
        <v>800000</v>
      </c>
      <c r="D416" s="738">
        <v>800000</v>
      </c>
      <c r="E416" s="736">
        <v>20000</v>
      </c>
      <c r="F416" s="738">
        <v>12100</v>
      </c>
      <c r="G416" s="736">
        <v>12100</v>
      </c>
      <c r="H416" s="738">
        <v>0</v>
      </c>
      <c r="I416" s="736">
        <v>560000</v>
      </c>
      <c r="J416" s="1328"/>
      <c r="K416" s="1328"/>
    </row>
    <row r="417" spans="1:12" s="12" customFormat="1" x14ac:dyDescent="0.2">
      <c r="A417" s="811" t="s">
        <v>1633</v>
      </c>
      <c r="B417" s="785" t="s">
        <v>1561</v>
      </c>
      <c r="C417" s="736">
        <v>0</v>
      </c>
      <c r="D417" s="738">
        <v>0</v>
      </c>
      <c r="E417" s="736">
        <v>0</v>
      </c>
      <c r="F417" s="738">
        <v>0</v>
      </c>
      <c r="G417" s="736">
        <v>0</v>
      </c>
      <c r="H417" s="738">
        <v>0</v>
      </c>
      <c r="I417" s="736">
        <v>800000</v>
      </c>
      <c r="J417" s="1328"/>
      <c r="K417" s="1328"/>
    </row>
    <row r="418" spans="1:12" s="12" customFormat="1" x14ac:dyDescent="0.2">
      <c r="A418" s="811" t="s">
        <v>1183</v>
      </c>
      <c r="B418" s="785" t="s">
        <v>1184</v>
      </c>
      <c r="C418" s="736">
        <v>350000</v>
      </c>
      <c r="D418" s="738">
        <v>363000</v>
      </c>
      <c r="E418" s="736">
        <v>363000</v>
      </c>
      <c r="F418" s="738">
        <v>0</v>
      </c>
      <c r="G418" s="736">
        <v>17583.509999999998</v>
      </c>
      <c r="H418" s="738">
        <v>0</v>
      </c>
      <c r="I418" s="736">
        <v>363000</v>
      </c>
      <c r="J418" s="1328"/>
      <c r="K418" s="1328"/>
    </row>
    <row r="419" spans="1:12" s="12" customFormat="1" x14ac:dyDescent="0.2">
      <c r="A419" s="811" t="s">
        <v>1185</v>
      </c>
      <c r="B419" s="785" t="s">
        <v>1562</v>
      </c>
      <c r="C419" s="736">
        <v>590000</v>
      </c>
      <c r="D419" s="738">
        <v>590000</v>
      </c>
      <c r="E419" s="736">
        <v>590000</v>
      </c>
      <c r="F419" s="738">
        <v>497900</v>
      </c>
      <c r="G419" s="736">
        <v>332689.5</v>
      </c>
      <c r="H419" s="738">
        <v>332689.5</v>
      </c>
      <c r="I419" s="736">
        <v>100000</v>
      </c>
      <c r="J419" s="1328"/>
      <c r="K419" s="1328"/>
      <c r="L419" s="12" t="s">
        <v>448</v>
      </c>
    </row>
    <row r="420" spans="1:12" s="12" customFormat="1" x14ac:dyDescent="0.2">
      <c r="A420" s="811" t="s">
        <v>1186</v>
      </c>
      <c r="B420" s="785" t="s">
        <v>1223</v>
      </c>
      <c r="C420" s="736">
        <v>9650000</v>
      </c>
      <c r="D420" s="738">
        <v>390000</v>
      </c>
      <c r="E420" s="736">
        <v>390000</v>
      </c>
      <c r="F420" s="738">
        <v>127050</v>
      </c>
      <c r="G420" s="736">
        <v>0</v>
      </c>
      <c r="H420" s="738">
        <v>0</v>
      </c>
      <c r="I420" s="736">
        <v>11000000</v>
      </c>
      <c r="J420" s="1328"/>
      <c r="K420" s="1328"/>
    </row>
    <row r="421" spans="1:12" s="12" customFormat="1" x14ac:dyDescent="0.2">
      <c r="A421" s="811" t="s">
        <v>1058</v>
      </c>
      <c r="B421" s="785" t="s">
        <v>1858</v>
      </c>
      <c r="C421" s="736">
        <v>30000</v>
      </c>
      <c r="D421" s="738">
        <v>30000</v>
      </c>
      <c r="E421" s="736">
        <v>30000</v>
      </c>
      <c r="F421" s="738">
        <v>15000</v>
      </c>
      <c r="G421" s="736">
        <v>15000</v>
      </c>
      <c r="H421" s="738">
        <v>0</v>
      </c>
      <c r="I421" s="736">
        <v>1300000</v>
      </c>
      <c r="J421" s="1328"/>
      <c r="K421" s="1328"/>
    </row>
    <row r="422" spans="1:12" s="12" customFormat="1" ht="12.75" customHeight="1" x14ac:dyDescent="0.2">
      <c r="A422" s="811" t="s">
        <v>1059</v>
      </c>
      <c r="B422" s="785" t="s">
        <v>1275</v>
      </c>
      <c r="C422" s="736">
        <v>50000</v>
      </c>
      <c r="D422" s="738">
        <v>50000</v>
      </c>
      <c r="E422" s="736">
        <v>50000</v>
      </c>
      <c r="F422" s="738">
        <v>0</v>
      </c>
      <c r="G422" s="736">
        <v>0</v>
      </c>
      <c r="H422" s="738">
        <v>0</v>
      </c>
      <c r="I422" s="736">
        <v>20000</v>
      </c>
      <c r="J422" s="1328"/>
      <c r="K422" s="1328"/>
    </row>
    <row r="423" spans="1:12" s="12" customFormat="1" ht="12.75" customHeight="1" x14ac:dyDescent="0.2">
      <c r="A423" s="809" t="s">
        <v>503</v>
      </c>
      <c r="B423" s="785" t="s">
        <v>1859</v>
      </c>
      <c r="C423" s="736">
        <v>10000</v>
      </c>
      <c r="D423" s="738">
        <v>10000</v>
      </c>
      <c r="E423" s="736">
        <v>10000</v>
      </c>
      <c r="F423" s="738">
        <v>0</v>
      </c>
      <c r="G423" s="736">
        <v>0</v>
      </c>
      <c r="H423" s="738">
        <v>0</v>
      </c>
      <c r="I423" s="736">
        <v>10000</v>
      </c>
      <c r="J423" s="1276">
        <v>6300000</v>
      </c>
      <c r="K423" s="1331"/>
    </row>
    <row r="424" spans="1:12" s="12" customFormat="1" ht="19.5" customHeight="1" x14ac:dyDescent="0.2">
      <c r="A424" s="882">
        <v>2221</v>
      </c>
      <c r="B424" s="786" t="s">
        <v>1380</v>
      </c>
      <c r="C424" s="737">
        <f>SUM(C425:C427)</f>
        <v>1755000</v>
      </c>
      <c r="D424" s="737">
        <f t="shared" ref="D424:K424" si="72">SUM(D425:D427)</f>
        <v>1855000</v>
      </c>
      <c r="E424" s="737">
        <f t="shared" si="72"/>
        <v>1855000</v>
      </c>
      <c r="F424" s="737">
        <f t="shared" si="72"/>
        <v>1526000</v>
      </c>
      <c r="G424" s="737">
        <f t="shared" si="72"/>
        <v>177503.35999999999</v>
      </c>
      <c r="H424" s="737">
        <f t="shared" si="72"/>
        <v>39482</v>
      </c>
      <c r="I424" s="737">
        <f t="shared" si="72"/>
        <v>2146000</v>
      </c>
      <c r="J424" s="737">
        <f t="shared" si="72"/>
        <v>0</v>
      </c>
      <c r="K424" s="1331">
        <f t="shared" si="72"/>
        <v>0</v>
      </c>
    </row>
    <row r="425" spans="1:12" s="12" customFormat="1" ht="12.75" customHeight="1" x14ac:dyDescent="0.2">
      <c r="A425" s="811" t="s">
        <v>521</v>
      </c>
      <c r="B425" s="2130" t="s">
        <v>1563</v>
      </c>
      <c r="C425" s="2128">
        <v>1400000</v>
      </c>
      <c r="D425" s="738">
        <v>1400000</v>
      </c>
      <c r="E425" s="2128">
        <v>1400000</v>
      </c>
      <c r="F425" s="2119">
        <v>1300000</v>
      </c>
      <c r="G425" s="2128">
        <v>21780</v>
      </c>
      <c r="H425" s="738">
        <v>21780</v>
      </c>
      <c r="I425" s="1982">
        <v>0</v>
      </c>
      <c r="J425" s="736"/>
      <c r="K425" s="1328"/>
    </row>
    <row r="426" spans="1:12" s="12" customFormat="1" x14ac:dyDescent="0.2">
      <c r="A426" s="811" t="s">
        <v>1705</v>
      </c>
      <c r="B426" s="2131" t="s">
        <v>1187</v>
      </c>
      <c r="C426" s="735">
        <v>0</v>
      </c>
      <c r="D426" s="738">
        <v>0</v>
      </c>
      <c r="E426" s="735">
        <v>0</v>
      </c>
      <c r="F426" s="879">
        <v>0</v>
      </c>
      <c r="G426" s="858">
        <v>0</v>
      </c>
      <c r="H426" s="738">
        <v>0</v>
      </c>
      <c r="I426" s="879">
        <v>2000000</v>
      </c>
      <c r="J426" s="736"/>
      <c r="K426" s="1328"/>
    </row>
    <row r="427" spans="1:12" s="12" customFormat="1" ht="13.5" thickBot="1" x14ac:dyDescent="0.25">
      <c r="A427" s="811" t="s">
        <v>1060</v>
      </c>
      <c r="B427" s="2132" t="s">
        <v>1061</v>
      </c>
      <c r="C427" s="1991">
        <v>355000</v>
      </c>
      <c r="D427" s="866">
        <v>455000</v>
      </c>
      <c r="E427" s="1085">
        <v>455000</v>
      </c>
      <c r="F427" s="1085">
        <v>226000</v>
      </c>
      <c r="G427" s="735">
        <v>155723.35999999999</v>
      </c>
      <c r="H427" s="866">
        <v>17702</v>
      </c>
      <c r="I427" s="1085">
        <v>146000</v>
      </c>
      <c r="J427" s="739"/>
      <c r="K427" s="1332"/>
    </row>
    <row r="428" spans="1:12" s="12" customFormat="1" ht="16.5" thickBot="1" x14ac:dyDescent="0.3">
      <c r="A428" s="1123"/>
      <c r="B428" s="928" t="s">
        <v>1188</v>
      </c>
      <c r="C428" s="1074">
        <f>SUM(C429,C439,C453)</f>
        <v>30785000</v>
      </c>
      <c r="D428" s="1493">
        <f>SUM(D429,D439,D453)</f>
        <v>15085000</v>
      </c>
      <c r="E428" s="1493">
        <f>SUM(E429,E439,E450,E453)</f>
        <v>15085000</v>
      </c>
      <c r="F428" s="1196">
        <f>SUM(F429,F439,F453)</f>
        <v>13404226.710000001</v>
      </c>
      <c r="G428" s="1513">
        <f>SUM(G429,G439,G453)</f>
        <v>9727133.120000001</v>
      </c>
      <c r="H428" s="1457">
        <f>SUM(H429,H439,H453)</f>
        <v>2875736.9699999997</v>
      </c>
      <c r="I428" s="1196">
        <f>SUM(I429,I439,I450,I453)</f>
        <v>68628000</v>
      </c>
      <c r="J428" s="1394">
        <f>SUM(J429,J439,J453)</f>
        <v>14000000</v>
      </c>
      <c r="K428" s="1333">
        <f>SUM(K429,K439,K453)</f>
        <v>0</v>
      </c>
    </row>
    <row r="429" spans="1:12" s="12" customFormat="1" x14ac:dyDescent="0.2">
      <c r="A429" s="1900">
        <v>3111</v>
      </c>
      <c r="B429" s="1901" t="s">
        <v>1569</v>
      </c>
      <c r="C429" s="1511">
        <f>SUM(C430:C438)</f>
        <v>10435000</v>
      </c>
      <c r="D429" s="1514">
        <f t="shared" ref="D429:K429" si="73">SUM(D430:D438)</f>
        <v>10435000</v>
      </c>
      <c r="E429" s="1514">
        <f t="shared" si="73"/>
        <v>10435000</v>
      </c>
      <c r="F429" s="2057">
        <f t="shared" si="73"/>
        <v>9851100</v>
      </c>
      <c r="G429" s="1514">
        <f t="shared" si="73"/>
        <v>6174006.4100000001</v>
      </c>
      <c r="H429" s="1511">
        <f t="shared" si="73"/>
        <v>571941.22</v>
      </c>
      <c r="I429" s="1514">
        <f>SUM(I430:I438)</f>
        <v>6370000</v>
      </c>
      <c r="J429" s="1544">
        <f t="shared" si="73"/>
        <v>14000000</v>
      </c>
      <c r="K429" s="1544">
        <f t="shared" si="73"/>
        <v>0</v>
      </c>
    </row>
    <row r="430" spans="1:12" s="12" customFormat="1" x14ac:dyDescent="0.2">
      <c r="A430" s="811" t="s">
        <v>1189</v>
      </c>
      <c r="B430" s="784" t="s">
        <v>1860</v>
      </c>
      <c r="C430" s="1450">
        <v>4635000</v>
      </c>
      <c r="D430" s="736">
        <v>0</v>
      </c>
      <c r="E430" s="736">
        <v>0</v>
      </c>
      <c r="F430" s="738">
        <v>0</v>
      </c>
      <c r="G430" s="1984">
        <v>0</v>
      </c>
      <c r="H430" s="1983">
        <v>0</v>
      </c>
      <c r="I430" s="736">
        <v>6000000</v>
      </c>
      <c r="J430" s="1328"/>
      <c r="K430" s="1328"/>
    </row>
    <row r="431" spans="1:12" s="12" customFormat="1" x14ac:dyDescent="0.2">
      <c r="A431" s="811" t="s">
        <v>1190</v>
      </c>
      <c r="B431" s="784" t="s">
        <v>1861</v>
      </c>
      <c r="C431" s="1450">
        <v>5000000</v>
      </c>
      <c r="D431" s="736">
        <v>4480000</v>
      </c>
      <c r="E431" s="736">
        <v>4480000</v>
      </c>
      <c r="F431" s="738">
        <v>4200000</v>
      </c>
      <c r="G431" s="1984">
        <v>4069878.28</v>
      </c>
      <c r="H431" s="1983">
        <v>25300</v>
      </c>
      <c r="I431" s="736">
        <v>0</v>
      </c>
      <c r="J431" s="1328"/>
      <c r="K431" s="1328"/>
    </row>
    <row r="432" spans="1:12" s="12" customFormat="1" x14ac:dyDescent="0.2">
      <c r="A432" s="864" t="s">
        <v>1191</v>
      </c>
      <c r="B432" s="865" t="s">
        <v>1862</v>
      </c>
      <c r="C432" s="1240">
        <v>800000</v>
      </c>
      <c r="D432" s="739">
        <v>800000</v>
      </c>
      <c r="E432" s="739">
        <v>800000</v>
      </c>
      <c r="F432" s="866">
        <v>496100</v>
      </c>
      <c r="G432" s="1982">
        <v>0</v>
      </c>
      <c r="H432" s="2119">
        <v>0</v>
      </c>
      <c r="I432" s="739">
        <v>10000</v>
      </c>
      <c r="J432" s="1328">
        <v>12000000</v>
      </c>
      <c r="K432" s="1328"/>
    </row>
    <row r="433" spans="1:11" s="12" customFormat="1" x14ac:dyDescent="0.2">
      <c r="A433" s="868" t="s">
        <v>1564</v>
      </c>
      <c r="B433" s="969" t="s">
        <v>1863</v>
      </c>
      <c r="C433" s="1184">
        <v>0</v>
      </c>
      <c r="D433" s="871">
        <v>5155000</v>
      </c>
      <c r="E433" s="871">
        <v>5155000</v>
      </c>
      <c r="F433" s="870">
        <v>5155000</v>
      </c>
      <c r="G433" s="2122">
        <v>2104128.13</v>
      </c>
      <c r="H433" s="2120">
        <v>546641.22</v>
      </c>
      <c r="I433" s="871">
        <v>5000</v>
      </c>
      <c r="J433" s="1328">
        <v>2000000</v>
      </c>
      <c r="K433" s="1328"/>
    </row>
    <row r="434" spans="1:11" x14ac:dyDescent="0.2">
      <c r="A434" s="1902" t="s">
        <v>1864</v>
      </c>
      <c r="B434" s="1903" t="s">
        <v>1865</v>
      </c>
      <c r="C434" s="1904">
        <v>0</v>
      </c>
      <c r="D434" s="1905"/>
      <c r="E434" s="1905">
        <v>0</v>
      </c>
      <c r="F434" s="1906">
        <v>0</v>
      </c>
      <c r="G434" s="1905">
        <v>0</v>
      </c>
      <c r="H434" s="1920"/>
      <c r="I434" s="1905">
        <v>45000</v>
      </c>
      <c r="J434" s="1907"/>
      <c r="K434" s="1908"/>
    </row>
    <row r="435" spans="1:11" x14ac:dyDescent="0.2">
      <c r="A435" s="1909" t="s">
        <v>1866</v>
      </c>
      <c r="B435" s="1910" t="s">
        <v>1867</v>
      </c>
      <c r="C435" s="1911">
        <v>0</v>
      </c>
      <c r="D435" s="1912"/>
      <c r="E435" s="1912">
        <v>0</v>
      </c>
      <c r="F435" s="1913">
        <v>0</v>
      </c>
      <c r="G435" s="1905">
        <v>0</v>
      </c>
      <c r="H435" s="1920"/>
      <c r="I435" s="1912">
        <v>100000</v>
      </c>
      <c r="J435" s="1914"/>
      <c r="K435" s="1915"/>
    </row>
    <row r="436" spans="1:11" x14ac:dyDescent="0.2">
      <c r="A436" s="1916" t="s">
        <v>1868</v>
      </c>
      <c r="B436" s="1917" t="s">
        <v>1869</v>
      </c>
      <c r="C436" s="1918">
        <v>0</v>
      </c>
      <c r="D436" s="1919"/>
      <c r="E436" s="1919">
        <v>0</v>
      </c>
      <c r="F436" s="1920">
        <v>0</v>
      </c>
      <c r="G436" s="1905">
        <v>0</v>
      </c>
      <c r="H436" s="1920"/>
      <c r="I436" s="1919">
        <v>10000</v>
      </c>
      <c r="J436" s="1921"/>
      <c r="K436" s="1922"/>
    </row>
    <row r="437" spans="1:11" x14ac:dyDescent="0.2">
      <c r="A437" s="1923" t="s">
        <v>1870</v>
      </c>
      <c r="B437" s="1924" t="s">
        <v>1871</v>
      </c>
      <c r="C437" s="1925">
        <v>0</v>
      </c>
      <c r="D437" s="1926"/>
      <c r="E437" s="1926">
        <v>0</v>
      </c>
      <c r="F437" s="1927">
        <v>0</v>
      </c>
      <c r="G437" s="1905">
        <v>0</v>
      </c>
      <c r="H437" s="1920"/>
      <c r="I437" s="1926">
        <v>100000</v>
      </c>
      <c r="J437" s="1928"/>
      <c r="K437" s="1929"/>
    </row>
    <row r="438" spans="1:11" x14ac:dyDescent="0.2">
      <c r="A438" s="1930" t="s">
        <v>1872</v>
      </c>
      <c r="B438" s="1931" t="s">
        <v>1873</v>
      </c>
      <c r="C438" s="1932">
        <v>0</v>
      </c>
      <c r="D438" s="1933"/>
      <c r="E438" s="1933">
        <v>0</v>
      </c>
      <c r="F438" s="1934">
        <v>0</v>
      </c>
      <c r="G438" s="1905">
        <v>0</v>
      </c>
      <c r="H438" s="1920"/>
      <c r="I438" s="1933">
        <v>100000</v>
      </c>
      <c r="J438" s="1935"/>
      <c r="K438" s="1936"/>
    </row>
    <row r="439" spans="1:11" s="12" customFormat="1" x14ac:dyDescent="0.2">
      <c r="A439" s="1939">
        <v>3113</v>
      </c>
      <c r="B439" s="1931" t="s">
        <v>1570</v>
      </c>
      <c r="C439" s="1940">
        <f t="shared" ref="C439:I439" si="74">SUM(C440:C449)</f>
        <v>20350000</v>
      </c>
      <c r="D439" s="1940">
        <f t="shared" si="74"/>
        <v>4650000</v>
      </c>
      <c r="E439" s="1940">
        <f t="shared" si="74"/>
        <v>4550000</v>
      </c>
      <c r="F439" s="1940">
        <f t="shared" si="74"/>
        <v>3553126.71</v>
      </c>
      <c r="G439" s="2123">
        <f t="shared" si="74"/>
        <v>3553126.71</v>
      </c>
      <c r="H439" s="2121">
        <f t="shared" si="74"/>
        <v>2303795.75</v>
      </c>
      <c r="I439" s="1940">
        <f t="shared" si="74"/>
        <v>31955000</v>
      </c>
      <c r="J439" s="1941">
        <f>SUM(J440:J453)</f>
        <v>0</v>
      </c>
      <c r="K439" s="1941">
        <f>SUM(K440:K453)</f>
        <v>0</v>
      </c>
    </row>
    <row r="440" spans="1:11" s="12" customFormat="1" x14ac:dyDescent="0.2">
      <c r="A440" s="1937" t="s">
        <v>1565</v>
      </c>
      <c r="B440" s="1938" t="s">
        <v>1224</v>
      </c>
      <c r="C440" s="1932">
        <v>500000</v>
      </c>
      <c r="D440" s="1933">
        <v>500000</v>
      </c>
      <c r="E440" s="1933">
        <v>500000</v>
      </c>
      <c r="F440" s="1934">
        <v>0</v>
      </c>
      <c r="G440" s="1905">
        <v>0</v>
      </c>
      <c r="H440" s="1920">
        <v>0</v>
      </c>
      <c r="I440" s="1933">
        <v>500000</v>
      </c>
      <c r="J440" s="1929"/>
      <c r="K440" s="1929"/>
    </row>
    <row r="441" spans="1:11" s="12" customFormat="1" x14ac:dyDescent="0.2">
      <c r="A441" s="1942" t="s">
        <v>1726</v>
      </c>
      <c r="B441" s="1943" t="s">
        <v>1874</v>
      </c>
      <c r="C441" s="1925">
        <v>2150000</v>
      </c>
      <c r="D441" s="1926">
        <v>2580000</v>
      </c>
      <c r="E441" s="1926">
        <v>2580000</v>
      </c>
      <c r="F441" s="1927">
        <v>2551609.71</v>
      </c>
      <c r="G441" s="1905">
        <v>2551609.71</v>
      </c>
      <c r="H441" s="1920">
        <v>1302278.75</v>
      </c>
      <c r="I441" s="1926">
        <v>5000</v>
      </c>
      <c r="J441" s="1317"/>
      <c r="K441" s="1317"/>
    </row>
    <row r="442" spans="1:11" s="12" customFormat="1" x14ac:dyDescent="0.2">
      <c r="A442" s="1942" t="s">
        <v>1727</v>
      </c>
      <c r="B442" s="1943" t="s">
        <v>1566</v>
      </c>
      <c r="C442" s="1925">
        <v>1500000</v>
      </c>
      <c r="D442" s="1926">
        <v>1300000</v>
      </c>
      <c r="E442" s="1926">
        <v>1200000</v>
      </c>
      <c r="F442" s="1927">
        <v>1001517</v>
      </c>
      <c r="G442" s="1905">
        <v>1001517</v>
      </c>
      <c r="H442" s="1920">
        <v>1001517</v>
      </c>
      <c r="I442" s="1926">
        <v>0</v>
      </c>
      <c r="J442" s="1317"/>
      <c r="K442" s="1317"/>
    </row>
    <row r="443" spans="1:11" s="12" customFormat="1" x14ac:dyDescent="0.2">
      <c r="A443" s="1942" t="s">
        <v>1567</v>
      </c>
      <c r="B443" s="1943" t="s">
        <v>1875</v>
      </c>
      <c r="C443" s="1925">
        <v>1700000</v>
      </c>
      <c r="D443" s="1926">
        <v>0</v>
      </c>
      <c r="E443" s="1926">
        <v>0</v>
      </c>
      <c r="F443" s="1927">
        <v>0</v>
      </c>
      <c r="G443" s="1905">
        <v>0</v>
      </c>
      <c r="H443" s="1920">
        <v>0</v>
      </c>
      <c r="I443" s="1926">
        <v>0</v>
      </c>
      <c r="J443" s="1317"/>
      <c r="K443" s="1317"/>
    </row>
    <row r="444" spans="1:11" s="12" customFormat="1" x14ac:dyDescent="0.2">
      <c r="A444" s="1942" t="s">
        <v>1568</v>
      </c>
      <c r="B444" s="1944" t="s">
        <v>1192</v>
      </c>
      <c r="C444" s="1932">
        <v>14500000</v>
      </c>
      <c r="D444" s="1945">
        <v>270000</v>
      </c>
      <c r="E444" s="1945">
        <v>270000</v>
      </c>
      <c r="F444" s="1946">
        <v>0</v>
      </c>
      <c r="G444" s="1955">
        <v>0</v>
      </c>
      <c r="H444" s="1956">
        <v>0</v>
      </c>
      <c r="I444" s="1926">
        <v>30000000</v>
      </c>
      <c r="J444" s="1317">
        <v>0</v>
      </c>
      <c r="K444" s="1317"/>
    </row>
    <row r="445" spans="1:11" x14ac:dyDescent="0.2">
      <c r="A445" s="1923" t="s">
        <v>1876</v>
      </c>
      <c r="B445" s="1947" t="s">
        <v>1877</v>
      </c>
      <c r="C445" s="1932">
        <v>0</v>
      </c>
      <c r="D445" s="1926"/>
      <c r="E445" s="1932">
        <v>0</v>
      </c>
      <c r="F445" s="1932">
        <v>0</v>
      </c>
      <c r="G445" s="1932">
        <v>0</v>
      </c>
      <c r="H445" s="1920"/>
      <c r="I445" s="1926">
        <v>150000</v>
      </c>
      <c r="J445" s="1317"/>
      <c r="K445" s="1317"/>
    </row>
    <row r="446" spans="1:11" x14ac:dyDescent="0.2">
      <c r="A446" s="1923" t="s">
        <v>1878</v>
      </c>
      <c r="B446" s="1938" t="s">
        <v>1879</v>
      </c>
      <c r="C446" s="1932">
        <v>0</v>
      </c>
      <c r="D446" s="1926"/>
      <c r="E446" s="1932">
        <v>0</v>
      </c>
      <c r="F446" s="1932">
        <v>0</v>
      </c>
      <c r="G446" s="1932">
        <v>0</v>
      </c>
      <c r="H446" s="1920"/>
      <c r="I446" s="1926">
        <v>200000</v>
      </c>
      <c r="J446" s="1317"/>
      <c r="K446" s="1317"/>
    </row>
    <row r="447" spans="1:11" x14ac:dyDescent="0.2">
      <c r="A447" s="1923" t="s">
        <v>1880</v>
      </c>
      <c r="B447" s="1938" t="s">
        <v>1881</v>
      </c>
      <c r="C447" s="1932">
        <v>0</v>
      </c>
      <c r="D447" s="1926"/>
      <c r="E447" s="1932">
        <v>0</v>
      </c>
      <c r="F447" s="1932">
        <v>0</v>
      </c>
      <c r="G447" s="1932">
        <v>0</v>
      </c>
      <c r="H447" s="1920"/>
      <c r="I447" s="1926">
        <v>100000</v>
      </c>
      <c r="J447" s="1317"/>
      <c r="K447" s="1317"/>
    </row>
    <row r="448" spans="1:11" ht="12.75" customHeight="1" x14ac:dyDescent="0.2">
      <c r="A448" s="1923" t="s">
        <v>1882</v>
      </c>
      <c r="B448" s="1938" t="s">
        <v>1883</v>
      </c>
      <c r="C448" s="1932">
        <v>0</v>
      </c>
      <c r="D448" s="1926"/>
      <c r="E448" s="1932">
        <v>0</v>
      </c>
      <c r="F448" s="1932">
        <v>0</v>
      </c>
      <c r="G448" s="1932">
        <v>0</v>
      </c>
      <c r="H448" s="1920"/>
      <c r="I448" s="1926">
        <v>850000</v>
      </c>
      <c r="J448" s="1317"/>
      <c r="K448" s="1317"/>
    </row>
    <row r="449" spans="1:12" ht="12.75" customHeight="1" x14ac:dyDescent="0.2">
      <c r="A449" s="1923" t="s">
        <v>1884</v>
      </c>
      <c r="B449" s="1686" t="s">
        <v>1885</v>
      </c>
      <c r="C449" s="1579">
        <v>0</v>
      </c>
      <c r="D449" s="1416"/>
      <c r="E449" s="1579">
        <v>0</v>
      </c>
      <c r="F449" s="1579">
        <v>0</v>
      </c>
      <c r="G449" s="1579">
        <v>0</v>
      </c>
      <c r="H449" s="1616"/>
      <c r="I449" s="1416">
        <v>150000</v>
      </c>
      <c r="J449" s="1317"/>
      <c r="K449" s="1317"/>
    </row>
    <row r="450" spans="1:12" s="12" customFormat="1" x14ac:dyDescent="0.2">
      <c r="A450" s="1948">
        <v>3412</v>
      </c>
      <c r="B450" s="1949" t="s">
        <v>1886</v>
      </c>
      <c r="C450" s="1950">
        <f t="shared" ref="C450:I450" si="75">SUM(C451:C452)</f>
        <v>0</v>
      </c>
      <c r="D450" s="1950">
        <f t="shared" si="75"/>
        <v>0</v>
      </c>
      <c r="E450" s="1950">
        <f t="shared" si="75"/>
        <v>100000</v>
      </c>
      <c r="F450" s="1950">
        <f t="shared" si="75"/>
        <v>0</v>
      </c>
      <c r="G450" s="2123">
        <f t="shared" si="75"/>
        <v>0</v>
      </c>
      <c r="H450" s="2121">
        <f t="shared" si="75"/>
        <v>0</v>
      </c>
      <c r="I450" s="1950">
        <f t="shared" si="75"/>
        <v>30003000</v>
      </c>
      <c r="J450" s="1317"/>
      <c r="K450" s="1317"/>
    </row>
    <row r="451" spans="1:12" s="12" customFormat="1" x14ac:dyDescent="0.2">
      <c r="A451" s="1952" t="s">
        <v>1887</v>
      </c>
      <c r="B451" s="1953" t="s">
        <v>1888</v>
      </c>
      <c r="C451" s="1954">
        <v>0</v>
      </c>
      <c r="D451" s="1955"/>
      <c r="E451" s="1955">
        <v>50000</v>
      </c>
      <c r="F451" s="1956">
        <v>0</v>
      </c>
      <c r="G451" s="1955">
        <v>0</v>
      </c>
      <c r="H451" s="1956"/>
      <c r="I451" s="1951">
        <v>3000</v>
      </c>
      <c r="J451" s="1317"/>
      <c r="K451" s="1317"/>
    </row>
    <row r="452" spans="1:12" s="12" customFormat="1" x14ac:dyDescent="0.2">
      <c r="A452" s="1952" t="s">
        <v>1889</v>
      </c>
      <c r="B452" s="1957" t="s">
        <v>1890</v>
      </c>
      <c r="C452" s="1954">
        <v>0</v>
      </c>
      <c r="D452" s="1955"/>
      <c r="E452" s="1955">
        <v>50000</v>
      </c>
      <c r="F452" s="1956">
        <v>0</v>
      </c>
      <c r="G452" s="1955">
        <v>0</v>
      </c>
      <c r="H452" s="1956"/>
      <c r="I452" s="1951">
        <v>30000000</v>
      </c>
      <c r="J452" s="1317"/>
      <c r="K452" s="1317"/>
    </row>
    <row r="453" spans="1:12" ht="12.75" customHeight="1" x14ac:dyDescent="0.2">
      <c r="A453" s="1958">
        <v>3233</v>
      </c>
      <c r="B453" s="1959" t="s">
        <v>1891</v>
      </c>
      <c r="C453" s="1940">
        <f t="shared" ref="C453:H453" si="76">SUM(C454)</f>
        <v>0</v>
      </c>
      <c r="D453" s="1960">
        <f>SUM(D454)</f>
        <v>0</v>
      </c>
      <c r="E453" s="1960">
        <f>SUM(E454)</f>
        <v>0</v>
      </c>
      <c r="F453" s="1961">
        <f t="shared" si="76"/>
        <v>0</v>
      </c>
      <c r="G453" s="2123">
        <f t="shared" si="76"/>
        <v>0</v>
      </c>
      <c r="H453" s="2121">
        <f t="shared" si="76"/>
        <v>0</v>
      </c>
      <c r="I453" s="1960">
        <f>SUM(I454)</f>
        <v>300000</v>
      </c>
      <c r="J453" s="1941">
        <f t="shared" ref="J453:K453" si="77">SUM(J454)</f>
        <v>0</v>
      </c>
      <c r="K453" s="1941">
        <f t="shared" si="77"/>
        <v>0</v>
      </c>
    </row>
    <row r="454" spans="1:12" ht="13.5" thickBot="1" x14ac:dyDescent="0.25">
      <c r="A454" s="1923" t="s">
        <v>1892</v>
      </c>
      <c r="B454" s="1938" t="s">
        <v>1893</v>
      </c>
      <c r="C454" s="1932">
        <v>0</v>
      </c>
      <c r="D454" s="1766"/>
      <c r="E454" s="1926">
        <v>0</v>
      </c>
      <c r="F454" s="1934">
        <v>0</v>
      </c>
      <c r="G454" s="1766">
        <v>0</v>
      </c>
      <c r="H454" s="1920"/>
      <c r="I454" s="1766">
        <v>300000</v>
      </c>
      <c r="J454" s="1317"/>
      <c r="K454" s="1317"/>
    </row>
    <row r="455" spans="1:12" s="12" customFormat="1" ht="16.5" thickBot="1" x14ac:dyDescent="0.3">
      <c r="A455" s="1767"/>
      <c r="B455" s="1768" t="s">
        <v>527</v>
      </c>
      <c r="C455" s="1769">
        <f t="shared" ref="C455:I455" si="78">SUM(C456+C459)</f>
        <v>8007000</v>
      </c>
      <c r="D455" s="1770">
        <f t="shared" si="78"/>
        <v>6753693</v>
      </c>
      <c r="E455" s="1770">
        <f t="shared" si="78"/>
        <v>5353693</v>
      </c>
      <c r="F455" s="2124">
        <f t="shared" si="78"/>
        <v>5316000</v>
      </c>
      <c r="G455" s="1770">
        <f t="shared" si="78"/>
        <v>3473082.48</v>
      </c>
      <c r="H455" s="1771">
        <f t="shared" si="78"/>
        <v>3247979.94</v>
      </c>
      <c r="I455" s="1772">
        <f t="shared" si="78"/>
        <v>7530000</v>
      </c>
      <c r="J455" s="1393">
        <f t="shared" ref="J455:K455" si="79">SUM(J456+J459)</f>
        <v>0</v>
      </c>
      <c r="K455" s="1330">
        <f t="shared" si="79"/>
        <v>0</v>
      </c>
    </row>
    <row r="456" spans="1:12" s="12" customFormat="1" x14ac:dyDescent="0.2">
      <c r="A456" s="1962">
        <v>3613</v>
      </c>
      <c r="B456" s="1963" t="s">
        <v>1381</v>
      </c>
      <c r="C456" s="1124">
        <f>SUM(C457:C458)</f>
        <v>1850000</v>
      </c>
      <c r="D456" s="1124">
        <f t="shared" ref="D456:I456" si="80">SUM(D457:D458)</f>
        <v>850000</v>
      </c>
      <c r="E456" s="1124">
        <f t="shared" si="80"/>
        <v>850000</v>
      </c>
      <c r="F456" s="1124">
        <f t="shared" si="80"/>
        <v>850000</v>
      </c>
      <c r="G456" s="1124">
        <f t="shared" si="80"/>
        <v>145200</v>
      </c>
      <c r="H456" s="1124">
        <f t="shared" si="80"/>
        <v>145200</v>
      </c>
      <c r="I456" s="1124">
        <f t="shared" si="80"/>
        <v>2000000</v>
      </c>
      <c r="J456" s="1089">
        <f t="shared" ref="J456:K456" si="81">J458</f>
        <v>0</v>
      </c>
      <c r="K456" s="1139">
        <f t="shared" si="81"/>
        <v>0</v>
      </c>
      <c r="L456" s="12" t="s">
        <v>448</v>
      </c>
    </row>
    <row r="457" spans="1:12" s="12" customFormat="1" x14ac:dyDescent="0.2">
      <c r="A457" s="1964" t="s">
        <v>1894</v>
      </c>
      <c r="B457" s="1965" t="s">
        <v>1895</v>
      </c>
      <c r="C457" s="1966">
        <v>0</v>
      </c>
      <c r="D457" s="1967">
        <v>184827.5</v>
      </c>
      <c r="E457" s="1966">
        <v>184827.5</v>
      </c>
      <c r="F457" s="1967">
        <v>0</v>
      </c>
      <c r="G457" s="1966">
        <v>0</v>
      </c>
      <c r="H457" s="1967">
        <v>0</v>
      </c>
      <c r="I457" s="1966">
        <v>0</v>
      </c>
      <c r="J457" s="1331"/>
      <c r="K457" s="1331"/>
    </row>
    <row r="458" spans="1:12" s="12" customFormat="1" ht="25.5" x14ac:dyDescent="0.2">
      <c r="A458" s="1964" t="s">
        <v>529</v>
      </c>
      <c r="B458" s="1965" t="s">
        <v>1786</v>
      </c>
      <c r="C458" s="1966">
        <v>1850000</v>
      </c>
      <c r="D458" s="1967">
        <v>665172.5</v>
      </c>
      <c r="E458" s="1966">
        <v>665172.5</v>
      </c>
      <c r="F458" s="1967">
        <v>850000</v>
      </c>
      <c r="G458" s="1966">
        <v>145200</v>
      </c>
      <c r="H458" s="1967">
        <v>145200</v>
      </c>
      <c r="I458" s="1966">
        <v>2000000</v>
      </c>
      <c r="J458" s="1331"/>
      <c r="K458" s="1331"/>
    </row>
    <row r="459" spans="1:12" s="12" customFormat="1" x14ac:dyDescent="0.2">
      <c r="A459" s="882">
        <v>3639</v>
      </c>
      <c r="B459" s="786" t="s">
        <v>1382</v>
      </c>
      <c r="C459" s="737">
        <f>SUM(C460:C467)</f>
        <v>6157000</v>
      </c>
      <c r="D459" s="737">
        <f t="shared" ref="D459:K459" si="82">SUM(D460:D467)</f>
        <v>5903693</v>
      </c>
      <c r="E459" s="737">
        <f t="shared" si="82"/>
        <v>4503693</v>
      </c>
      <c r="F459" s="737">
        <f t="shared" si="82"/>
        <v>4466000</v>
      </c>
      <c r="G459" s="737">
        <f t="shared" si="82"/>
        <v>3327882.48</v>
      </c>
      <c r="H459" s="737">
        <f t="shared" si="82"/>
        <v>3102779.94</v>
      </c>
      <c r="I459" s="737">
        <f t="shared" si="82"/>
        <v>5530000</v>
      </c>
      <c r="J459" s="737">
        <f t="shared" si="82"/>
        <v>0</v>
      </c>
      <c r="K459" s="1331">
        <f t="shared" si="82"/>
        <v>0</v>
      </c>
    </row>
    <row r="460" spans="1:12" s="12" customFormat="1" x14ac:dyDescent="0.2">
      <c r="A460" s="1964" t="s">
        <v>532</v>
      </c>
      <c r="B460" s="1968" t="s">
        <v>1062</v>
      </c>
      <c r="C460" s="1966">
        <v>280000</v>
      </c>
      <c r="D460" s="1967">
        <v>80000</v>
      </c>
      <c r="E460" s="1966">
        <v>80000</v>
      </c>
      <c r="F460" s="1967">
        <v>0</v>
      </c>
      <c r="G460" s="1966">
        <v>0</v>
      </c>
      <c r="H460" s="1967">
        <v>0</v>
      </c>
      <c r="I460" s="1966">
        <v>0</v>
      </c>
      <c r="J460" s="1969"/>
      <c r="K460" s="1969"/>
    </row>
    <row r="461" spans="1:12" s="12" customFormat="1" x14ac:dyDescent="0.2">
      <c r="A461" s="1964" t="s">
        <v>534</v>
      </c>
      <c r="B461" s="1968" t="s">
        <v>1634</v>
      </c>
      <c r="C461" s="1966">
        <v>270000</v>
      </c>
      <c r="D461" s="1967">
        <v>270000</v>
      </c>
      <c r="E461" s="1966">
        <v>270000</v>
      </c>
      <c r="F461" s="1967">
        <v>32000</v>
      </c>
      <c r="G461" s="1966">
        <v>26650.75</v>
      </c>
      <c r="H461" s="1967">
        <v>15829.66</v>
      </c>
      <c r="I461" s="1966">
        <v>40000</v>
      </c>
      <c r="J461" s="1969"/>
      <c r="K461" s="1969"/>
    </row>
    <row r="462" spans="1:12" s="12" customFormat="1" x14ac:dyDescent="0.2">
      <c r="A462" s="1964" t="s">
        <v>538</v>
      </c>
      <c r="B462" s="1968" t="s">
        <v>1896</v>
      </c>
      <c r="C462" s="1966">
        <v>470000</v>
      </c>
      <c r="D462" s="1967">
        <v>470000</v>
      </c>
      <c r="E462" s="1966">
        <v>470000</v>
      </c>
      <c r="F462" s="1967">
        <v>469000</v>
      </c>
      <c r="G462" s="1966">
        <v>404200.6</v>
      </c>
      <c r="H462" s="1967">
        <v>318532.59999999998</v>
      </c>
      <c r="I462" s="1966">
        <v>515000</v>
      </c>
      <c r="J462" s="1969"/>
      <c r="K462" s="1969"/>
    </row>
    <row r="463" spans="1:12" s="12" customFormat="1" ht="25.5" x14ac:dyDescent="0.2">
      <c r="A463" s="1964" t="s">
        <v>540</v>
      </c>
      <c r="B463" s="1965" t="s">
        <v>1897</v>
      </c>
      <c r="C463" s="1966">
        <v>5112000</v>
      </c>
      <c r="D463" s="1967">
        <v>3208693</v>
      </c>
      <c r="E463" s="1966">
        <v>1808693</v>
      </c>
      <c r="F463" s="1967">
        <v>2100000</v>
      </c>
      <c r="G463" s="1966">
        <v>1034272.08</v>
      </c>
      <c r="H463" s="1967">
        <v>906376.58</v>
      </c>
      <c r="I463" s="1966">
        <v>4950000</v>
      </c>
      <c r="J463" s="1969"/>
      <c r="K463" s="1970"/>
    </row>
    <row r="464" spans="1:12" s="12" customFormat="1" ht="13.5" thickBot="1" x14ac:dyDescent="0.25">
      <c r="A464" s="1964" t="s">
        <v>542</v>
      </c>
      <c r="B464" s="1971" t="s">
        <v>1898</v>
      </c>
      <c r="C464" s="1972">
        <v>25000</v>
      </c>
      <c r="D464" s="1967">
        <v>25000</v>
      </c>
      <c r="E464" s="1966">
        <v>25000</v>
      </c>
      <c r="F464" s="1967">
        <v>15000</v>
      </c>
      <c r="G464" s="1966">
        <v>12759.05</v>
      </c>
      <c r="H464" s="1967">
        <v>12041.1</v>
      </c>
      <c r="I464" s="1972">
        <v>25000</v>
      </c>
      <c r="J464" s="1317"/>
      <c r="K464" s="1317"/>
    </row>
    <row r="465" spans="1:11" s="12" customFormat="1" ht="13.5" thickBot="1" x14ac:dyDescent="0.25">
      <c r="A465" s="1964" t="s">
        <v>1571</v>
      </c>
      <c r="B465" s="1971" t="s">
        <v>1787</v>
      </c>
      <c r="C465" s="1972">
        <v>0</v>
      </c>
      <c r="D465" s="1967">
        <v>100000</v>
      </c>
      <c r="E465" s="1966">
        <v>100000</v>
      </c>
      <c r="F465" s="1967">
        <v>100000</v>
      </c>
      <c r="G465" s="1966">
        <v>100000</v>
      </c>
      <c r="H465" s="1967">
        <v>100000</v>
      </c>
      <c r="I465" s="1972">
        <v>0</v>
      </c>
      <c r="J465" s="1973"/>
      <c r="K465" s="1317"/>
    </row>
    <row r="466" spans="1:11" s="12" customFormat="1" ht="13.5" thickBot="1" x14ac:dyDescent="0.25">
      <c r="A466" s="1974" t="s">
        <v>1572</v>
      </c>
      <c r="B466" s="1975" t="s">
        <v>1787</v>
      </c>
      <c r="C466" s="1976">
        <v>0</v>
      </c>
      <c r="D466" s="1977">
        <v>1650000</v>
      </c>
      <c r="E466" s="1978">
        <v>1650000</v>
      </c>
      <c r="F466" s="1977">
        <v>1650000</v>
      </c>
      <c r="G466" s="1978">
        <v>1650000</v>
      </c>
      <c r="H466" s="1977">
        <v>1650000</v>
      </c>
      <c r="I466" s="1976">
        <v>0</v>
      </c>
      <c r="J466" s="1979"/>
      <c r="K466" s="1317"/>
    </row>
    <row r="467" spans="1:11" s="12" customFormat="1" ht="13.5" thickBot="1" x14ac:dyDescent="0.25">
      <c r="A467" s="1980" t="s">
        <v>1573</v>
      </c>
      <c r="B467" s="1981" t="s">
        <v>1787</v>
      </c>
      <c r="C467" s="1982">
        <v>0</v>
      </c>
      <c r="D467" s="1983">
        <v>100000</v>
      </c>
      <c r="E467" s="1984">
        <v>100000</v>
      </c>
      <c r="F467" s="1983">
        <v>100000</v>
      </c>
      <c r="G467" s="1984">
        <v>100000</v>
      </c>
      <c r="H467" s="1983">
        <v>100000</v>
      </c>
      <c r="I467" s="1982">
        <v>0</v>
      </c>
      <c r="J467" s="1317"/>
      <c r="K467" s="1317"/>
    </row>
    <row r="468" spans="1:11" s="12" customFormat="1" ht="16.5" thickBot="1" x14ac:dyDescent="0.25">
      <c r="A468" s="1133"/>
      <c r="B468" s="965" t="s">
        <v>1193</v>
      </c>
      <c r="C468" s="1134">
        <f t="shared" ref="C468:K468" si="83">SUM(C469,C473)</f>
        <v>10003000</v>
      </c>
      <c r="D468" s="1235">
        <f t="shared" si="83"/>
        <v>1103000</v>
      </c>
      <c r="E468" s="2052">
        <f t="shared" si="83"/>
        <v>1103000</v>
      </c>
      <c r="F468" s="2052">
        <f t="shared" si="83"/>
        <v>279060.88</v>
      </c>
      <c r="G468" s="2052">
        <f t="shared" si="83"/>
        <v>279060.88</v>
      </c>
      <c r="H468" s="1235">
        <f t="shared" si="83"/>
        <v>279060.88</v>
      </c>
      <c r="I468" s="1395">
        <f t="shared" si="83"/>
        <v>3805000</v>
      </c>
      <c r="J468" s="1395">
        <f t="shared" si="83"/>
        <v>180000</v>
      </c>
      <c r="K468" s="1334">
        <f t="shared" si="83"/>
        <v>0</v>
      </c>
    </row>
    <row r="469" spans="1:11" s="12" customFormat="1" x14ac:dyDescent="0.2">
      <c r="A469" s="1125">
        <v>3311</v>
      </c>
      <c r="B469" s="1126" t="s">
        <v>1194</v>
      </c>
      <c r="C469" s="1124">
        <f t="shared" ref="C469:K469" si="84">SUM(C470:C472)</f>
        <v>7023000</v>
      </c>
      <c r="D469" s="1236">
        <f t="shared" si="84"/>
        <v>123000</v>
      </c>
      <c r="E469" s="2053">
        <f t="shared" si="84"/>
        <v>123000</v>
      </c>
      <c r="F469" s="1514">
        <f t="shared" si="84"/>
        <v>3025</v>
      </c>
      <c r="G469" s="1514">
        <f t="shared" si="84"/>
        <v>3025</v>
      </c>
      <c r="H469" s="1130">
        <f t="shared" si="84"/>
        <v>3025</v>
      </c>
      <c r="I469" s="1124">
        <f t="shared" si="84"/>
        <v>800000</v>
      </c>
      <c r="J469" s="1124">
        <f t="shared" si="84"/>
        <v>0</v>
      </c>
      <c r="K469" s="1203">
        <f t="shared" si="84"/>
        <v>0</v>
      </c>
    </row>
    <row r="470" spans="1:11" s="12" customFormat="1" x14ac:dyDescent="0.2">
      <c r="A470" s="1774" t="s">
        <v>1728</v>
      </c>
      <c r="B470" s="1775" t="s">
        <v>1899</v>
      </c>
      <c r="C470" s="1776">
        <v>7023000</v>
      </c>
      <c r="D470" s="1777">
        <v>123000</v>
      </c>
      <c r="E470" s="2054">
        <v>123000</v>
      </c>
      <c r="F470" s="1776">
        <v>3025</v>
      </c>
      <c r="G470" s="1776">
        <v>3025</v>
      </c>
      <c r="H470" s="1777">
        <v>3025</v>
      </c>
      <c r="I470" s="1776">
        <v>250000</v>
      </c>
      <c r="J470" s="1763"/>
      <c r="K470" s="1317"/>
    </row>
    <row r="471" spans="1:11" s="12" customFormat="1" x14ac:dyDescent="0.2">
      <c r="A471" s="1778" t="s">
        <v>1635</v>
      </c>
      <c r="B471" s="1765" t="s">
        <v>1900</v>
      </c>
      <c r="C471" s="1416">
        <v>0</v>
      </c>
      <c r="D471" s="1616">
        <v>0</v>
      </c>
      <c r="E471" s="1579">
        <v>0</v>
      </c>
      <c r="F471" s="1416">
        <v>0</v>
      </c>
      <c r="G471" s="1416">
        <v>0</v>
      </c>
      <c r="H471" s="1616">
        <v>0</v>
      </c>
      <c r="I471" s="1416">
        <v>250000</v>
      </c>
      <c r="J471" s="1763"/>
      <c r="K471" s="1317"/>
    </row>
    <row r="472" spans="1:11" x14ac:dyDescent="0.2">
      <c r="A472" s="1985" t="s">
        <v>1901</v>
      </c>
      <c r="B472" s="1765" t="s">
        <v>1902</v>
      </c>
      <c r="C472" s="1763">
        <v>0</v>
      </c>
      <c r="D472" s="1764"/>
      <c r="E472" s="2055">
        <v>0</v>
      </c>
      <c r="F472" s="1763">
        <v>0</v>
      </c>
      <c r="G472" s="1763">
        <v>0</v>
      </c>
      <c r="H472" s="1764"/>
      <c r="I472" s="1763">
        <v>300000</v>
      </c>
      <c r="J472" s="1647"/>
      <c r="K472" s="1317"/>
    </row>
    <row r="473" spans="1:11" s="12" customFormat="1" x14ac:dyDescent="0.2">
      <c r="A473" s="1779">
        <v>3392</v>
      </c>
      <c r="B473" s="1780" t="s">
        <v>1195</v>
      </c>
      <c r="C473" s="1773">
        <f t="shared" ref="C473:K473" si="85">SUM(C474:C479)</f>
        <v>2980000</v>
      </c>
      <c r="D473" s="1781">
        <f t="shared" si="85"/>
        <v>980000</v>
      </c>
      <c r="E473" s="2056">
        <f t="shared" si="85"/>
        <v>980000</v>
      </c>
      <c r="F473" s="2059">
        <f t="shared" si="85"/>
        <v>276035.88</v>
      </c>
      <c r="G473" s="2059">
        <f t="shared" si="85"/>
        <v>276035.88</v>
      </c>
      <c r="H473" s="1782">
        <f t="shared" si="85"/>
        <v>276035.88</v>
      </c>
      <c r="I473" s="1773">
        <f>SUM(I474:I479)</f>
        <v>3005000</v>
      </c>
      <c r="J473" s="1773">
        <f t="shared" si="85"/>
        <v>180000</v>
      </c>
      <c r="K473" s="1203">
        <f t="shared" si="85"/>
        <v>0</v>
      </c>
    </row>
    <row r="474" spans="1:11" s="12" customFormat="1" x14ac:dyDescent="0.2">
      <c r="A474" s="1774" t="s">
        <v>1196</v>
      </c>
      <c r="B474" s="1775" t="s">
        <v>1636</v>
      </c>
      <c r="C474" s="1776">
        <v>2500000</v>
      </c>
      <c r="D474" s="1777">
        <v>500000</v>
      </c>
      <c r="E474" s="2054">
        <v>500000</v>
      </c>
      <c r="F474" s="1776">
        <v>0</v>
      </c>
      <c r="G474" s="1776">
        <v>0</v>
      </c>
      <c r="H474" s="1777">
        <v>0</v>
      </c>
      <c r="I474" s="1776">
        <v>750000</v>
      </c>
      <c r="J474" s="1783"/>
      <c r="K474" s="1328"/>
    </row>
    <row r="475" spans="1:11" s="12" customFormat="1" x14ac:dyDescent="0.2">
      <c r="A475" s="1762" t="s">
        <v>1197</v>
      </c>
      <c r="B475" s="1765" t="s">
        <v>1637</v>
      </c>
      <c r="C475" s="1763">
        <v>300000</v>
      </c>
      <c r="D475" s="1764">
        <v>300000</v>
      </c>
      <c r="E475" s="2055">
        <v>300000</v>
      </c>
      <c r="F475" s="1763">
        <v>276035.88</v>
      </c>
      <c r="G475" s="1763">
        <v>276035.88</v>
      </c>
      <c r="H475" s="1764">
        <v>276035.88</v>
      </c>
      <c r="I475" s="1763">
        <v>0</v>
      </c>
      <c r="J475" s="1784"/>
      <c r="K475" s="1317"/>
    </row>
    <row r="476" spans="1:11" s="12" customFormat="1" x14ac:dyDescent="0.2">
      <c r="A476" s="1762" t="s">
        <v>1292</v>
      </c>
      <c r="B476" s="1765" t="s">
        <v>1638</v>
      </c>
      <c r="C476" s="1763">
        <v>180000</v>
      </c>
      <c r="D476" s="1764">
        <v>180000</v>
      </c>
      <c r="E476" s="2055">
        <v>180000</v>
      </c>
      <c r="F476" s="1763">
        <v>0</v>
      </c>
      <c r="G476" s="1763">
        <v>0</v>
      </c>
      <c r="H476" s="1764">
        <v>0</v>
      </c>
      <c r="I476" s="1763">
        <v>5000</v>
      </c>
      <c r="J476" s="1647">
        <v>180000</v>
      </c>
      <c r="K476" s="1317"/>
    </row>
    <row r="477" spans="1:11" s="12" customFormat="1" x14ac:dyDescent="0.2">
      <c r="A477" s="1762" t="s">
        <v>1903</v>
      </c>
      <c r="B477" s="1765" t="s">
        <v>1788</v>
      </c>
      <c r="C477" s="1763">
        <v>0</v>
      </c>
      <c r="D477" s="1764">
        <v>0</v>
      </c>
      <c r="E477" s="2055">
        <v>0</v>
      </c>
      <c r="F477" s="1763">
        <v>0</v>
      </c>
      <c r="G477" s="1763">
        <v>0</v>
      </c>
      <c r="H477" s="1764">
        <v>0</v>
      </c>
      <c r="I477" s="1763">
        <v>500000</v>
      </c>
      <c r="J477" s="1647">
        <v>0</v>
      </c>
      <c r="K477" s="1317"/>
    </row>
    <row r="478" spans="1:11" x14ac:dyDescent="0.2">
      <c r="A478" s="1985" t="s">
        <v>1904</v>
      </c>
      <c r="B478" s="1765" t="s">
        <v>1905</v>
      </c>
      <c r="C478" s="1763">
        <v>0</v>
      </c>
      <c r="D478" s="1764"/>
      <c r="E478" s="2055">
        <v>0</v>
      </c>
      <c r="F478" s="1763">
        <v>0</v>
      </c>
      <c r="G478" s="1763">
        <v>0</v>
      </c>
      <c r="H478" s="1764"/>
      <c r="I478" s="1763">
        <v>150000</v>
      </c>
      <c r="J478" s="1647"/>
      <c r="K478" s="1317"/>
    </row>
    <row r="479" spans="1:11" ht="13.5" thickBot="1" x14ac:dyDescent="0.25">
      <c r="A479" s="1985" t="s">
        <v>1906</v>
      </c>
      <c r="B479" s="1765" t="s">
        <v>1907</v>
      </c>
      <c r="C479" s="1763">
        <v>0</v>
      </c>
      <c r="D479" s="1764"/>
      <c r="E479" s="2055">
        <v>0</v>
      </c>
      <c r="F479" s="1766">
        <v>0</v>
      </c>
      <c r="G479" s="1766">
        <v>0</v>
      </c>
      <c r="H479" s="1764"/>
      <c r="I479" s="1763">
        <v>1600000</v>
      </c>
      <c r="J479" s="1647"/>
      <c r="K479" s="1317"/>
    </row>
    <row r="480" spans="1:11" s="12" customFormat="1" ht="16.5" thickBot="1" x14ac:dyDescent="0.25">
      <c r="A480" s="1785"/>
      <c r="B480" s="1786" t="s">
        <v>1315</v>
      </c>
      <c r="C480" s="1787">
        <f t="shared" ref="C480:I480" si="86">SUM(C481)</f>
        <v>8566000</v>
      </c>
      <c r="D480" s="1788">
        <f t="shared" si="86"/>
        <v>8566000</v>
      </c>
      <c r="E480" s="2050">
        <f t="shared" si="86"/>
        <v>8566000</v>
      </c>
      <c r="F480" s="1789">
        <f t="shared" si="86"/>
        <v>7786000</v>
      </c>
      <c r="G480" s="2050">
        <f t="shared" si="86"/>
        <v>3140774.44</v>
      </c>
      <c r="H480" s="1788">
        <f t="shared" si="86"/>
        <v>311226.86</v>
      </c>
      <c r="I480" s="1790">
        <f t="shared" si="86"/>
        <v>8650000</v>
      </c>
      <c r="J480" s="1790">
        <f t="shared" ref="J480:K480" si="87">SUM(J481)</f>
        <v>0</v>
      </c>
      <c r="K480" s="1334">
        <f t="shared" si="87"/>
        <v>0</v>
      </c>
    </row>
    <row r="481" spans="1:255" s="12" customFormat="1" x14ac:dyDescent="0.2">
      <c r="A481" s="1779">
        <v>6171</v>
      </c>
      <c r="B481" s="1780" t="s">
        <v>1198</v>
      </c>
      <c r="C481" s="1773">
        <f t="shared" ref="C481:K481" si="88">SUM(C482:C486)</f>
        <v>8566000</v>
      </c>
      <c r="D481" s="1782">
        <f t="shared" si="88"/>
        <v>8566000</v>
      </c>
      <c r="E481" s="2058">
        <f t="shared" si="88"/>
        <v>8566000</v>
      </c>
      <c r="F481" s="2063">
        <f t="shared" si="88"/>
        <v>7786000</v>
      </c>
      <c r="G481" s="2058">
        <f t="shared" si="88"/>
        <v>3140774.44</v>
      </c>
      <c r="H481" s="1782">
        <f t="shared" si="88"/>
        <v>311226.86</v>
      </c>
      <c r="I481" s="1773">
        <f t="shared" si="88"/>
        <v>8650000</v>
      </c>
      <c r="J481" s="1773">
        <f t="shared" si="88"/>
        <v>0</v>
      </c>
      <c r="K481" s="1203">
        <f t="shared" si="88"/>
        <v>0</v>
      </c>
    </row>
    <row r="482" spans="1:255" s="12" customFormat="1" x14ac:dyDescent="0.2">
      <c r="A482" s="1774" t="s">
        <v>1293</v>
      </c>
      <c r="B482" s="1775" t="s">
        <v>1729</v>
      </c>
      <c r="C482" s="1776">
        <v>2000000</v>
      </c>
      <c r="D482" s="1777">
        <v>2500000</v>
      </c>
      <c r="E482" s="2054">
        <v>2500000</v>
      </c>
      <c r="F482" s="1776">
        <v>2500000</v>
      </c>
      <c r="G482" s="1783">
        <v>0</v>
      </c>
      <c r="H482" s="1777">
        <v>0</v>
      </c>
      <c r="I482" s="1776">
        <v>0</v>
      </c>
      <c r="J482" s="1763"/>
      <c r="K482" s="1317"/>
    </row>
    <row r="483" spans="1:255" s="12" customFormat="1" x14ac:dyDescent="0.2">
      <c r="A483" s="811" t="s">
        <v>1294</v>
      </c>
      <c r="B483" s="784" t="s">
        <v>1789</v>
      </c>
      <c r="C483" s="867">
        <v>2420000</v>
      </c>
      <c r="D483" s="1230">
        <v>2420000</v>
      </c>
      <c r="E483" s="2060">
        <v>2270000</v>
      </c>
      <c r="F483" s="867">
        <v>2420000</v>
      </c>
      <c r="G483" s="2061">
        <v>311226.86</v>
      </c>
      <c r="H483" s="1230">
        <v>311226.86</v>
      </c>
      <c r="I483" s="867">
        <v>0</v>
      </c>
      <c r="J483" s="1317"/>
      <c r="K483" s="1317"/>
    </row>
    <row r="484" spans="1:255" s="12" customFormat="1" x14ac:dyDescent="0.2">
      <c r="A484" s="811" t="s">
        <v>1295</v>
      </c>
      <c r="B484" s="784" t="s">
        <v>1730</v>
      </c>
      <c r="C484" s="736">
        <v>3146000</v>
      </c>
      <c r="D484" s="738">
        <v>2646000</v>
      </c>
      <c r="E484" s="1450">
        <v>2796000</v>
      </c>
      <c r="F484" s="736">
        <v>2646000</v>
      </c>
      <c r="G484" s="1328">
        <v>2781147.58</v>
      </c>
      <c r="H484" s="738">
        <v>0</v>
      </c>
      <c r="I484" s="736">
        <v>0</v>
      </c>
      <c r="J484" s="871"/>
      <c r="K484" s="1317"/>
    </row>
    <row r="485" spans="1:255" s="12" customFormat="1" x14ac:dyDescent="0.2">
      <c r="A485" s="811" t="s">
        <v>1296</v>
      </c>
      <c r="B485" s="787" t="s">
        <v>1908</v>
      </c>
      <c r="C485" s="739">
        <v>500000</v>
      </c>
      <c r="D485" s="866">
        <v>500000</v>
      </c>
      <c r="E485" s="1240">
        <v>500000</v>
      </c>
      <c r="F485" s="739">
        <v>120000</v>
      </c>
      <c r="G485" s="1332">
        <v>48400</v>
      </c>
      <c r="H485" s="866">
        <v>0</v>
      </c>
      <c r="I485" s="739">
        <v>8300000</v>
      </c>
      <c r="J485" s="1317"/>
      <c r="K485" s="1317"/>
    </row>
    <row r="486" spans="1:255" s="12" customFormat="1" ht="13.5" thickBot="1" x14ac:dyDescent="0.25">
      <c r="A486" s="811" t="s">
        <v>1297</v>
      </c>
      <c r="B486" s="787" t="s">
        <v>1909</v>
      </c>
      <c r="C486" s="739">
        <v>500000</v>
      </c>
      <c r="D486" s="866">
        <v>500000</v>
      </c>
      <c r="E486" s="1240">
        <v>500000</v>
      </c>
      <c r="F486" s="739">
        <v>100000</v>
      </c>
      <c r="G486" s="1332">
        <v>0</v>
      </c>
      <c r="H486" s="866">
        <v>0</v>
      </c>
      <c r="I486" s="739">
        <v>350000</v>
      </c>
      <c r="J486" s="1332"/>
      <c r="K486" s="1332"/>
      <c r="FO486" s="695"/>
      <c r="FP486" s="695"/>
      <c r="FQ486" s="695"/>
      <c r="FR486" s="695"/>
      <c r="FS486" s="695"/>
      <c r="FT486" s="695"/>
      <c r="FU486" s="695"/>
      <c r="FV486" s="695"/>
      <c r="FW486" s="695"/>
      <c r="FX486" s="695"/>
      <c r="FY486" s="695"/>
      <c r="FZ486" s="695"/>
      <c r="GA486" s="695"/>
      <c r="GB486" s="695"/>
      <c r="GC486" s="695"/>
      <c r="GD486" s="695"/>
      <c r="GE486" s="695"/>
      <c r="GF486" s="695"/>
      <c r="GG486" s="695"/>
      <c r="GH486" s="695"/>
      <c r="GI486" s="695"/>
      <c r="GJ486" s="695"/>
      <c r="GK486" s="695"/>
      <c r="GL486" s="695"/>
      <c r="GM486" s="695"/>
      <c r="GN486" s="695"/>
      <c r="GO486" s="695"/>
      <c r="GP486" s="695"/>
      <c r="GQ486" s="695"/>
      <c r="GR486" s="695"/>
      <c r="GS486" s="695"/>
      <c r="GT486" s="695"/>
      <c r="GU486" s="695"/>
      <c r="GV486" s="695"/>
      <c r="GW486" s="695"/>
      <c r="GX486" s="695"/>
      <c r="GY486" s="695"/>
      <c r="GZ486" s="695"/>
      <c r="HA486" s="695"/>
      <c r="HB486" s="695"/>
      <c r="HC486" s="695"/>
      <c r="HD486" s="695"/>
      <c r="HE486" s="695"/>
      <c r="HF486" s="695"/>
      <c r="HG486" s="695"/>
      <c r="HH486" s="695"/>
      <c r="HI486" s="695"/>
      <c r="HJ486" s="695"/>
      <c r="HK486" s="695"/>
      <c r="HL486" s="695"/>
      <c r="HM486" s="695"/>
      <c r="HN486" s="695"/>
      <c r="HO486" s="695"/>
      <c r="HP486" s="695"/>
      <c r="HQ486" s="695"/>
      <c r="HR486" s="695"/>
      <c r="HS486" s="695"/>
      <c r="HT486" s="695"/>
      <c r="HU486" s="695"/>
      <c r="HV486" s="695"/>
      <c r="HW486" s="695"/>
      <c r="HX486" s="695"/>
      <c r="HY486" s="695"/>
      <c r="HZ486" s="695"/>
      <c r="IA486" s="695"/>
      <c r="IB486" s="695"/>
      <c r="IC486" s="695"/>
      <c r="ID486" s="695"/>
      <c r="IE486" s="695"/>
      <c r="IF486" s="695"/>
      <c r="IG486" s="695"/>
      <c r="IH486" s="695"/>
      <c r="II486" s="695"/>
      <c r="IJ486" s="695"/>
      <c r="IK486" s="695"/>
      <c r="IL486" s="695"/>
      <c r="IM486" s="695"/>
      <c r="IN486" s="695"/>
      <c r="IO486" s="695"/>
      <c r="IP486" s="695"/>
      <c r="IQ486" s="695"/>
      <c r="IR486" s="695"/>
      <c r="IS486" s="695"/>
      <c r="IT486" s="695"/>
      <c r="IU486" s="695"/>
    </row>
    <row r="487" spans="1:255" s="1135" customFormat="1" ht="16.5" thickBot="1" x14ac:dyDescent="0.25">
      <c r="A487" s="1133"/>
      <c r="B487" s="966" t="s">
        <v>1199</v>
      </c>
      <c r="C487" s="1134">
        <f>SUM(C488,C491,C493,C495,C498)</f>
        <v>2150000</v>
      </c>
      <c r="D487" s="1492">
        <f t="shared" ref="D487:K487" si="89">SUM(D488,D491,D493,D495,D498)</f>
        <v>2150000</v>
      </c>
      <c r="E487" s="1492">
        <f t="shared" si="89"/>
        <v>2550000</v>
      </c>
      <c r="F487" s="2052">
        <f t="shared" si="89"/>
        <v>2070000</v>
      </c>
      <c r="G487" s="2062">
        <f t="shared" si="89"/>
        <v>491531.44</v>
      </c>
      <c r="H487" s="1235">
        <f t="shared" si="89"/>
        <v>202675</v>
      </c>
      <c r="I487" s="1395">
        <f>SUM(I488,I491,I493,I495,I498)</f>
        <v>5955000</v>
      </c>
      <c r="J487" s="1395">
        <f t="shared" si="89"/>
        <v>14300000</v>
      </c>
      <c r="K487" s="1334">
        <f t="shared" si="89"/>
        <v>0</v>
      </c>
      <c r="L487" s="695"/>
      <c r="M487" s="695"/>
      <c r="N487" s="695"/>
      <c r="O487" s="695"/>
      <c r="P487" s="695"/>
      <c r="Q487" s="695"/>
      <c r="R487" s="695"/>
      <c r="S487" s="695"/>
      <c r="T487" s="695"/>
      <c r="U487" s="695"/>
      <c r="V487" s="695"/>
      <c r="W487" s="695"/>
      <c r="X487" s="695"/>
      <c r="Y487" s="695"/>
      <c r="Z487" s="695"/>
      <c r="AA487" s="695"/>
      <c r="AB487" s="695"/>
      <c r="AC487" s="695"/>
      <c r="AD487" s="695"/>
      <c r="AE487" s="695"/>
      <c r="AF487" s="695"/>
      <c r="AG487" s="695"/>
      <c r="AH487" s="695"/>
      <c r="AI487" s="695"/>
      <c r="AJ487" s="695"/>
      <c r="AK487" s="695"/>
      <c r="AL487" s="695"/>
      <c r="AM487" s="695"/>
      <c r="AN487" s="695"/>
      <c r="FO487" s="695"/>
      <c r="FP487" s="695"/>
      <c r="FQ487" s="695"/>
      <c r="FR487" s="695"/>
      <c r="FS487" s="695"/>
      <c r="FT487" s="695"/>
      <c r="FU487" s="695"/>
      <c r="FV487" s="695"/>
      <c r="FW487" s="695"/>
      <c r="FX487" s="695"/>
      <c r="FY487" s="695"/>
      <c r="FZ487" s="695"/>
      <c r="GA487" s="695"/>
      <c r="GB487" s="695"/>
      <c r="GC487" s="695"/>
      <c r="GD487" s="695"/>
      <c r="GE487" s="695"/>
      <c r="GF487" s="695"/>
      <c r="GG487" s="695"/>
      <c r="GH487" s="695"/>
      <c r="GI487" s="695"/>
      <c r="GJ487" s="695"/>
      <c r="GK487" s="695"/>
      <c r="GL487" s="695"/>
      <c r="GM487" s="695"/>
      <c r="GN487" s="695"/>
      <c r="GO487" s="695"/>
      <c r="GP487" s="695"/>
      <c r="GQ487" s="695"/>
      <c r="GR487" s="695"/>
      <c r="GS487" s="695"/>
      <c r="GT487" s="695"/>
      <c r="GU487" s="695"/>
      <c r="GV487" s="695"/>
      <c r="GW487" s="695"/>
      <c r="GX487" s="695"/>
      <c r="GY487" s="695"/>
      <c r="GZ487" s="695"/>
      <c r="HA487" s="695"/>
      <c r="HB487" s="695"/>
      <c r="HC487" s="695"/>
      <c r="HD487" s="695"/>
      <c r="HE487" s="695"/>
      <c r="HF487" s="695"/>
      <c r="HG487" s="695"/>
      <c r="HH487" s="695"/>
      <c r="HI487" s="695"/>
      <c r="HJ487" s="695"/>
      <c r="HK487" s="695"/>
      <c r="HL487" s="695"/>
      <c r="HM487" s="695"/>
      <c r="HN487" s="695"/>
      <c r="HO487" s="695"/>
      <c r="HP487" s="695"/>
      <c r="HQ487" s="695"/>
      <c r="HR487" s="695"/>
      <c r="HS487" s="695"/>
      <c r="HT487" s="695"/>
      <c r="HU487" s="695"/>
      <c r="HV487" s="695"/>
      <c r="HW487" s="695"/>
      <c r="HX487" s="695"/>
      <c r="HY487" s="695"/>
      <c r="HZ487" s="695"/>
      <c r="IA487" s="695"/>
      <c r="IB487" s="695"/>
      <c r="IC487" s="695"/>
      <c r="ID487" s="695"/>
      <c r="IE487" s="695"/>
      <c r="IF487" s="695"/>
      <c r="IG487" s="695"/>
      <c r="IH487" s="695"/>
      <c r="II487" s="695"/>
      <c r="IJ487" s="695"/>
      <c r="IK487" s="695"/>
      <c r="IL487" s="695"/>
      <c r="IM487" s="695"/>
      <c r="IN487" s="695"/>
      <c r="IO487" s="695"/>
      <c r="IP487" s="695"/>
      <c r="IQ487" s="695"/>
      <c r="IR487" s="695"/>
      <c r="IS487" s="695"/>
      <c r="IT487" s="695"/>
      <c r="IU487" s="695"/>
    </row>
    <row r="488" spans="1:255" s="1136" customFormat="1" x14ac:dyDescent="0.2">
      <c r="A488" s="1125">
        <v>3745</v>
      </c>
      <c r="B488" s="1205" t="s">
        <v>1383</v>
      </c>
      <c r="C488" s="1210">
        <f>SUM(C489:C490)</f>
        <v>2150000</v>
      </c>
      <c r="D488" s="1515">
        <f t="shared" ref="D488:K488" si="90">SUM(D489:D490)</f>
        <v>2150000</v>
      </c>
      <c r="E488" s="1515">
        <f t="shared" si="90"/>
        <v>2150000</v>
      </c>
      <c r="F488" s="2049">
        <f t="shared" si="90"/>
        <v>2070000</v>
      </c>
      <c r="G488" s="2049">
        <f t="shared" si="90"/>
        <v>491531.44</v>
      </c>
      <c r="H488" s="898">
        <f t="shared" si="90"/>
        <v>202675</v>
      </c>
      <c r="I488" s="1210">
        <f t="shared" si="90"/>
        <v>5000</v>
      </c>
      <c r="J488" s="1210">
        <f t="shared" si="90"/>
        <v>14300000</v>
      </c>
      <c r="K488" s="2125">
        <f t="shared" si="90"/>
        <v>0</v>
      </c>
      <c r="L488" s="695"/>
      <c r="M488" s="695"/>
      <c r="N488" s="695"/>
      <c r="O488" s="695"/>
      <c r="P488" s="695"/>
      <c r="Q488" s="695"/>
      <c r="R488" s="695"/>
      <c r="S488" s="695"/>
      <c r="T488" s="695"/>
      <c r="U488" s="695"/>
      <c r="V488" s="695"/>
      <c r="W488" s="695"/>
      <c r="X488" s="695"/>
      <c r="Y488" s="695"/>
      <c r="Z488" s="695"/>
      <c r="AA488" s="695"/>
      <c r="AB488" s="695"/>
      <c r="AC488" s="695"/>
      <c r="AD488" s="695"/>
      <c r="AE488" s="695"/>
      <c r="AF488" s="695"/>
      <c r="AG488" s="695"/>
      <c r="AH488" s="695"/>
      <c r="AI488" s="695"/>
      <c r="AJ488" s="695"/>
      <c r="AK488" s="695"/>
      <c r="AL488" s="695"/>
      <c r="AM488" s="695"/>
      <c r="AN488" s="695"/>
      <c r="AO488" s="695"/>
      <c r="AP488" s="695"/>
      <c r="AQ488" s="695"/>
      <c r="AR488" s="695"/>
      <c r="AS488" s="695"/>
      <c r="AT488" s="695"/>
      <c r="AU488" s="695"/>
      <c r="AV488" s="695"/>
      <c r="AW488" s="695"/>
      <c r="AX488" s="695"/>
      <c r="AY488" s="695"/>
      <c r="AZ488" s="695"/>
      <c r="BA488" s="695"/>
      <c r="BB488" s="695"/>
      <c r="BC488" s="695"/>
      <c r="BD488" s="695"/>
      <c r="BE488" s="695"/>
      <c r="BF488" s="695"/>
      <c r="BG488" s="695"/>
      <c r="BH488" s="695"/>
      <c r="BI488" s="695"/>
      <c r="BJ488" s="695"/>
      <c r="BK488" s="695"/>
      <c r="BL488" s="695"/>
      <c r="BM488" s="695"/>
      <c r="BN488" s="695"/>
      <c r="BO488" s="695"/>
      <c r="BP488" s="695"/>
      <c r="BQ488" s="695"/>
      <c r="BR488" s="695"/>
      <c r="BS488" s="695"/>
      <c r="BT488" s="695"/>
      <c r="BU488" s="695"/>
      <c r="BV488" s="695"/>
      <c r="BW488" s="695"/>
      <c r="BX488" s="695"/>
      <c r="BY488" s="695"/>
      <c r="BZ488" s="695"/>
      <c r="CA488" s="695"/>
      <c r="CB488" s="695"/>
      <c r="CC488" s="695"/>
      <c r="CD488" s="695"/>
      <c r="CE488" s="695"/>
      <c r="CF488" s="695"/>
      <c r="CG488" s="695"/>
      <c r="CH488" s="695"/>
      <c r="CI488" s="695"/>
      <c r="CJ488" s="695"/>
      <c r="CK488" s="695"/>
      <c r="CL488" s="695"/>
      <c r="CM488" s="695"/>
      <c r="CN488" s="695"/>
      <c r="CO488" s="695"/>
      <c r="CP488" s="695"/>
      <c r="CQ488" s="695"/>
      <c r="CR488" s="695"/>
      <c r="CS488" s="695"/>
      <c r="CT488" s="695"/>
      <c r="CU488" s="695"/>
      <c r="CV488" s="695"/>
      <c r="CW488" s="695"/>
      <c r="CX488" s="695"/>
      <c r="CY488" s="695"/>
      <c r="CZ488" s="695"/>
      <c r="DA488" s="695"/>
      <c r="DB488" s="695"/>
      <c r="DC488" s="695"/>
      <c r="DD488" s="695"/>
      <c r="DE488" s="695"/>
      <c r="DF488" s="695"/>
      <c r="DG488" s="695"/>
      <c r="DH488" s="695"/>
      <c r="DI488" s="695"/>
      <c r="DJ488" s="695"/>
      <c r="DK488" s="695"/>
      <c r="DL488" s="695"/>
      <c r="DM488" s="695"/>
      <c r="DN488" s="695"/>
      <c r="DO488" s="695"/>
      <c r="DP488" s="695"/>
      <c r="DQ488" s="695"/>
      <c r="DR488" s="695"/>
      <c r="DS488" s="695"/>
      <c r="DT488" s="695"/>
      <c r="DU488" s="695"/>
      <c r="DV488" s="695"/>
      <c r="DW488" s="695"/>
      <c r="DX488" s="695"/>
      <c r="DY488" s="695"/>
      <c r="DZ488" s="695"/>
      <c r="EA488" s="695"/>
      <c r="EB488" s="695"/>
      <c r="EC488" s="695"/>
      <c r="ED488" s="695"/>
      <c r="EE488" s="695"/>
      <c r="EF488" s="695"/>
      <c r="EG488" s="695"/>
      <c r="EH488" s="695"/>
      <c r="EI488" s="695"/>
      <c r="EJ488" s="695"/>
      <c r="EK488" s="695"/>
      <c r="EL488" s="695"/>
      <c r="EM488" s="695"/>
      <c r="EN488" s="695"/>
      <c r="EO488" s="695"/>
      <c r="EP488" s="695"/>
      <c r="EQ488" s="695"/>
      <c r="ER488" s="695"/>
      <c r="ES488" s="695"/>
      <c r="ET488" s="695"/>
      <c r="EU488" s="695"/>
      <c r="EV488" s="695"/>
      <c r="EW488" s="695"/>
      <c r="EX488" s="695"/>
      <c r="EY488" s="695"/>
      <c r="EZ488" s="695"/>
      <c r="FA488" s="695"/>
      <c r="FB488" s="695"/>
      <c r="FC488" s="695"/>
      <c r="FD488" s="695"/>
      <c r="FE488" s="695"/>
      <c r="FF488" s="695"/>
      <c r="FG488" s="695"/>
      <c r="FH488" s="695"/>
      <c r="FI488" s="695"/>
      <c r="FJ488" s="695"/>
      <c r="FK488" s="695"/>
      <c r="FL488" s="695"/>
      <c r="FM488" s="695"/>
      <c r="FN488" s="695"/>
      <c r="FO488" s="695"/>
      <c r="FP488" s="695"/>
      <c r="FQ488" s="695"/>
      <c r="FR488" s="695"/>
      <c r="FS488" s="695"/>
      <c r="FT488" s="695"/>
      <c r="FU488" s="695"/>
      <c r="FV488" s="695"/>
      <c r="FW488" s="695"/>
      <c r="FX488" s="695"/>
      <c r="FY488" s="695"/>
      <c r="FZ488" s="695"/>
      <c r="GA488" s="695"/>
      <c r="GB488" s="695"/>
      <c r="GC488" s="695"/>
      <c r="GD488" s="695"/>
      <c r="GE488" s="695"/>
      <c r="GF488" s="695"/>
      <c r="GG488" s="695"/>
      <c r="GH488" s="695"/>
      <c r="GI488" s="695"/>
      <c r="GJ488" s="695"/>
      <c r="GK488" s="695"/>
      <c r="GL488" s="695"/>
      <c r="GM488" s="695"/>
      <c r="GN488" s="695"/>
      <c r="GO488" s="695"/>
      <c r="GP488" s="695"/>
      <c r="GQ488" s="695"/>
      <c r="GR488" s="695"/>
      <c r="GS488" s="695"/>
      <c r="GT488" s="695"/>
      <c r="GU488" s="695"/>
      <c r="GV488" s="695"/>
      <c r="GW488" s="695"/>
      <c r="GX488" s="695"/>
      <c r="GY488" s="695"/>
      <c r="GZ488" s="695"/>
      <c r="HA488" s="695"/>
      <c r="HB488" s="695"/>
      <c r="HC488" s="695"/>
      <c r="HD488" s="695"/>
      <c r="HE488" s="695"/>
      <c r="HF488" s="695"/>
      <c r="HG488" s="695"/>
      <c r="HH488" s="695"/>
      <c r="HI488" s="695"/>
      <c r="HJ488" s="695"/>
      <c r="HK488" s="695"/>
      <c r="HL488" s="695"/>
      <c r="HM488" s="695"/>
      <c r="HN488" s="695"/>
      <c r="HO488" s="695"/>
      <c r="HP488" s="695"/>
      <c r="HQ488" s="695"/>
      <c r="HR488" s="695"/>
      <c r="HS488" s="695"/>
      <c r="HT488" s="695"/>
      <c r="HU488" s="695"/>
      <c r="HV488" s="695"/>
      <c r="HW488" s="695"/>
      <c r="HX488" s="695"/>
      <c r="HY488" s="695"/>
      <c r="HZ488" s="695"/>
      <c r="IA488" s="695"/>
      <c r="IB488" s="695"/>
      <c r="IC488" s="695"/>
      <c r="ID488" s="695"/>
      <c r="IE488" s="695"/>
      <c r="IF488" s="695"/>
      <c r="IG488" s="695"/>
      <c r="IH488" s="695"/>
      <c r="II488" s="695"/>
      <c r="IJ488" s="695"/>
      <c r="IK488" s="695"/>
      <c r="IL488" s="695"/>
      <c r="IM488" s="695"/>
      <c r="IN488" s="695"/>
      <c r="IO488" s="695"/>
      <c r="IP488" s="695"/>
      <c r="IQ488" s="695"/>
      <c r="IR488" s="695"/>
      <c r="IS488" s="695"/>
      <c r="IT488" s="695"/>
      <c r="IU488" s="695"/>
    </row>
    <row r="489" spans="1:255" s="1135" customFormat="1" x14ac:dyDescent="0.2">
      <c r="A489" s="864" t="s">
        <v>1200</v>
      </c>
      <c r="B489" s="1204" t="s">
        <v>1910</v>
      </c>
      <c r="C489" s="735">
        <v>300000</v>
      </c>
      <c r="D489" s="33">
        <v>300000</v>
      </c>
      <c r="E489" s="726">
        <v>300000</v>
      </c>
      <c r="F489" s="879">
        <v>220000</v>
      </c>
      <c r="G489" s="879">
        <v>219615</v>
      </c>
      <c r="H489" s="856">
        <v>202675</v>
      </c>
      <c r="I489" s="735">
        <v>5000</v>
      </c>
      <c r="J489" s="1069">
        <v>14300000</v>
      </c>
      <c r="K489" s="2126"/>
      <c r="L489" s="695"/>
      <c r="M489" s="695"/>
      <c r="N489" s="695"/>
      <c r="O489" s="695"/>
      <c r="P489" s="695"/>
      <c r="Q489" s="695"/>
      <c r="R489" s="695"/>
      <c r="S489" s="695"/>
      <c r="T489" s="695"/>
      <c r="U489" s="695"/>
      <c r="V489" s="695"/>
      <c r="W489" s="695"/>
      <c r="X489" s="695"/>
      <c r="Y489" s="695"/>
      <c r="Z489" s="695"/>
      <c r="AA489" s="695"/>
      <c r="AB489" s="695"/>
      <c r="AC489" s="695"/>
      <c r="AD489" s="695"/>
      <c r="AE489" s="695"/>
      <c r="AF489" s="695"/>
      <c r="AG489" s="695"/>
      <c r="AH489" s="695"/>
      <c r="AI489" s="695"/>
      <c r="AJ489" s="695"/>
      <c r="AK489" s="695"/>
      <c r="AL489" s="695"/>
      <c r="AM489" s="695"/>
      <c r="AN489" s="695"/>
      <c r="AO489" s="695"/>
      <c r="AP489" s="695"/>
      <c r="AQ489" s="695"/>
      <c r="AR489" s="695"/>
      <c r="AS489" s="695"/>
      <c r="AT489" s="695"/>
      <c r="AU489" s="695"/>
      <c r="AV489" s="695"/>
      <c r="AW489" s="695"/>
      <c r="AX489" s="695"/>
      <c r="AY489" s="695"/>
      <c r="AZ489" s="695"/>
      <c r="BA489" s="695"/>
      <c r="BB489" s="695"/>
      <c r="BC489" s="695"/>
      <c r="BD489" s="695"/>
      <c r="BE489" s="695"/>
      <c r="BF489" s="695"/>
      <c r="BG489" s="695"/>
      <c r="BH489" s="695"/>
      <c r="BI489" s="695"/>
      <c r="BJ489" s="695"/>
      <c r="BK489" s="695"/>
      <c r="BL489" s="695"/>
      <c r="BM489" s="695"/>
      <c r="BN489" s="695"/>
      <c r="BO489" s="695"/>
      <c r="BP489" s="695"/>
      <c r="BQ489" s="695"/>
      <c r="BR489" s="695"/>
      <c r="BS489" s="695"/>
      <c r="BT489" s="695"/>
      <c r="BU489" s="695"/>
      <c r="BV489" s="695"/>
      <c r="BW489" s="695"/>
      <c r="BX489" s="695"/>
      <c r="BY489" s="695"/>
      <c r="BZ489" s="695"/>
      <c r="CA489" s="695"/>
      <c r="CB489" s="695"/>
      <c r="CC489" s="695"/>
      <c r="CD489" s="695"/>
      <c r="CE489" s="695"/>
      <c r="CF489" s="695"/>
      <c r="CG489" s="695"/>
      <c r="CH489" s="695"/>
      <c r="CI489" s="695"/>
      <c r="CJ489" s="695"/>
      <c r="CK489" s="695"/>
      <c r="CL489" s="695"/>
      <c r="CM489" s="695"/>
      <c r="CN489" s="695"/>
      <c r="CO489" s="695"/>
      <c r="CP489" s="695"/>
      <c r="CQ489" s="695"/>
      <c r="CR489" s="695"/>
      <c r="CS489" s="695"/>
      <c r="CT489" s="695"/>
      <c r="CU489" s="695"/>
      <c r="CV489" s="695"/>
      <c r="CW489" s="695"/>
      <c r="CX489" s="695"/>
      <c r="CY489" s="695"/>
      <c r="CZ489" s="695"/>
      <c r="DA489" s="695"/>
      <c r="DB489" s="695"/>
      <c r="DC489" s="695"/>
      <c r="DD489" s="695"/>
      <c r="DE489" s="695"/>
      <c r="DF489" s="695"/>
      <c r="DG489" s="695"/>
      <c r="DH489" s="695"/>
      <c r="DI489" s="695"/>
      <c r="DJ489" s="695"/>
      <c r="DK489" s="695"/>
      <c r="DL489" s="695"/>
      <c r="DM489" s="695"/>
      <c r="DN489" s="695"/>
      <c r="DO489" s="695"/>
      <c r="DP489" s="695"/>
      <c r="DQ489" s="695"/>
      <c r="DR489" s="695"/>
      <c r="DS489" s="695"/>
      <c r="DT489" s="695"/>
      <c r="DU489" s="695"/>
      <c r="DV489" s="695"/>
      <c r="DW489" s="695"/>
      <c r="DX489" s="695"/>
      <c r="DY489" s="695"/>
      <c r="DZ489" s="695"/>
      <c r="EA489" s="695"/>
      <c r="EB489" s="695"/>
      <c r="EC489" s="695"/>
      <c r="ED489" s="695"/>
      <c r="EE489" s="695"/>
      <c r="EF489" s="695"/>
      <c r="EG489" s="695"/>
      <c r="EH489" s="695"/>
      <c r="EI489" s="695"/>
      <c r="EJ489" s="695"/>
      <c r="EK489" s="695"/>
      <c r="EL489" s="695"/>
      <c r="EM489" s="695"/>
      <c r="EN489" s="695"/>
      <c r="EO489" s="695"/>
      <c r="EP489" s="695"/>
      <c r="EQ489" s="695"/>
      <c r="ER489" s="695"/>
      <c r="ES489" s="695"/>
      <c r="ET489" s="695"/>
      <c r="EU489" s="695"/>
      <c r="EV489" s="695"/>
      <c r="EW489" s="695"/>
      <c r="EX489" s="695"/>
      <c r="EY489" s="695"/>
      <c r="EZ489" s="695"/>
      <c r="FA489" s="695"/>
      <c r="FB489" s="695"/>
      <c r="FC489" s="695"/>
      <c r="FD489" s="695"/>
      <c r="FE489" s="695"/>
      <c r="FF489" s="695"/>
      <c r="FG489" s="695"/>
      <c r="FH489" s="695"/>
      <c r="FI489" s="695"/>
      <c r="FJ489" s="695"/>
      <c r="FK489" s="695"/>
      <c r="FL489" s="695"/>
      <c r="FM489" s="695"/>
      <c r="FN489" s="695"/>
      <c r="FO489" s="695"/>
      <c r="FP489" s="695"/>
      <c r="FQ489" s="695"/>
      <c r="FR489" s="695"/>
      <c r="FS489" s="695"/>
      <c r="FT489" s="695"/>
      <c r="FU489" s="695"/>
      <c r="FV489" s="695"/>
      <c r="FW489" s="695"/>
      <c r="FX489" s="695"/>
      <c r="FY489" s="695"/>
      <c r="FZ489" s="695"/>
      <c r="GA489" s="695"/>
      <c r="GB489" s="695"/>
      <c r="GC489" s="695"/>
      <c r="GD489" s="695"/>
      <c r="GE489" s="695"/>
      <c r="GF489" s="695"/>
      <c r="GG489" s="695"/>
      <c r="GH489" s="695"/>
      <c r="GI489" s="695"/>
      <c r="GJ489" s="695"/>
      <c r="GK489" s="695"/>
      <c r="GL489" s="695"/>
      <c r="GM489" s="695"/>
      <c r="GN489" s="695"/>
      <c r="GO489" s="695"/>
      <c r="GP489" s="695"/>
      <c r="GQ489" s="695"/>
      <c r="GR489" s="695"/>
      <c r="GS489" s="695"/>
      <c r="GT489" s="695"/>
      <c r="GU489" s="695"/>
      <c r="GV489" s="695"/>
      <c r="GW489" s="695"/>
      <c r="GX489" s="695"/>
      <c r="GY489" s="695"/>
      <c r="GZ489" s="695"/>
      <c r="HA489" s="695"/>
      <c r="HB489" s="695"/>
      <c r="HC489" s="695"/>
      <c r="HD489" s="695"/>
      <c r="HE489" s="695"/>
      <c r="HF489" s="695"/>
      <c r="HG489" s="695"/>
      <c r="HH489" s="695"/>
      <c r="HI489" s="695"/>
      <c r="HJ489" s="695"/>
      <c r="HK489" s="695"/>
      <c r="HL489" s="695"/>
      <c r="HM489" s="695"/>
      <c r="HN489" s="695"/>
      <c r="HO489" s="695"/>
      <c r="HP489" s="695"/>
      <c r="HQ489" s="695"/>
      <c r="HR489" s="695"/>
      <c r="HS489" s="695"/>
      <c r="HT489" s="695"/>
      <c r="HU489" s="695"/>
      <c r="HV489" s="695"/>
      <c r="HW489" s="695"/>
      <c r="HX489" s="695"/>
      <c r="HY489" s="695"/>
      <c r="HZ489" s="695"/>
      <c r="IA489" s="695"/>
      <c r="IB489" s="695"/>
      <c r="IC489" s="695"/>
      <c r="ID489" s="695"/>
      <c r="IE489" s="695"/>
      <c r="IF489" s="695"/>
      <c r="IG489" s="695"/>
      <c r="IH489" s="695"/>
      <c r="II489" s="695"/>
      <c r="IJ489" s="695"/>
      <c r="IK489" s="695"/>
      <c r="IL489" s="695"/>
      <c r="IM489" s="695"/>
      <c r="IN489" s="695"/>
      <c r="IO489" s="695"/>
      <c r="IP489" s="695"/>
      <c r="IQ489" s="695"/>
      <c r="IR489" s="695"/>
      <c r="IS489" s="695"/>
      <c r="IT489" s="695"/>
      <c r="IU489" s="695"/>
    </row>
    <row r="490" spans="1:255" s="695" customFormat="1" x14ac:dyDescent="0.2">
      <c r="A490" s="1214" t="s">
        <v>1326</v>
      </c>
      <c r="B490" s="915" t="s">
        <v>1759</v>
      </c>
      <c r="C490" s="858">
        <v>1850000</v>
      </c>
      <c r="D490" s="906">
        <v>1850000</v>
      </c>
      <c r="E490" s="2051">
        <v>1850000</v>
      </c>
      <c r="F490" s="879">
        <v>1850000</v>
      </c>
      <c r="G490" s="879">
        <v>271916.44</v>
      </c>
      <c r="H490" s="856">
        <v>0</v>
      </c>
      <c r="I490" s="858">
        <v>0</v>
      </c>
      <c r="J490" s="1069"/>
      <c r="K490" s="856"/>
    </row>
    <row r="491" spans="1:255" s="107" customFormat="1" x14ac:dyDescent="0.2">
      <c r="A491" s="882">
        <v>2321</v>
      </c>
      <c r="B491" s="1206" t="s">
        <v>1377</v>
      </c>
      <c r="C491" s="1211">
        <f>SUM(C492:C492)</f>
        <v>0</v>
      </c>
      <c r="D491" s="1237">
        <f t="shared" ref="D491:K491" si="91">SUM(D492:D492)</f>
        <v>0</v>
      </c>
      <c r="E491" s="1237">
        <f t="shared" si="91"/>
        <v>0</v>
      </c>
      <c r="F491" s="1211">
        <f t="shared" si="91"/>
        <v>0</v>
      </c>
      <c r="G491" s="1211">
        <f t="shared" si="91"/>
        <v>0</v>
      </c>
      <c r="H491" s="1458">
        <f t="shared" si="91"/>
        <v>0</v>
      </c>
      <c r="I491" s="899">
        <f t="shared" si="91"/>
        <v>250000</v>
      </c>
      <c r="J491" s="1211">
        <f t="shared" si="91"/>
        <v>0</v>
      </c>
      <c r="K491" s="1458">
        <f t="shared" si="91"/>
        <v>0</v>
      </c>
      <c r="L491" s="2127"/>
      <c r="M491" s="2127"/>
      <c r="N491" s="2127"/>
      <c r="O491" s="2127"/>
      <c r="P491" s="2127"/>
      <c r="Q491" s="2127"/>
      <c r="R491" s="2127"/>
      <c r="S491" s="2127"/>
      <c r="T491" s="2127"/>
      <c r="U491" s="2127"/>
      <c r="V491" s="2127"/>
      <c r="W491" s="2127"/>
      <c r="X491" s="2127"/>
      <c r="Y491" s="2127"/>
      <c r="Z491" s="2127"/>
      <c r="AA491" s="2127"/>
      <c r="AB491" s="2127"/>
      <c r="AC491" s="2127"/>
      <c r="AD491" s="2127"/>
      <c r="AE491" s="2127"/>
      <c r="AF491" s="2127"/>
      <c r="AG491" s="2127"/>
      <c r="AH491" s="2127"/>
      <c r="AI491" s="2127"/>
      <c r="AJ491" s="2127"/>
      <c r="AK491" s="2127"/>
      <c r="AL491" s="2127"/>
      <c r="AM491" s="2127"/>
      <c r="AN491" s="2127"/>
      <c r="AO491" s="2127"/>
      <c r="AP491" s="2127"/>
      <c r="AQ491" s="2127"/>
      <c r="AR491" s="2127"/>
      <c r="AS491" s="2127"/>
      <c r="AT491" s="2127"/>
      <c r="AU491" s="2127"/>
      <c r="AV491" s="2127"/>
      <c r="AW491" s="2127"/>
      <c r="AX491" s="2127"/>
      <c r="AY491" s="2127"/>
      <c r="AZ491" s="2127"/>
      <c r="BA491" s="2127"/>
      <c r="BB491" s="2127"/>
      <c r="BC491" s="2127"/>
      <c r="BD491" s="2127"/>
      <c r="BE491" s="2127"/>
      <c r="BF491" s="2127"/>
      <c r="BG491" s="2127"/>
      <c r="BH491" s="2127"/>
      <c r="BI491" s="2127"/>
      <c r="BJ491" s="2127"/>
      <c r="BK491" s="2127"/>
      <c r="BL491" s="2127"/>
      <c r="BM491" s="2127"/>
      <c r="BN491" s="2127"/>
      <c r="BO491" s="2127"/>
      <c r="BP491" s="2127"/>
      <c r="BQ491" s="2127"/>
      <c r="BR491" s="2127"/>
      <c r="BS491" s="2127"/>
      <c r="BT491" s="2127"/>
      <c r="BU491" s="2127"/>
      <c r="BV491" s="2127"/>
      <c r="BW491" s="2127"/>
      <c r="BX491" s="2127"/>
      <c r="BY491" s="2127"/>
      <c r="BZ491" s="2127"/>
      <c r="CA491" s="2127"/>
      <c r="CB491" s="2127"/>
      <c r="CC491" s="2127"/>
      <c r="CD491" s="2127"/>
      <c r="CE491" s="2127"/>
      <c r="CF491" s="2127"/>
      <c r="CG491" s="2127"/>
      <c r="CH491" s="2127"/>
      <c r="CI491" s="2127"/>
      <c r="CJ491" s="2127"/>
      <c r="CK491" s="2127"/>
      <c r="CL491" s="2127"/>
      <c r="CM491" s="2127"/>
      <c r="CN491" s="2127"/>
      <c r="CO491" s="2127"/>
      <c r="CP491" s="2127"/>
      <c r="CQ491" s="2127"/>
      <c r="CR491" s="2127"/>
      <c r="CS491" s="2127"/>
      <c r="CT491" s="2127"/>
      <c r="CU491" s="2127"/>
      <c r="CV491" s="2127"/>
      <c r="CW491" s="2127"/>
      <c r="CX491" s="2127"/>
      <c r="CY491" s="2127"/>
      <c r="CZ491" s="2127"/>
      <c r="DA491" s="2127"/>
      <c r="DB491" s="2127"/>
      <c r="DC491" s="2127"/>
      <c r="DD491" s="2127"/>
      <c r="DE491" s="2127"/>
      <c r="DF491" s="2127"/>
      <c r="DG491" s="2127"/>
      <c r="DH491" s="2127"/>
      <c r="DI491" s="2127"/>
      <c r="DJ491" s="2127"/>
      <c r="DK491" s="2127"/>
      <c r="DL491" s="2127"/>
      <c r="DM491" s="2127"/>
      <c r="DN491" s="2127"/>
      <c r="DO491" s="2127"/>
      <c r="DP491" s="2127"/>
      <c r="DQ491" s="2127"/>
      <c r="DR491" s="2127"/>
      <c r="DS491" s="2127"/>
      <c r="DT491" s="2127"/>
      <c r="DU491" s="2127"/>
      <c r="DV491" s="2127"/>
      <c r="DW491" s="2127"/>
      <c r="DX491" s="2127"/>
      <c r="DY491" s="2127"/>
      <c r="DZ491" s="2127"/>
      <c r="EA491" s="2127"/>
      <c r="EB491" s="2127"/>
      <c r="EC491" s="2127"/>
      <c r="ED491" s="2127"/>
      <c r="EE491" s="2127"/>
      <c r="EF491" s="2127"/>
      <c r="EG491" s="2127"/>
      <c r="EH491" s="2127"/>
      <c r="EI491" s="2127"/>
      <c r="EJ491" s="2127"/>
      <c r="EK491" s="2127"/>
      <c r="EL491" s="2127"/>
      <c r="EM491" s="2127"/>
      <c r="EN491" s="2127"/>
      <c r="EO491" s="2127"/>
      <c r="EP491" s="2127"/>
      <c r="EQ491" s="2127"/>
      <c r="ER491" s="2127"/>
      <c r="ES491" s="2127"/>
      <c r="ET491" s="2127"/>
      <c r="EU491" s="2127"/>
      <c r="EV491" s="2127"/>
      <c r="EW491" s="2127"/>
      <c r="EX491" s="2127"/>
      <c r="EY491" s="2127"/>
      <c r="EZ491" s="2127"/>
      <c r="FA491" s="2127"/>
      <c r="FB491" s="2127"/>
      <c r="FC491" s="2127"/>
      <c r="FD491" s="2127"/>
      <c r="FE491" s="2127"/>
      <c r="FF491" s="2127"/>
      <c r="FG491" s="2127"/>
      <c r="FH491" s="2127"/>
      <c r="FI491" s="2127"/>
      <c r="FJ491" s="2127"/>
      <c r="FK491" s="2127"/>
      <c r="FL491" s="2127"/>
      <c r="FM491" s="2127"/>
      <c r="FN491" s="2127"/>
      <c r="FO491" s="2127"/>
      <c r="FP491" s="2127"/>
      <c r="FQ491" s="2127"/>
      <c r="FR491" s="2127"/>
      <c r="FS491" s="2127"/>
      <c r="FT491" s="2127"/>
      <c r="FU491" s="2127"/>
      <c r="FV491" s="2127"/>
      <c r="FW491" s="2127"/>
      <c r="FX491" s="2127"/>
      <c r="FY491" s="2127"/>
      <c r="FZ491" s="2127"/>
      <c r="GA491" s="2127"/>
      <c r="GB491" s="2127"/>
      <c r="GC491" s="2127"/>
      <c r="GD491" s="2127"/>
      <c r="GE491" s="2127"/>
      <c r="GF491" s="2127"/>
      <c r="GG491" s="2127"/>
      <c r="GH491" s="2127"/>
      <c r="GI491" s="2127"/>
      <c r="GJ491" s="2127"/>
      <c r="GK491" s="2127"/>
      <c r="GL491" s="2127"/>
      <c r="GM491" s="2127"/>
      <c r="GN491" s="2127"/>
      <c r="GO491" s="2127"/>
      <c r="GP491" s="2127"/>
      <c r="GQ491" s="2127"/>
      <c r="GR491" s="2127"/>
      <c r="GS491" s="2127"/>
      <c r="GT491" s="2127"/>
      <c r="GU491" s="2127"/>
      <c r="GV491" s="2127"/>
      <c r="GW491" s="2127"/>
      <c r="GX491" s="2127"/>
      <c r="GY491" s="2127"/>
      <c r="GZ491" s="2127"/>
      <c r="HA491" s="2127"/>
      <c r="HB491" s="2127"/>
      <c r="HC491" s="2127"/>
      <c r="HD491" s="2127"/>
      <c r="HE491" s="2127"/>
      <c r="HF491" s="2127"/>
      <c r="HG491" s="2127"/>
      <c r="HH491" s="2127"/>
      <c r="HI491" s="2127"/>
      <c r="HJ491" s="2127"/>
      <c r="HK491" s="2127"/>
      <c r="HL491" s="2127"/>
      <c r="HM491" s="2127"/>
      <c r="HN491" s="2127"/>
      <c r="HO491" s="2127"/>
      <c r="HP491" s="2127"/>
      <c r="HQ491" s="2127"/>
      <c r="HR491" s="2127"/>
      <c r="HS491" s="2127"/>
      <c r="HT491" s="2127"/>
      <c r="HU491" s="2127"/>
      <c r="HV491" s="2127"/>
      <c r="HW491" s="2127"/>
      <c r="HX491" s="2127"/>
      <c r="HY491" s="2127"/>
      <c r="HZ491" s="2127"/>
      <c r="IA491" s="2127"/>
      <c r="IB491" s="2127"/>
      <c r="IC491" s="2127"/>
      <c r="ID491" s="2127"/>
      <c r="IE491" s="2127"/>
      <c r="IF491" s="2127"/>
      <c r="IG491" s="2127"/>
      <c r="IH491" s="2127"/>
      <c r="II491" s="2127"/>
      <c r="IJ491" s="2127"/>
      <c r="IK491" s="2127"/>
      <c r="IL491" s="2127"/>
      <c r="IM491" s="2127"/>
      <c r="IN491" s="2127"/>
      <c r="IO491" s="2127"/>
      <c r="IP491" s="2127"/>
      <c r="IQ491" s="2127"/>
      <c r="IR491" s="2127"/>
      <c r="IS491" s="2127"/>
      <c r="IT491" s="2127"/>
      <c r="IU491" s="2127"/>
    </row>
    <row r="492" spans="1:255" s="1185" customFormat="1" x14ac:dyDescent="0.2">
      <c r="A492" s="1215" t="s">
        <v>1731</v>
      </c>
      <c r="B492" s="915" t="s">
        <v>1911</v>
      </c>
      <c r="C492" s="858">
        <v>0</v>
      </c>
      <c r="D492" s="726">
        <v>0</v>
      </c>
      <c r="E492" s="726">
        <v>0</v>
      </c>
      <c r="F492" s="735">
        <v>0</v>
      </c>
      <c r="G492" s="735">
        <v>0</v>
      </c>
      <c r="H492" s="856">
        <v>0</v>
      </c>
      <c r="I492" s="879">
        <v>250000</v>
      </c>
      <c r="J492" s="858"/>
      <c r="K492" s="856"/>
      <c r="L492" s="695"/>
      <c r="M492" s="695"/>
      <c r="N492" s="695"/>
      <c r="O492" s="695"/>
      <c r="P492" s="695"/>
      <c r="Q492" s="695"/>
      <c r="R492" s="695"/>
      <c r="S492" s="695"/>
      <c r="T492" s="695"/>
      <c r="U492" s="695"/>
      <c r="V492" s="695"/>
      <c r="W492" s="695"/>
      <c r="X492" s="695"/>
      <c r="Y492" s="695"/>
      <c r="Z492" s="695"/>
      <c r="AA492" s="695"/>
      <c r="AB492" s="695"/>
      <c r="AC492" s="695"/>
      <c r="AD492" s="695"/>
      <c r="AE492" s="695"/>
      <c r="AF492" s="695"/>
      <c r="AG492" s="695"/>
      <c r="AH492" s="695"/>
      <c r="AI492" s="695"/>
      <c r="AJ492" s="695"/>
      <c r="AK492" s="695"/>
      <c r="AL492" s="695"/>
      <c r="AM492" s="695"/>
      <c r="AN492" s="695"/>
      <c r="AO492" s="695"/>
      <c r="AP492" s="695"/>
      <c r="AQ492" s="695"/>
      <c r="AR492" s="695"/>
      <c r="AS492" s="695"/>
      <c r="AT492" s="695"/>
      <c r="AU492" s="695"/>
      <c r="AV492" s="695"/>
      <c r="AW492" s="695"/>
      <c r="AX492" s="695"/>
      <c r="AY492" s="695"/>
      <c r="AZ492" s="695"/>
      <c r="BA492" s="695"/>
      <c r="BB492" s="695"/>
      <c r="BC492" s="695"/>
      <c r="BD492" s="695"/>
      <c r="BE492" s="695"/>
      <c r="BF492" s="695"/>
      <c r="BG492" s="695"/>
      <c r="BH492" s="695"/>
      <c r="BI492" s="695"/>
      <c r="BJ492" s="695"/>
      <c r="BK492" s="695"/>
      <c r="BL492" s="695"/>
      <c r="BM492" s="695"/>
      <c r="BN492" s="695"/>
      <c r="BO492" s="695"/>
      <c r="BP492" s="695"/>
      <c r="BQ492" s="695"/>
      <c r="BR492" s="695"/>
      <c r="BS492" s="695"/>
      <c r="BT492" s="695"/>
      <c r="BU492" s="695"/>
      <c r="BV492" s="695"/>
      <c r="BW492" s="695"/>
      <c r="BX492" s="695"/>
      <c r="BY492" s="695"/>
      <c r="BZ492" s="695"/>
      <c r="CA492" s="695"/>
      <c r="CB492" s="695"/>
      <c r="CC492" s="695"/>
      <c r="CD492" s="695"/>
      <c r="CE492" s="695"/>
      <c r="CF492" s="695"/>
      <c r="CG492" s="695"/>
      <c r="CH492" s="695"/>
      <c r="CI492" s="695"/>
      <c r="CJ492" s="695"/>
      <c r="CK492" s="695"/>
      <c r="CL492" s="695"/>
      <c r="CM492" s="695"/>
      <c r="CN492" s="695"/>
      <c r="CO492" s="695"/>
      <c r="CP492" s="695"/>
      <c r="CQ492" s="695"/>
      <c r="CR492" s="695"/>
      <c r="CS492" s="695"/>
      <c r="CT492" s="695"/>
      <c r="CU492" s="695"/>
      <c r="CV492" s="695"/>
      <c r="CW492" s="695"/>
      <c r="CX492" s="695"/>
      <c r="CY492" s="695"/>
      <c r="CZ492" s="695"/>
      <c r="DA492" s="695"/>
      <c r="DB492" s="695"/>
      <c r="DC492" s="695"/>
      <c r="DD492" s="695"/>
      <c r="DE492" s="695"/>
      <c r="DF492" s="695"/>
      <c r="DG492" s="695"/>
      <c r="DH492" s="695"/>
      <c r="DI492" s="695"/>
      <c r="DJ492" s="695"/>
      <c r="DK492" s="695"/>
      <c r="DL492" s="695"/>
      <c r="DM492" s="695"/>
      <c r="DN492" s="695"/>
      <c r="DO492" s="695"/>
      <c r="DP492" s="695"/>
      <c r="DQ492" s="695"/>
      <c r="DR492" s="695"/>
      <c r="DS492" s="695"/>
      <c r="DT492" s="695"/>
      <c r="DU492" s="695"/>
      <c r="DV492" s="695"/>
      <c r="DW492" s="695"/>
      <c r="DX492" s="695"/>
      <c r="DY492" s="695"/>
      <c r="DZ492" s="695"/>
      <c r="EA492" s="695"/>
      <c r="EB492" s="695"/>
      <c r="EC492" s="695"/>
      <c r="ED492" s="695"/>
      <c r="EE492" s="695"/>
      <c r="EF492" s="695"/>
      <c r="EG492" s="695"/>
      <c r="EH492" s="695"/>
      <c r="EI492" s="695"/>
      <c r="EJ492" s="695"/>
      <c r="EK492" s="695"/>
      <c r="EL492" s="695"/>
      <c r="EM492" s="695"/>
      <c r="EN492" s="695"/>
      <c r="EO492" s="695"/>
      <c r="EP492" s="695"/>
      <c r="EQ492" s="695"/>
      <c r="ER492" s="695"/>
      <c r="ES492" s="695"/>
      <c r="ET492" s="695"/>
      <c r="EU492" s="695"/>
      <c r="EV492" s="695"/>
      <c r="EW492" s="695"/>
      <c r="EX492" s="695"/>
      <c r="EY492" s="695"/>
      <c r="EZ492" s="695"/>
      <c r="FA492" s="695"/>
      <c r="FB492" s="695"/>
      <c r="FC492" s="695"/>
      <c r="FD492" s="695"/>
      <c r="FE492" s="695"/>
      <c r="FF492" s="695"/>
      <c r="FG492" s="695"/>
      <c r="FH492" s="695"/>
      <c r="FI492" s="695"/>
      <c r="FJ492" s="695"/>
      <c r="FK492" s="695"/>
      <c r="FL492" s="695"/>
      <c r="FM492" s="695"/>
      <c r="FN492" s="695"/>
      <c r="FO492" s="695"/>
      <c r="FP492" s="695"/>
      <c r="FQ492" s="695"/>
      <c r="FR492" s="695"/>
      <c r="FS492" s="695"/>
      <c r="FT492" s="695"/>
      <c r="FU492" s="695"/>
      <c r="FV492" s="695"/>
      <c r="FW492" s="695"/>
      <c r="FX492" s="695"/>
      <c r="FY492" s="695"/>
      <c r="FZ492" s="695"/>
      <c r="GA492" s="695"/>
      <c r="GB492" s="695"/>
      <c r="GC492" s="695"/>
      <c r="GD492" s="695"/>
      <c r="GE492" s="695"/>
      <c r="GF492" s="695"/>
      <c r="GG492" s="695"/>
      <c r="GH492" s="695"/>
      <c r="GI492" s="695"/>
      <c r="GJ492" s="695"/>
      <c r="GK492" s="695"/>
      <c r="GL492" s="695"/>
      <c r="GM492" s="695"/>
      <c r="GN492" s="695"/>
      <c r="GO492" s="695"/>
      <c r="GP492" s="695"/>
      <c r="GQ492" s="695"/>
      <c r="GR492" s="695"/>
      <c r="GS492" s="695"/>
      <c r="GT492" s="695"/>
      <c r="GU492" s="695"/>
      <c r="GV492" s="695"/>
      <c r="GW492" s="695"/>
      <c r="GX492" s="695"/>
      <c r="GY492" s="695"/>
      <c r="GZ492" s="695"/>
      <c r="HA492" s="695"/>
      <c r="HB492" s="695"/>
      <c r="HC492" s="695"/>
      <c r="HD492" s="695"/>
      <c r="HE492" s="695"/>
      <c r="HF492" s="695"/>
      <c r="HG492" s="695"/>
      <c r="HH492" s="695"/>
      <c r="HI492" s="695"/>
      <c r="HJ492" s="695"/>
      <c r="HK492" s="695"/>
      <c r="HL492" s="695"/>
      <c r="HM492" s="695"/>
      <c r="HN492" s="695"/>
      <c r="HO492" s="695"/>
      <c r="HP492" s="695"/>
      <c r="HQ492" s="695"/>
      <c r="HR492" s="695"/>
      <c r="HS492" s="695"/>
      <c r="HT492" s="695"/>
      <c r="HU492" s="695"/>
      <c r="HV492" s="695"/>
      <c r="HW492" s="695"/>
      <c r="HX492" s="695"/>
      <c r="HY492" s="695"/>
      <c r="HZ492" s="695"/>
      <c r="IA492" s="695"/>
      <c r="IB492" s="695"/>
      <c r="IC492" s="695"/>
      <c r="ID492" s="695"/>
      <c r="IE492" s="695"/>
      <c r="IF492" s="695"/>
      <c r="IG492" s="695"/>
      <c r="IH492" s="695"/>
      <c r="II492" s="695"/>
      <c r="IJ492" s="695"/>
      <c r="IK492" s="695"/>
      <c r="IL492" s="695"/>
      <c r="IM492" s="695"/>
      <c r="IN492" s="695"/>
      <c r="IO492" s="695"/>
      <c r="IP492" s="695"/>
      <c r="IQ492" s="695"/>
      <c r="IR492" s="695"/>
      <c r="IS492" s="695"/>
      <c r="IT492" s="695"/>
      <c r="IU492" s="695"/>
    </row>
    <row r="493" spans="1:255" s="12" customFormat="1" ht="13.5" customHeight="1" x14ac:dyDescent="0.2">
      <c r="A493" s="1216">
        <v>3612</v>
      </c>
      <c r="B493" s="1207" t="s">
        <v>1202</v>
      </c>
      <c r="C493" s="1211">
        <f>SUM(C494:C494)</f>
        <v>0</v>
      </c>
      <c r="D493" s="1237">
        <f t="shared" ref="D493:K493" si="92">SUM(D494:D494)</f>
        <v>0</v>
      </c>
      <c r="E493" s="1237">
        <f t="shared" si="92"/>
        <v>0</v>
      </c>
      <c r="F493" s="1211">
        <f t="shared" si="92"/>
        <v>0</v>
      </c>
      <c r="G493" s="1211">
        <f t="shared" si="92"/>
        <v>0</v>
      </c>
      <c r="H493" s="898">
        <f t="shared" si="92"/>
        <v>0</v>
      </c>
      <c r="I493" s="1213">
        <f t="shared" si="92"/>
        <v>400000</v>
      </c>
      <c r="J493" s="1124">
        <f t="shared" si="92"/>
        <v>0</v>
      </c>
      <c r="K493" s="2057">
        <f t="shared" si="92"/>
        <v>0</v>
      </c>
      <c r="L493" s="898"/>
      <c r="M493" s="695"/>
      <c r="N493" s="695"/>
      <c r="O493" s="695"/>
      <c r="P493" s="695"/>
      <c r="Q493" s="695"/>
      <c r="R493" s="695"/>
      <c r="S493" s="695"/>
      <c r="T493" s="695"/>
      <c r="U493" s="695"/>
      <c r="V493" s="695"/>
      <c r="W493" s="695"/>
      <c r="X493" s="695"/>
      <c r="Y493" s="695"/>
      <c r="Z493" s="695"/>
      <c r="AA493" s="695"/>
      <c r="AB493" s="695"/>
      <c r="AC493" s="695"/>
      <c r="AD493" s="695"/>
      <c r="AE493" s="695"/>
      <c r="AF493" s="695"/>
      <c r="AG493" s="695"/>
      <c r="AH493" s="695"/>
      <c r="AI493" s="695"/>
      <c r="AJ493" s="695"/>
      <c r="AK493" s="695"/>
      <c r="AL493" s="695"/>
      <c r="AM493" s="695"/>
      <c r="AN493" s="695"/>
      <c r="AO493" s="695"/>
      <c r="AP493" s="695"/>
      <c r="AQ493" s="695"/>
      <c r="AR493" s="695"/>
      <c r="AS493" s="695"/>
      <c r="AT493" s="695"/>
      <c r="AU493" s="695"/>
      <c r="AV493" s="695"/>
      <c r="AW493" s="695"/>
      <c r="AX493" s="695"/>
      <c r="AY493" s="695"/>
      <c r="AZ493" s="695"/>
      <c r="BA493" s="695"/>
      <c r="BB493" s="695"/>
      <c r="BC493" s="695"/>
      <c r="BD493" s="695"/>
      <c r="BE493" s="695"/>
      <c r="BF493" s="695"/>
      <c r="BG493" s="695"/>
      <c r="BH493" s="695"/>
      <c r="BI493" s="695"/>
      <c r="BJ493" s="695"/>
      <c r="BK493" s="695"/>
      <c r="BL493" s="695"/>
      <c r="BM493" s="695"/>
      <c r="BN493" s="695"/>
      <c r="BO493" s="695"/>
      <c r="BP493" s="695"/>
      <c r="BQ493" s="695"/>
      <c r="BR493" s="695"/>
      <c r="BS493" s="695"/>
      <c r="BT493" s="695"/>
      <c r="BU493" s="695"/>
      <c r="BV493" s="695"/>
      <c r="BW493" s="695"/>
      <c r="BX493" s="695"/>
      <c r="BY493" s="695"/>
      <c r="BZ493" s="695"/>
      <c r="CA493" s="695"/>
      <c r="CB493" s="695"/>
      <c r="CC493" s="695"/>
      <c r="CD493" s="695"/>
      <c r="CE493" s="695"/>
      <c r="CF493" s="695"/>
      <c r="CG493" s="695"/>
      <c r="CH493" s="695"/>
      <c r="CI493" s="695"/>
      <c r="CJ493" s="695"/>
      <c r="CK493" s="695"/>
      <c r="CL493" s="695"/>
      <c r="CM493" s="695"/>
      <c r="CN493" s="695"/>
      <c r="CO493" s="695"/>
      <c r="CP493" s="695"/>
      <c r="CQ493" s="695"/>
      <c r="CR493" s="695"/>
      <c r="CS493" s="695"/>
      <c r="CT493" s="695"/>
      <c r="CU493" s="695"/>
      <c r="CV493" s="695"/>
      <c r="CW493" s="695"/>
      <c r="CX493" s="695"/>
      <c r="CY493" s="695"/>
      <c r="CZ493" s="695"/>
      <c r="DA493" s="695"/>
      <c r="DB493" s="695"/>
      <c r="DC493" s="695"/>
      <c r="DD493" s="695"/>
      <c r="DE493" s="695"/>
      <c r="DF493" s="695"/>
      <c r="DG493" s="695"/>
      <c r="DH493" s="695"/>
      <c r="DI493" s="695"/>
      <c r="DJ493" s="695"/>
      <c r="DK493" s="695"/>
      <c r="DL493" s="695"/>
      <c r="DM493" s="695"/>
      <c r="DN493" s="695"/>
      <c r="DO493" s="695"/>
      <c r="DP493" s="695"/>
      <c r="DQ493" s="695"/>
      <c r="DR493" s="695"/>
      <c r="DS493" s="695"/>
      <c r="DT493" s="695"/>
      <c r="DU493" s="695"/>
      <c r="DV493" s="695"/>
      <c r="DW493" s="695"/>
      <c r="DX493" s="695"/>
      <c r="DY493" s="695"/>
      <c r="DZ493" s="695"/>
      <c r="EA493" s="695"/>
      <c r="EB493" s="695"/>
      <c r="EC493" s="695"/>
      <c r="ED493" s="695"/>
      <c r="EE493" s="695"/>
      <c r="EF493" s="695"/>
      <c r="EG493" s="695"/>
      <c r="EH493" s="695"/>
      <c r="EI493" s="695"/>
      <c r="EJ493" s="695"/>
      <c r="EK493" s="695"/>
      <c r="EL493" s="695"/>
      <c r="EM493" s="695"/>
      <c r="EN493" s="695"/>
      <c r="EO493" s="695"/>
      <c r="EP493" s="695"/>
      <c r="EQ493" s="695"/>
      <c r="ER493" s="695"/>
      <c r="ES493" s="695"/>
      <c r="ET493" s="695"/>
      <c r="EU493" s="695"/>
      <c r="EV493" s="695"/>
      <c r="EW493" s="695"/>
      <c r="EX493" s="695"/>
      <c r="EY493" s="695"/>
      <c r="EZ493" s="695"/>
      <c r="FA493" s="695"/>
      <c r="FB493" s="695"/>
      <c r="FC493" s="695"/>
      <c r="FD493" s="695"/>
      <c r="FE493" s="695"/>
      <c r="FF493" s="695"/>
      <c r="FG493" s="695"/>
      <c r="FH493" s="695"/>
      <c r="FI493" s="695"/>
      <c r="FJ493" s="695"/>
      <c r="FK493" s="695"/>
      <c r="FL493" s="695"/>
      <c r="FM493" s="695"/>
      <c r="FN493" s="695"/>
      <c r="FO493" s="695"/>
      <c r="FP493" s="695"/>
      <c r="FQ493" s="695"/>
      <c r="FR493" s="695"/>
      <c r="FS493" s="695"/>
      <c r="FT493" s="695"/>
      <c r="FU493" s="695"/>
      <c r="FV493" s="695"/>
      <c r="FW493" s="695"/>
      <c r="FX493" s="695"/>
      <c r="FY493" s="695"/>
      <c r="FZ493" s="695"/>
      <c r="GA493" s="695"/>
      <c r="GB493" s="695"/>
      <c r="GC493" s="695"/>
      <c r="GD493" s="695"/>
      <c r="GE493" s="695"/>
      <c r="GF493" s="695"/>
      <c r="GG493" s="695"/>
      <c r="GH493" s="695"/>
      <c r="GI493" s="695"/>
      <c r="GJ493" s="695"/>
      <c r="GK493" s="695"/>
      <c r="GL493" s="695"/>
      <c r="GM493" s="695"/>
      <c r="GN493" s="695"/>
      <c r="GO493" s="695"/>
      <c r="GP493" s="695"/>
      <c r="GQ493" s="695"/>
      <c r="GR493" s="695"/>
      <c r="GS493" s="695"/>
      <c r="GT493" s="695"/>
      <c r="GU493" s="695"/>
      <c r="GV493" s="695"/>
      <c r="GW493" s="695"/>
      <c r="GX493" s="695"/>
      <c r="GY493" s="695"/>
      <c r="GZ493" s="695"/>
      <c r="HA493" s="695"/>
      <c r="HB493" s="695"/>
      <c r="HC493" s="695"/>
      <c r="HD493" s="695"/>
      <c r="HE493" s="695"/>
      <c r="HF493" s="695"/>
      <c r="HG493" s="695"/>
      <c r="HH493" s="695"/>
      <c r="HI493" s="695"/>
      <c r="HJ493" s="695"/>
      <c r="HK493" s="695"/>
      <c r="HL493" s="695"/>
      <c r="HM493" s="695"/>
      <c r="HN493" s="695"/>
      <c r="HO493" s="695"/>
      <c r="HP493" s="695"/>
      <c r="HQ493" s="695"/>
      <c r="HR493" s="695"/>
      <c r="HS493" s="695"/>
      <c r="HT493" s="695"/>
      <c r="HU493" s="695"/>
      <c r="HV493" s="695"/>
      <c r="HW493" s="695"/>
      <c r="HX493" s="695"/>
      <c r="HY493" s="695"/>
      <c r="HZ493" s="695"/>
      <c r="IA493" s="695"/>
      <c r="IB493" s="695"/>
      <c r="IC493" s="695"/>
      <c r="ID493" s="695"/>
      <c r="IE493" s="695"/>
      <c r="IF493" s="695"/>
      <c r="IG493" s="695"/>
      <c r="IH493" s="695"/>
      <c r="II493" s="695"/>
      <c r="IJ493" s="695"/>
      <c r="IK493" s="695"/>
      <c r="IL493" s="695"/>
      <c r="IM493" s="695"/>
      <c r="IN493" s="695"/>
      <c r="IO493" s="695"/>
      <c r="IP493" s="695"/>
      <c r="IQ493" s="695"/>
      <c r="IR493" s="695"/>
      <c r="IS493" s="695"/>
      <c r="IT493" s="695"/>
      <c r="IU493" s="695"/>
    </row>
    <row r="494" spans="1:255" s="695" customFormat="1" x14ac:dyDescent="0.2">
      <c r="A494" s="1217"/>
      <c r="B494" s="915" t="s">
        <v>1758</v>
      </c>
      <c r="C494" s="858">
        <v>0</v>
      </c>
      <c r="D494" s="906">
        <v>0</v>
      </c>
      <c r="E494" s="726">
        <v>0</v>
      </c>
      <c r="F494" s="735">
        <v>0</v>
      </c>
      <c r="G494" s="735">
        <v>0</v>
      </c>
      <c r="H494" s="856">
        <v>0</v>
      </c>
      <c r="I494" s="735">
        <v>400000</v>
      </c>
      <c r="J494" s="825"/>
      <c r="K494" s="33"/>
    </row>
    <row r="495" spans="1:255" s="12" customFormat="1" x14ac:dyDescent="0.2">
      <c r="A495" s="1218">
        <v>3613</v>
      </c>
      <c r="B495" s="1208" t="s">
        <v>1384</v>
      </c>
      <c r="C495" s="1211">
        <f>SUM(C496:C497)</f>
        <v>0</v>
      </c>
      <c r="D495" s="1237">
        <f t="shared" ref="D495:K495" si="93">SUM(D496:D497)</f>
        <v>0</v>
      </c>
      <c r="E495" s="1237">
        <f t="shared" si="93"/>
        <v>0</v>
      </c>
      <c r="F495" s="1211">
        <f t="shared" si="93"/>
        <v>0</v>
      </c>
      <c r="G495" s="1211">
        <f t="shared" si="93"/>
        <v>0</v>
      </c>
      <c r="H495" s="898">
        <f t="shared" si="93"/>
        <v>0</v>
      </c>
      <c r="I495" s="1212">
        <f t="shared" si="93"/>
        <v>700000</v>
      </c>
      <c r="J495" s="1211">
        <f t="shared" si="93"/>
        <v>0</v>
      </c>
      <c r="K495" s="1458">
        <f t="shared" si="93"/>
        <v>0</v>
      </c>
      <c r="L495" s="695"/>
      <c r="M495" s="695"/>
      <c r="N495" s="695"/>
      <c r="O495" s="695"/>
      <c r="P495" s="695"/>
      <c r="Q495" s="695"/>
      <c r="R495" s="695"/>
      <c r="S495" s="695"/>
      <c r="T495" s="695"/>
      <c r="U495" s="695"/>
      <c r="V495" s="695"/>
      <c r="W495" s="695"/>
      <c r="X495" s="695"/>
      <c r="Y495" s="695"/>
      <c r="Z495" s="695"/>
      <c r="AA495" s="695"/>
      <c r="AB495" s="695"/>
      <c r="AC495" s="695"/>
      <c r="AD495" s="695"/>
      <c r="AE495" s="695"/>
      <c r="AF495" s="695"/>
      <c r="AG495" s="695"/>
      <c r="AH495" s="695"/>
      <c r="AI495" s="695"/>
      <c r="AJ495" s="695"/>
      <c r="AK495" s="695"/>
      <c r="AL495" s="695"/>
      <c r="AM495" s="695"/>
      <c r="AN495" s="695"/>
      <c r="AO495" s="695"/>
      <c r="AP495" s="695"/>
      <c r="AQ495" s="695"/>
      <c r="AR495" s="695"/>
      <c r="AS495" s="695"/>
      <c r="AT495" s="695"/>
      <c r="AU495" s="695"/>
      <c r="AV495" s="695"/>
      <c r="AW495" s="695"/>
      <c r="AX495" s="695"/>
      <c r="AY495" s="695"/>
      <c r="AZ495" s="695"/>
      <c r="BA495" s="695"/>
      <c r="BB495" s="695"/>
      <c r="BC495" s="695"/>
      <c r="BD495" s="695"/>
      <c r="BE495" s="695"/>
      <c r="BF495" s="695"/>
      <c r="BG495" s="695"/>
      <c r="BH495" s="695"/>
      <c r="BI495" s="695"/>
      <c r="BJ495" s="695"/>
      <c r="BK495" s="695"/>
      <c r="BL495" s="695"/>
      <c r="BM495" s="695"/>
      <c r="BN495" s="695"/>
      <c r="BO495" s="695"/>
      <c r="BP495" s="695"/>
      <c r="BQ495" s="695"/>
      <c r="BR495" s="695"/>
      <c r="BS495" s="695"/>
      <c r="BT495" s="695"/>
      <c r="BU495" s="695"/>
      <c r="BV495" s="695"/>
      <c r="BW495" s="695"/>
      <c r="BX495" s="695"/>
      <c r="BY495" s="695"/>
      <c r="BZ495" s="695"/>
      <c r="CA495" s="695"/>
      <c r="CB495" s="695"/>
      <c r="CC495" s="695"/>
      <c r="CD495" s="695"/>
      <c r="CE495" s="695"/>
      <c r="CF495" s="695"/>
      <c r="CG495" s="695"/>
      <c r="CH495" s="695"/>
      <c r="CI495" s="695"/>
      <c r="CJ495" s="695"/>
      <c r="CK495" s="695"/>
      <c r="CL495" s="695"/>
      <c r="CM495" s="695"/>
      <c r="CN495" s="695"/>
      <c r="CO495" s="695"/>
      <c r="CP495" s="695"/>
      <c r="CQ495" s="695"/>
      <c r="CR495" s="695"/>
      <c r="CS495" s="695"/>
      <c r="CT495" s="695"/>
      <c r="CU495" s="695"/>
      <c r="CV495" s="695"/>
      <c r="CW495" s="695"/>
      <c r="CX495" s="695"/>
      <c r="CY495" s="695"/>
      <c r="CZ495" s="695"/>
      <c r="DA495" s="695"/>
      <c r="DB495" s="695"/>
      <c r="DC495" s="695"/>
      <c r="DD495" s="695"/>
      <c r="DE495" s="695"/>
      <c r="DF495" s="695"/>
      <c r="DG495" s="695"/>
      <c r="DH495" s="695"/>
      <c r="DI495" s="695"/>
      <c r="DJ495" s="695"/>
      <c r="DK495" s="695"/>
      <c r="DL495" s="695"/>
      <c r="DM495" s="695"/>
      <c r="DN495" s="695"/>
      <c r="DO495" s="695"/>
      <c r="DP495" s="695"/>
      <c r="DQ495" s="695"/>
      <c r="DR495" s="695"/>
      <c r="DS495" s="695"/>
      <c r="DT495" s="695"/>
      <c r="DU495" s="695"/>
      <c r="DV495" s="695"/>
      <c r="DW495" s="695"/>
      <c r="DX495" s="695"/>
      <c r="DY495" s="695"/>
      <c r="DZ495" s="695"/>
      <c r="EA495" s="695"/>
      <c r="EB495" s="695"/>
      <c r="EC495" s="695"/>
      <c r="ED495" s="695"/>
      <c r="EE495" s="695"/>
      <c r="EF495" s="695"/>
      <c r="EG495" s="695"/>
      <c r="EH495" s="695"/>
      <c r="EI495" s="695"/>
      <c r="EJ495" s="695"/>
      <c r="EK495" s="695"/>
      <c r="EL495" s="695"/>
      <c r="EM495" s="695"/>
      <c r="EN495" s="695"/>
      <c r="EO495" s="695"/>
      <c r="EP495" s="695"/>
      <c r="EQ495" s="695"/>
      <c r="ER495" s="695"/>
      <c r="ES495" s="695"/>
      <c r="ET495" s="695"/>
      <c r="EU495" s="695"/>
      <c r="EV495" s="695"/>
      <c r="EW495" s="695"/>
      <c r="EX495" s="695"/>
      <c r="EY495" s="695"/>
      <c r="EZ495" s="695"/>
      <c r="FA495" s="695"/>
      <c r="FB495" s="695"/>
      <c r="FC495" s="695"/>
      <c r="FD495" s="695"/>
      <c r="FE495" s="695"/>
      <c r="FF495" s="695"/>
      <c r="FG495" s="695"/>
      <c r="FH495" s="695"/>
      <c r="FI495" s="695"/>
      <c r="FJ495" s="695"/>
      <c r="FK495" s="695"/>
      <c r="FL495" s="695"/>
      <c r="FM495" s="695"/>
      <c r="FN495" s="695"/>
      <c r="FO495" s="695"/>
      <c r="FP495" s="695"/>
      <c r="FQ495" s="695"/>
      <c r="FR495" s="695"/>
      <c r="FS495" s="695"/>
      <c r="FT495" s="695"/>
      <c r="FU495" s="695"/>
      <c r="FV495" s="695"/>
      <c r="FW495" s="695"/>
      <c r="FX495" s="695"/>
      <c r="FY495" s="695"/>
      <c r="FZ495" s="695"/>
      <c r="GA495" s="695"/>
      <c r="GB495" s="695"/>
      <c r="GC495" s="695"/>
      <c r="GD495" s="695"/>
      <c r="GE495" s="695"/>
      <c r="GF495" s="695"/>
      <c r="GG495" s="695"/>
      <c r="GH495" s="695"/>
      <c r="GI495" s="695"/>
      <c r="GJ495" s="695"/>
      <c r="GK495" s="695"/>
      <c r="GL495" s="695"/>
      <c r="GM495" s="695"/>
      <c r="GN495" s="695"/>
      <c r="GO495" s="695"/>
      <c r="GP495" s="695"/>
      <c r="GQ495" s="695"/>
      <c r="GR495" s="695"/>
      <c r="GS495" s="695"/>
      <c r="GT495" s="695"/>
      <c r="GU495" s="695"/>
      <c r="GV495" s="695"/>
      <c r="GW495" s="695"/>
      <c r="GX495" s="695"/>
      <c r="GY495" s="695"/>
      <c r="GZ495" s="695"/>
      <c r="HA495" s="695"/>
      <c r="HB495" s="695"/>
      <c r="HC495" s="695"/>
      <c r="HD495" s="695"/>
      <c r="HE495" s="695"/>
      <c r="HF495" s="695"/>
      <c r="HG495" s="695"/>
      <c r="HH495" s="695"/>
      <c r="HI495" s="695"/>
      <c r="HJ495" s="695"/>
      <c r="HK495" s="695"/>
      <c r="HL495" s="695"/>
      <c r="HM495" s="695"/>
      <c r="HN495" s="695"/>
      <c r="HO495" s="695"/>
      <c r="HP495" s="695"/>
      <c r="HQ495" s="695"/>
      <c r="HR495" s="695"/>
      <c r="HS495" s="695"/>
      <c r="HT495" s="695"/>
      <c r="HU495" s="695"/>
      <c r="HV495" s="695"/>
      <c r="HW495" s="695"/>
      <c r="HX495" s="695"/>
      <c r="HY495" s="695"/>
      <c r="HZ495" s="695"/>
      <c r="IA495" s="695"/>
      <c r="IB495" s="695"/>
      <c r="IC495" s="695"/>
      <c r="ID495" s="695"/>
      <c r="IE495" s="695"/>
      <c r="IF495" s="695"/>
      <c r="IG495" s="695"/>
      <c r="IH495" s="695"/>
      <c r="II495" s="695"/>
      <c r="IJ495" s="695"/>
      <c r="IK495" s="695"/>
      <c r="IL495" s="695"/>
      <c r="IM495" s="695"/>
      <c r="IN495" s="695"/>
      <c r="IO495" s="695"/>
      <c r="IP495" s="695"/>
      <c r="IQ495" s="695"/>
      <c r="IR495" s="695"/>
      <c r="IS495" s="695"/>
      <c r="IT495" s="695"/>
      <c r="IU495" s="695"/>
    </row>
    <row r="496" spans="1:255" s="695" customFormat="1" x14ac:dyDescent="0.2">
      <c r="A496" s="1219" t="s">
        <v>1733</v>
      </c>
      <c r="B496" s="883" t="s">
        <v>1912</v>
      </c>
      <c r="C496" s="735">
        <v>0</v>
      </c>
      <c r="D496" s="906">
        <v>0</v>
      </c>
      <c r="E496" s="726">
        <v>0</v>
      </c>
      <c r="F496" s="735">
        <v>0</v>
      </c>
      <c r="G496" s="735">
        <v>0</v>
      </c>
      <c r="H496" s="856">
        <v>0</v>
      </c>
      <c r="I496" s="858">
        <v>400000</v>
      </c>
      <c r="J496" s="1317"/>
      <c r="K496" s="33"/>
    </row>
    <row r="497" spans="1:255" s="1185" customFormat="1" x14ac:dyDescent="0.2">
      <c r="A497" s="1219" t="s">
        <v>1734</v>
      </c>
      <c r="B497" s="883" t="s">
        <v>1913</v>
      </c>
      <c r="C497" s="879">
        <v>0</v>
      </c>
      <c r="D497" s="1986">
        <v>0</v>
      </c>
      <c r="E497" s="726">
        <v>0</v>
      </c>
      <c r="F497" s="879">
        <v>0</v>
      </c>
      <c r="G497" s="879">
        <v>0</v>
      </c>
      <c r="H497" s="856">
        <v>0</v>
      </c>
      <c r="I497" s="858">
        <v>300000</v>
      </c>
      <c r="J497" s="858"/>
      <c r="K497" s="856"/>
      <c r="L497" s="695"/>
      <c r="M497" s="695"/>
      <c r="N497" s="695"/>
      <c r="O497" s="695"/>
      <c r="P497" s="695"/>
      <c r="Q497" s="695"/>
      <c r="R497" s="695"/>
      <c r="S497" s="695"/>
      <c r="T497" s="695"/>
      <c r="U497" s="695"/>
      <c r="V497" s="695"/>
      <c r="W497" s="695"/>
      <c r="X497" s="695"/>
      <c r="Y497" s="695"/>
      <c r="Z497" s="695"/>
      <c r="AA497" s="695"/>
      <c r="AB497" s="695"/>
      <c r="AC497" s="695"/>
      <c r="AD497" s="695"/>
      <c r="AE497" s="695"/>
      <c r="AF497" s="695"/>
      <c r="AG497" s="695"/>
      <c r="AH497" s="695"/>
      <c r="AI497" s="695"/>
      <c r="AJ497" s="695"/>
      <c r="AK497" s="695"/>
      <c r="AL497" s="695"/>
      <c r="AM497" s="695"/>
      <c r="AN497" s="695"/>
      <c r="AO497" s="695"/>
      <c r="AP497" s="695"/>
      <c r="AQ497" s="695"/>
      <c r="AR497" s="695"/>
      <c r="AS497" s="695"/>
      <c r="AT497" s="695"/>
      <c r="AU497" s="695"/>
      <c r="AV497" s="695"/>
      <c r="AW497" s="695"/>
      <c r="AX497" s="695"/>
      <c r="AY497" s="695"/>
      <c r="AZ497" s="695"/>
      <c r="BA497" s="695"/>
      <c r="BB497" s="695"/>
      <c r="BC497" s="695"/>
      <c r="BD497" s="695"/>
      <c r="BE497" s="695"/>
      <c r="BF497" s="695"/>
      <c r="BG497" s="695"/>
      <c r="BH497" s="695"/>
      <c r="BI497" s="695"/>
      <c r="BJ497" s="695"/>
      <c r="BK497" s="695"/>
      <c r="BL497" s="695"/>
      <c r="BM497" s="695"/>
      <c r="BN497" s="695"/>
      <c r="BO497" s="695"/>
      <c r="BP497" s="695"/>
      <c r="BQ497" s="695"/>
      <c r="BR497" s="695"/>
      <c r="BS497" s="695"/>
      <c r="BT497" s="695"/>
      <c r="BU497" s="695"/>
      <c r="BV497" s="695"/>
      <c r="BW497" s="695"/>
      <c r="BX497" s="695"/>
      <c r="BY497" s="695"/>
      <c r="BZ497" s="695"/>
      <c r="CA497" s="695"/>
      <c r="CB497" s="695"/>
      <c r="CC497" s="695"/>
      <c r="CD497" s="695"/>
      <c r="CE497" s="695"/>
      <c r="CF497" s="695"/>
      <c r="CG497" s="695"/>
      <c r="CH497" s="695"/>
      <c r="CI497" s="695"/>
      <c r="CJ497" s="695"/>
      <c r="CK497" s="695"/>
      <c r="CL497" s="695"/>
      <c r="CM497" s="695"/>
      <c r="CN497" s="695"/>
      <c r="CO497" s="695"/>
      <c r="CP497" s="695"/>
      <c r="CQ497" s="695"/>
      <c r="CR497" s="695"/>
      <c r="CS497" s="695"/>
      <c r="CT497" s="695"/>
      <c r="CU497" s="695"/>
      <c r="CV497" s="695"/>
      <c r="CW497" s="695"/>
      <c r="CX497" s="695"/>
      <c r="CY497" s="695"/>
      <c r="CZ497" s="695"/>
      <c r="DA497" s="695"/>
      <c r="DB497" s="695"/>
      <c r="DC497" s="695"/>
      <c r="DD497" s="695"/>
      <c r="DE497" s="695"/>
      <c r="DF497" s="695"/>
      <c r="DG497" s="695"/>
      <c r="DH497" s="695"/>
      <c r="DI497" s="695"/>
      <c r="DJ497" s="695"/>
      <c r="DK497" s="695"/>
      <c r="DL497" s="695"/>
      <c r="DM497" s="695"/>
      <c r="DN497" s="695"/>
      <c r="DO497" s="695"/>
      <c r="DP497" s="695"/>
      <c r="DQ497" s="695"/>
      <c r="DR497" s="695"/>
      <c r="DS497" s="695"/>
      <c r="DT497" s="695"/>
      <c r="DU497" s="695"/>
      <c r="DV497" s="695"/>
      <c r="DW497" s="695"/>
      <c r="DX497" s="695"/>
      <c r="DY497" s="695"/>
      <c r="DZ497" s="695"/>
      <c r="EA497" s="695"/>
      <c r="EB497" s="695"/>
      <c r="EC497" s="695"/>
      <c r="ED497" s="695"/>
      <c r="EE497" s="695"/>
      <c r="EF497" s="695"/>
      <c r="EG497" s="695"/>
      <c r="EH497" s="695"/>
      <c r="EI497" s="695"/>
      <c r="EJ497" s="695"/>
      <c r="EK497" s="695"/>
      <c r="EL497" s="695"/>
      <c r="EM497" s="695"/>
      <c r="EN497" s="695"/>
      <c r="EO497" s="695"/>
      <c r="EP497" s="695"/>
      <c r="EQ497" s="695"/>
      <c r="ER497" s="695"/>
      <c r="ES497" s="695"/>
      <c r="ET497" s="695"/>
      <c r="EU497" s="695"/>
      <c r="EV497" s="695"/>
      <c r="EW497" s="695"/>
      <c r="EX497" s="695"/>
      <c r="EY497" s="695"/>
      <c r="EZ497" s="695"/>
      <c r="FA497" s="695"/>
      <c r="FB497" s="695"/>
      <c r="FC497" s="695"/>
      <c r="FD497" s="695"/>
      <c r="FE497" s="695"/>
      <c r="FF497" s="695"/>
      <c r="FG497" s="695"/>
      <c r="FH497" s="695"/>
      <c r="FI497" s="695"/>
      <c r="FJ497" s="695"/>
      <c r="FK497" s="695"/>
      <c r="FL497" s="695"/>
      <c r="FM497" s="695"/>
      <c r="FN497" s="695"/>
      <c r="FO497" s="695"/>
      <c r="FP497" s="695"/>
      <c r="FQ497" s="695"/>
      <c r="FR497" s="695"/>
      <c r="FS497" s="695"/>
      <c r="FT497" s="695"/>
      <c r="FU497" s="695"/>
      <c r="FV497" s="695"/>
      <c r="FW497" s="695"/>
      <c r="FX497" s="695"/>
      <c r="FY497" s="695"/>
      <c r="FZ497" s="695"/>
      <c r="GA497" s="695"/>
      <c r="GB497" s="695"/>
      <c r="GC497" s="695"/>
      <c r="GD497" s="695"/>
      <c r="GE497" s="695"/>
      <c r="GF497" s="695"/>
      <c r="GG497" s="695"/>
      <c r="GH497" s="695"/>
      <c r="GI497" s="695"/>
      <c r="GJ497" s="695"/>
      <c r="GK497" s="695"/>
      <c r="GL497" s="695"/>
      <c r="GM497" s="695"/>
      <c r="GN497" s="695"/>
      <c r="GO497" s="695"/>
      <c r="GP497" s="695"/>
      <c r="GQ497" s="695"/>
      <c r="GR497" s="695"/>
      <c r="GS497" s="695"/>
      <c r="GT497" s="695"/>
      <c r="GU497" s="695"/>
      <c r="GV497" s="695"/>
      <c r="GW497" s="695"/>
      <c r="GX497" s="695"/>
      <c r="GY497" s="695"/>
      <c r="GZ497" s="695"/>
      <c r="HA497" s="695"/>
      <c r="HB497" s="695"/>
      <c r="HC497" s="695"/>
      <c r="HD497" s="695"/>
      <c r="HE497" s="695"/>
      <c r="HF497" s="695"/>
      <c r="HG497" s="695"/>
      <c r="HH497" s="695"/>
      <c r="HI497" s="695"/>
      <c r="HJ497" s="695"/>
      <c r="HK497" s="695"/>
      <c r="HL497" s="695"/>
      <c r="HM497" s="695"/>
      <c r="HN497" s="695"/>
      <c r="HO497" s="695"/>
      <c r="HP497" s="695"/>
      <c r="HQ497" s="695"/>
      <c r="HR497" s="695"/>
      <c r="HS497" s="695"/>
      <c r="HT497" s="695"/>
      <c r="HU497" s="695"/>
      <c r="HV497" s="695"/>
      <c r="HW497" s="695"/>
      <c r="HX497" s="695"/>
      <c r="HY497" s="695"/>
      <c r="HZ497" s="695"/>
      <c r="IA497" s="695"/>
      <c r="IB497" s="695"/>
      <c r="IC497" s="695"/>
      <c r="ID497" s="695"/>
      <c r="IE497" s="695"/>
      <c r="IF497" s="695"/>
      <c r="IG497" s="695"/>
      <c r="IH497" s="695"/>
      <c r="II497" s="695"/>
      <c r="IJ497" s="695"/>
      <c r="IK497" s="695"/>
      <c r="IL497" s="695"/>
      <c r="IM497" s="695"/>
      <c r="IN497" s="695"/>
      <c r="IO497" s="695"/>
      <c r="IP497" s="695"/>
      <c r="IQ497" s="695"/>
      <c r="IR497" s="695"/>
      <c r="IS497" s="695"/>
      <c r="IT497" s="695"/>
      <c r="IU497" s="695"/>
    </row>
    <row r="498" spans="1:255" s="12" customFormat="1" x14ac:dyDescent="0.2">
      <c r="A498" s="1220">
        <v>3722</v>
      </c>
      <c r="B498" s="1209" t="s">
        <v>1732</v>
      </c>
      <c r="C498" s="1211">
        <f>SUM(C499:C499)</f>
        <v>0</v>
      </c>
      <c r="D498" s="1987">
        <f t="shared" ref="D498:K498" si="94">SUM(D499:D499)</f>
        <v>0</v>
      </c>
      <c r="E498" s="1987">
        <f t="shared" si="94"/>
        <v>400000</v>
      </c>
      <c r="F498" s="1212">
        <f t="shared" si="94"/>
        <v>0</v>
      </c>
      <c r="G498" s="1212">
        <f t="shared" si="94"/>
        <v>0</v>
      </c>
      <c r="H498" s="1458">
        <f t="shared" si="94"/>
        <v>0</v>
      </c>
      <c r="I498" s="1211">
        <f t="shared" si="94"/>
        <v>4600000</v>
      </c>
      <c r="J498" s="1211">
        <f t="shared" si="94"/>
        <v>0</v>
      </c>
      <c r="K498" s="898">
        <f t="shared" si="94"/>
        <v>0</v>
      </c>
      <c r="L498" s="695"/>
      <c r="M498" s="695"/>
      <c r="N498" s="695"/>
      <c r="O498" s="695"/>
      <c r="P498" s="695"/>
      <c r="Q498" s="695"/>
      <c r="R498" s="695"/>
      <c r="S498" s="695"/>
      <c r="T498" s="695"/>
      <c r="U498" s="695"/>
      <c r="V498" s="695"/>
      <c r="W498" s="695"/>
      <c r="X498" s="695"/>
      <c r="Y498" s="695"/>
      <c r="Z498" s="695"/>
      <c r="AA498" s="695"/>
      <c r="AB498" s="695"/>
      <c r="AC498" s="695"/>
      <c r="AD498" s="695"/>
      <c r="AE498" s="695"/>
      <c r="AF498" s="695"/>
      <c r="AG498" s="695"/>
      <c r="AH498" s="695"/>
      <c r="AI498" s="695"/>
      <c r="AJ498" s="695"/>
      <c r="AK498" s="695"/>
      <c r="AL498" s="695"/>
      <c r="AM498" s="695"/>
      <c r="AN498" s="695"/>
      <c r="AO498" s="695"/>
      <c r="AP498" s="695"/>
      <c r="AQ498" s="695"/>
      <c r="AR498" s="695"/>
      <c r="AS498" s="695"/>
      <c r="AT498" s="695"/>
      <c r="AU498" s="695"/>
      <c r="AV498" s="695"/>
      <c r="AW498" s="695"/>
      <c r="AX498" s="695"/>
      <c r="AY498" s="695"/>
      <c r="AZ498" s="695"/>
      <c r="BA498" s="695"/>
      <c r="BB498" s="695"/>
      <c r="BC498" s="695"/>
      <c r="BD498" s="695"/>
      <c r="BE498" s="695"/>
      <c r="BF498" s="695"/>
      <c r="BG498" s="695"/>
      <c r="BH498" s="695"/>
      <c r="BI498" s="695"/>
      <c r="BJ498" s="695"/>
      <c r="BK498" s="695"/>
      <c r="BL498" s="695"/>
      <c r="BM498" s="695"/>
      <c r="BN498" s="695"/>
      <c r="BO498" s="695"/>
      <c r="BP498" s="695"/>
      <c r="BQ498" s="695"/>
      <c r="BR498" s="695"/>
      <c r="BS498" s="695"/>
      <c r="BT498" s="695"/>
      <c r="BU498" s="695"/>
      <c r="BV498" s="695"/>
      <c r="BW498" s="695"/>
      <c r="BX498" s="695"/>
      <c r="BY498" s="695"/>
      <c r="BZ498" s="695"/>
      <c r="CA498" s="695"/>
      <c r="CB498" s="695"/>
      <c r="CC498" s="695"/>
      <c r="CD498" s="695"/>
      <c r="CE498" s="695"/>
      <c r="CF498" s="695"/>
      <c r="CG498" s="695"/>
      <c r="CH498" s="695"/>
      <c r="CI498" s="695"/>
      <c r="CJ498" s="695"/>
      <c r="CK498" s="695"/>
      <c r="CL498" s="695"/>
      <c r="CM498" s="695"/>
      <c r="CN498" s="695"/>
      <c r="CO498" s="695"/>
      <c r="CP498" s="695"/>
      <c r="CQ498" s="695"/>
      <c r="CR498" s="695"/>
      <c r="CS498" s="695"/>
      <c r="CT498" s="695"/>
      <c r="CU498" s="695"/>
      <c r="CV498" s="695"/>
      <c r="CW498" s="695"/>
      <c r="CX498" s="695"/>
      <c r="CY498" s="695"/>
      <c r="CZ498" s="695"/>
      <c r="DA498" s="695"/>
      <c r="DB498" s="695"/>
      <c r="DC498" s="695"/>
      <c r="DD498" s="695"/>
      <c r="DE498" s="695"/>
      <c r="DF498" s="695"/>
      <c r="DG498" s="695"/>
      <c r="DH498" s="695"/>
      <c r="DI498" s="695"/>
      <c r="DJ498" s="695"/>
      <c r="DK498" s="695"/>
      <c r="DL498" s="695"/>
      <c r="DM498" s="695"/>
      <c r="DN498" s="695"/>
      <c r="DO498" s="695"/>
      <c r="DP498" s="695"/>
      <c r="DQ498" s="695"/>
      <c r="DR498" s="695"/>
      <c r="DS498" s="695"/>
      <c r="DT498" s="695"/>
      <c r="DU498" s="695"/>
      <c r="DV498" s="695"/>
      <c r="DW498" s="695"/>
      <c r="DX498" s="695"/>
      <c r="DY498" s="695"/>
      <c r="DZ498" s="695"/>
      <c r="EA498" s="695"/>
      <c r="EB498" s="695"/>
      <c r="EC498" s="695"/>
      <c r="ED498" s="695"/>
      <c r="EE498" s="695"/>
      <c r="EF498" s="695"/>
      <c r="EG498" s="695"/>
      <c r="EH498" s="695"/>
      <c r="EI498" s="695"/>
      <c r="EJ498" s="695"/>
      <c r="EK498" s="695"/>
      <c r="EL498" s="695"/>
      <c r="EM498" s="695"/>
      <c r="EN498" s="695"/>
      <c r="EO498" s="695"/>
      <c r="EP498" s="695"/>
      <c r="EQ498" s="695"/>
      <c r="ER498" s="695"/>
      <c r="ES498" s="695"/>
      <c r="ET498" s="695"/>
      <c r="EU498" s="695"/>
      <c r="EV498" s="695"/>
      <c r="EW498" s="695"/>
      <c r="EX498" s="695"/>
      <c r="EY498" s="695"/>
      <c r="EZ498" s="695"/>
      <c r="FA498" s="695"/>
      <c r="FB498" s="695"/>
      <c r="FC498" s="695"/>
      <c r="FD498" s="695"/>
      <c r="FE498" s="695"/>
      <c r="FF498" s="695"/>
      <c r="FG498" s="695"/>
      <c r="FH498" s="695"/>
      <c r="FI498" s="695"/>
      <c r="FJ498" s="695"/>
      <c r="FK498" s="695"/>
      <c r="FL498" s="695"/>
      <c r="FM498" s="695"/>
      <c r="FN498" s="695"/>
      <c r="FO498" s="695"/>
      <c r="FP498" s="695"/>
      <c r="FQ498" s="695"/>
      <c r="FR498" s="695"/>
      <c r="FS498" s="695"/>
      <c r="FT498" s="695"/>
      <c r="FU498" s="695"/>
      <c r="FV498" s="695"/>
      <c r="FW498" s="695"/>
      <c r="FX498" s="695"/>
      <c r="FY498" s="695"/>
      <c r="FZ498" s="695"/>
      <c r="GA498" s="695"/>
      <c r="GB498" s="695"/>
      <c r="GC498" s="695"/>
      <c r="GD498" s="695"/>
      <c r="GE498" s="695"/>
      <c r="GF498" s="695"/>
      <c r="GG498" s="695"/>
      <c r="GH498" s="695"/>
      <c r="GI498" s="695"/>
      <c r="GJ498" s="695"/>
      <c r="GK498" s="695"/>
      <c r="GL498" s="695"/>
      <c r="GM498" s="695"/>
      <c r="GN498" s="695"/>
      <c r="GO498" s="695"/>
      <c r="GP498" s="695"/>
      <c r="GQ498" s="695"/>
      <c r="GR498" s="695"/>
      <c r="GS498" s="695"/>
      <c r="GT498" s="695"/>
      <c r="GU498" s="695"/>
      <c r="GV498" s="695"/>
      <c r="GW498" s="695"/>
      <c r="GX498" s="695"/>
      <c r="GY498" s="695"/>
      <c r="GZ498" s="695"/>
      <c r="HA498" s="695"/>
      <c r="HB498" s="695"/>
      <c r="HC498" s="695"/>
      <c r="HD498" s="695"/>
      <c r="HE498" s="695"/>
      <c r="HF498" s="695"/>
      <c r="HG498" s="695"/>
      <c r="HH498" s="695"/>
      <c r="HI498" s="695"/>
      <c r="HJ498" s="695"/>
      <c r="HK498" s="695"/>
      <c r="HL498" s="695"/>
      <c r="HM498" s="695"/>
      <c r="HN498" s="695"/>
      <c r="HO498" s="695"/>
      <c r="HP498" s="695"/>
      <c r="HQ498" s="695"/>
      <c r="HR498" s="695"/>
      <c r="HS498" s="695"/>
      <c r="HT498" s="695"/>
      <c r="HU498" s="695"/>
      <c r="HV498" s="695"/>
      <c r="HW498" s="695"/>
      <c r="HX498" s="695"/>
      <c r="HY498" s="695"/>
      <c r="HZ498" s="695"/>
      <c r="IA498" s="695"/>
      <c r="IB498" s="695"/>
      <c r="IC498" s="695"/>
      <c r="ID498" s="695"/>
      <c r="IE498" s="695"/>
      <c r="IF498" s="695"/>
      <c r="IG498" s="695"/>
      <c r="IH498" s="695"/>
      <c r="II498" s="695"/>
      <c r="IJ498" s="695"/>
      <c r="IK498" s="695"/>
      <c r="IL498" s="695"/>
      <c r="IM498" s="695"/>
      <c r="IN498" s="695"/>
      <c r="IO498" s="695"/>
      <c r="IP498" s="695"/>
      <c r="IQ498" s="695"/>
      <c r="IR498" s="695"/>
      <c r="IS498" s="695"/>
      <c r="IT498" s="695"/>
      <c r="IU498" s="695"/>
    </row>
    <row r="499" spans="1:255" s="695" customFormat="1" ht="13.5" thickBot="1" x14ac:dyDescent="0.25">
      <c r="A499" s="914" t="s">
        <v>1751</v>
      </c>
      <c r="B499" s="1988" t="s">
        <v>1914</v>
      </c>
      <c r="C499" s="735">
        <v>0</v>
      </c>
      <c r="D499" s="1452">
        <v>0</v>
      </c>
      <c r="E499" s="726">
        <v>400000</v>
      </c>
      <c r="F499" s="1992">
        <v>0</v>
      </c>
      <c r="G499" s="743"/>
      <c r="H499" s="33">
        <v>0</v>
      </c>
      <c r="I499" s="735">
        <v>4600000</v>
      </c>
      <c r="J499" s="1317"/>
      <c r="K499" s="1336"/>
    </row>
    <row r="500" spans="1:255" s="12" customFormat="1" ht="16.5" thickBot="1" x14ac:dyDescent="0.3">
      <c r="A500" s="1131"/>
      <c r="B500" s="964" t="s">
        <v>1201</v>
      </c>
      <c r="C500" s="741">
        <f t="shared" ref="C500:K500" si="95">SUM(C507,C501,C522,C534)</f>
        <v>55211250</v>
      </c>
      <c r="D500" s="1493">
        <f t="shared" si="95"/>
        <v>55961250</v>
      </c>
      <c r="E500" s="1493">
        <f t="shared" si="95"/>
        <v>52031250</v>
      </c>
      <c r="F500" s="1196">
        <f t="shared" si="95"/>
        <v>40913146.790000007</v>
      </c>
      <c r="G500" s="1196">
        <f t="shared" si="95"/>
        <v>37760178.060000002</v>
      </c>
      <c r="H500" s="1437">
        <f t="shared" si="95"/>
        <v>18437959.020000003</v>
      </c>
      <c r="I500" s="1394">
        <f t="shared" si="95"/>
        <v>76802000</v>
      </c>
      <c r="J500" s="1394">
        <f t="shared" si="95"/>
        <v>13550000</v>
      </c>
      <c r="K500" s="1333">
        <f t="shared" si="95"/>
        <v>0</v>
      </c>
    </row>
    <row r="501" spans="1:255" s="12" customFormat="1" x14ac:dyDescent="0.2">
      <c r="A501" s="1016">
        <v>3412</v>
      </c>
      <c r="B501" s="967" t="s">
        <v>1276</v>
      </c>
      <c r="C501" s="919">
        <f t="shared" ref="C501:K501" si="96">SUM(C502:C506)</f>
        <v>3400000</v>
      </c>
      <c r="D501" s="920">
        <f t="shared" si="96"/>
        <v>3900000</v>
      </c>
      <c r="E501" s="920">
        <f t="shared" si="96"/>
        <v>3900000</v>
      </c>
      <c r="F501" s="2067">
        <f t="shared" si="96"/>
        <v>1614466.88</v>
      </c>
      <c r="G501" s="920">
        <f t="shared" si="96"/>
        <v>1280329.47</v>
      </c>
      <c r="H501" s="920">
        <f t="shared" si="96"/>
        <v>215745</v>
      </c>
      <c r="I501" s="919">
        <f t="shared" si="96"/>
        <v>22500000</v>
      </c>
      <c r="J501" s="919">
        <f t="shared" si="96"/>
        <v>0</v>
      </c>
      <c r="K501" s="1337">
        <f t="shared" si="96"/>
        <v>0</v>
      </c>
    </row>
    <row r="502" spans="1:255" s="12" customFormat="1" x14ac:dyDescent="0.2">
      <c r="A502" s="864" t="s">
        <v>1298</v>
      </c>
      <c r="B502" s="968" t="s">
        <v>1915</v>
      </c>
      <c r="C502" s="900">
        <v>2600000</v>
      </c>
      <c r="D502" s="901">
        <v>1600000</v>
      </c>
      <c r="E502" s="2064">
        <v>1600000</v>
      </c>
      <c r="F502" s="900">
        <v>459800</v>
      </c>
      <c r="G502" s="2066">
        <v>121000</v>
      </c>
      <c r="H502" s="901">
        <v>121000</v>
      </c>
      <c r="I502" s="900">
        <v>20000000</v>
      </c>
      <c r="J502" s="1335"/>
      <c r="K502" s="1335"/>
    </row>
    <row r="503" spans="1:255" s="12" customFormat="1" x14ac:dyDescent="0.2">
      <c r="A503" s="864" t="s">
        <v>1299</v>
      </c>
      <c r="B503" s="968" t="s">
        <v>1277</v>
      </c>
      <c r="C503" s="900">
        <v>500000</v>
      </c>
      <c r="D503" s="901">
        <v>500000</v>
      </c>
      <c r="E503" s="2064">
        <v>500000</v>
      </c>
      <c r="F503" s="900">
        <v>0</v>
      </c>
      <c r="G503" s="2066">
        <v>0</v>
      </c>
      <c r="H503" s="901">
        <v>0</v>
      </c>
      <c r="I503" s="900">
        <v>700000</v>
      </c>
      <c r="J503" s="902"/>
      <c r="K503" s="1335"/>
    </row>
    <row r="504" spans="1:255" s="12" customFormat="1" x14ac:dyDescent="0.2">
      <c r="A504" s="864" t="s">
        <v>1300</v>
      </c>
      <c r="B504" s="968" t="s">
        <v>1278</v>
      </c>
      <c r="C504" s="900">
        <v>300000</v>
      </c>
      <c r="D504" s="901">
        <v>300000</v>
      </c>
      <c r="E504" s="2064">
        <v>300000</v>
      </c>
      <c r="F504" s="900">
        <v>0</v>
      </c>
      <c r="G504" s="2066">
        <v>0</v>
      </c>
      <c r="H504" s="901">
        <v>0</v>
      </c>
      <c r="I504" s="900">
        <v>500000</v>
      </c>
      <c r="J504" s="1328"/>
      <c r="K504" s="1328"/>
    </row>
    <row r="505" spans="1:255" s="12" customFormat="1" x14ac:dyDescent="0.2">
      <c r="A505" s="864" t="s">
        <v>1916</v>
      </c>
      <c r="B505" s="968" t="s">
        <v>1953</v>
      </c>
      <c r="C505" s="900">
        <v>0</v>
      </c>
      <c r="D505" s="901">
        <v>0</v>
      </c>
      <c r="E505" s="2064">
        <v>0</v>
      </c>
      <c r="F505" s="900">
        <v>0</v>
      </c>
      <c r="G505" s="2066">
        <v>0</v>
      </c>
      <c r="H505" s="901">
        <v>0</v>
      </c>
      <c r="I505" s="900">
        <v>1300000</v>
      </c>
      <c r="J505" s="1328"/>
      <c r="K505" s="1328"/>
    </row>
    <row r="506" spans="1:255" s="12" customFormat="1" x14ac:dyDescent="0.2">
      <c r="A506" s="868" t="s">
        <v>1735</v>
      </c>
      <c r="B506" s="1137" t="s">
        <v>2021</v>
      </c>
      <c r="C506" s="900">
        <v>0</v>
      </c>
      <c r="D506" s="901">
        <v>1500000</v>
      </c>
      <c r="E506" s="2064">
        <v>1500000</v>
      </c>
      <c r="F506" s="900">
        <v>1154666.8799999999</v>
      </c>
      <c r="G506" s="2066">
        <v>1159329.47</v>
      </c>
      <c r="H506" s="901">
        <v>94745</v>
      </c>
      <c r="I506" s="900">
        <v>0</v>
      </c>
      <c r="J506" s="1328"/>
      <c r="K506" s="1328"/>
    </row>
    <row r="507" spans="1:255" s="12" customFormat="1" x14ac:dyDescent="0.2">
      <c r="A507" s="1017">
        <v>3612</v>
      </c>
      <c r="B507" s="1126" t="s">
        <v>1202</v>
      </c>
      <c r="C507" s="919">
        <f t="shared" ref="C507:K507" si="97">SUM(C508:C521)</f>
        <v>5250000</v>
      </c>
      <c r="D507" s="1238">
        <f t="shared" si="97"/>
        <v>7950000</v>
      </c>
      <c r="E507" s="1238">
        <f t="shared" si="97"/>
        <v>7950000</v>
      </c>
      <c r="F507" s="919">
        <f t="shared" si="97"/>
        <v>4682217.0600000005</v>
      </c>
      <c r="G507" s="920">
        <f t="shared" si="97"/>
        <v>3252967.06</v>
      </c>
      <c r="H507" s="920">
        <f t="shared" si="97"/>
        <v>3252967.06</v>
      </c>
      <c r="I507" s="919">
        <f t="shared" si="97"/>
        <v>22660000</v>
      </c>
      <c r="J507" s="919">
        <f t="shared" si="97"/>
        <v>12000000</v>
      </c>
      <c r="K507" s="920">
        <f t="shared" si="97"/>
        <v>0</v>
      </c>
      <c r="L507" s="898"/>
    </row>
    <row r="508" spans="1:255" s="12" customFormat="1" x14ac:dyDescent="0.2">
      <c r="A508" s="868" t="s">
        <v>1599</v>
      </c>
      <c r="B508" s="969" t="s">
        <v>1736</v>
      </c>
      <c r="C508" s="871">
        <v>400000</v>
      </c>
      <c r="D508" s="870">
        <v>400000</v>
      </c>
      <c r="E508" s="2065">
        <v>400000</v>
      </c>
      <c r="F508" s="873">
        <v>323000</v>
      </c>
      <c r="G508" s="1228">
        <v>323000</v>
      </c>
      <c r="H508" s="870">
        <v>323000</v>
      </c>
      <c r="I508" s="871">
        <v>10000</v>
      </c>
      <c r="J508" s="1328">
        <v>12000000</v>
      </c>
      <c r="K508" s="1328"/>
    </row>
    <row r="509" spans="1:255" s="12" customFormat="1" x14ac:dyDescent="0.2">
      <c r="A509" s="868" t="s">
        <v>1324</v>
      </c>
      <c r="B509" s="969" t="s">
        <v>1737</v>
      </c>
      <c r="C509" s="871">
        <v>350000</v>
      </c>
      <c r="D509" s="870">
        <v>350000</v>
      </c>
      <c r="E509" s="1184">
        <v>350000</v>
      </c>
      <c r="F509" s="871">
        <v>321000</v>
      </c>
      <c r="G509" s="1229">
        <v>321000</v>
      </c>
      <c r="H509" s="870">
        <v>321000</v>
      </c>
      <c r="I509" s="871">
        <v>8800000</v>
      </c>
      <c r="J509" s="1328"/>
      <c r="K509" s="1328"/>
    </row>
    <row r="510" spans="1:255" s="12" customFormat="1" x14ac:dyDescent="0.2">
      <c r="A510" s="914" t="s">
        <v>1301</v>
      </c>
      <c r="B510" s="915" t="s">
        <v>1917</v>
      </c>
      <c r="C510" s="735">
        <v>1500000</v>
      </c>
      <c r="D510" s="33">
        <v>1500000</v>
      </c>
      <c r="E510" s="726">
        <v>1500000</v>
      </c>
      <c r="F510" s="735">
        <v>670000</v>
      </c>
      <c r="G510" s="1317">
        <v>90750</v>
      </c>
      <c r="H510" s="33">
        <v>90750</v>
      </c>
      <c r="I510" s="735">
        <v>400000</v>
      </c>
      <c r="J510" s="1328"/>
      <c r="K510" s="1328"/>
    </row>
    <row r="511" spans="1:255" s="12" customFormat="1" x14ac:dyDescent="0.2">
      <c r="A511" s="936" t="s">
        <v>1738</v>
      </c>
      <c r="B511" s="929" t="s">
        <v>1739</v>
      </c>
      <c r="C511" s="873">
        <v>0</v>
      </c>
      <c r="D511" s="872">
        <v>1500000</v>
      </c>
      <c r="E511" s="2065">
        <v>1500000</v>
      </c>
      <c r="F511" s="873">
        <v>1399150.23</v>
      </c>
      <c r="G511" s="1228">
        <v>1399150.23</v>
      </c>
      <c r="H511" s="872">
        <v>1399150.23</v>
      </c>
      <c r="I511" s="873">
        <v>0</v>
      </c>
      <c r="J511" s="1328"/>
      <c r="K511" s="1328"/>
    </row>
    <row r="512" spans="1:255" s="12" customFormat="1" x14ac:dyDescent="0.2">
      <c r="A512" s="914" t="s">
        <v>1740</v>
      </c>
      <c r="B512" s="1186" t="s">
        <v>1741</v>
      </c>
      <c r="C512" s="871">
        <v>0</v>
      </c>
      <c r="D512" s="870">
        <v>1200000</v>
      </c>
      <c r="E512" s="1184">
        <v>1200000</v>
      </c>
      <c r="F512" s="871">
        <v>1119066.83</v>
      </c>
      <c r="G512" s="1229">
        <v>1119066.83</v>
      </c>
      <c r="H512" s="870">
        <v>1119066.83</v>
      </c>
      <c r="I512" s="871">
        <v>0</v>
      </c>
      <c r="J512" s="1328"/>
      <c r="K512" s="1328"/>
    </row>
    <row r="513" spans="1:11" s="12" customFormat="1" x14ac:dyDescent="0.2">
      <c r="A513" s="868" t="s">
        <v>1639</v>
      </c>
      <c r="B513" s="929" t="s">
        <v>1918</v>
      </c>
      <c r="C513" s="873">
        <v>0</v>
      </c>
      <c r="D513" s="872">
        <v>0</v>
      </c>
      <c r="E513" s="873">
        <v>0</v>
      </c>
      <c r="F513" s="873">
        <v>0</v>
      </c>
      <c r="G513" s="873">
        <v>0</v>
      </c>
      <c r="H513" s="872">
        <v>0</v>
      </c>
      <c r="I513" s="873">
        <v>500000</v>
      </c>
      <c r="J513" s="1338"/>
      <c r="K513" s="1338"/>
    </row>
    <row r="514" spans="1:11" s="12" customFormat="1" x14ac:dyDescent="0.2">
      <c r="A514" s="868" t="s">
        <v>1640</v>
      </c>
      <c r="B514" s="929" t="s">
        <v>1919</v>
      </c>
      <c r="C514" s="873">
        <v>0</v>
      </c>
      <c r="D514" s="872">
        <v>0</v>
      </c>
      <c r="E514" s="873">
        <v>0</v>
      </c>
      <c r="F514" s="873">
        <v>0</v>
      </c>
      <c r="G514" s="873">
        <v>0</v>
      </c>
      <c r="H514" s="872">
        <v>0</v>
      </c>
      <c r="I514" s="873">
        <v>550000</v>
      </c>
      <c r="J514" s="1338"/>
      <c r="K514" s="1338"/>
    </row>
    <row r="515" spans="1:11" s="12" customFormat="1" x14ac:dyDescent="0.2">
      <c r="A515" s="868" t="s">
        <v>1641</v>
      </c>
      <c r="B515" s="929" t="s">
        <v>1920</v>
      </c>
      <c r="C515" s="873">
        <v>0</v>
      </c>
      <c r="D515" s="872">
        <v>0</v>
      </c>
      <c r="E515" s="873">
        <v>0</v>
      </c>
      <c r="F515" s="873">
        <v>0</v>
      </c>
      <c r="G515" s="873">
        <v>0</v>
      </c>
      <c r="H515" s="872">
        <v>0</v>
      </c>
      <c r="I515" s="873">
        <v>450000</v>
      </c>
      <c r="J515" s="1317"/>
      <c r="K515" s="1338"/>
    </row>
    <row r="516" spans="1:11" s="12" customFormat="1" x14ac:dyDescent="0.2">
      <c r="A516" s="868" t="s">
        <v>1642</v>
      </c>
      <c r="B516" s="929" t="s">
        <v>1742</v>
      </c>
      <c r="C516" s="873">
        <v>0</v>
      </c>
      <c r="D516" s="872">
        <v>0</v>
      </c>
      <c r="E516" s="873">
        <v>0</v>
      </c>
      <c r="F516" s="873">
        <v>0</v>
      </c>
      <c r="G516" s="873">
        <v>0</v>
      </c>
      <c r="H516" s="872">
        <v>0</v>
      </c>
      <c r="I516" s="873">
        <v>450000</v>
      </c>
      <c r="J516" s="1187"/>
      <c r="K516" s="1328"/>
    </row>
    <row r="517" spans="1:11" s="12" customFormat="1" x14ac:dyDescent="0.2">
      <c r="A517" s="868" t="s">
        <v>1643</v>
      </c>
      <c r="B517" s="1188" t="s">
        <v>1921</v>
      </c>
      <c r="C517" s="873">
        <v>0</v>
      </c>
      <c r="D517" s="872">
        <v>0</v>
      </c>
      <c r="E517" s="873">
        <v>0</v>
      </c>
      <c r="F517" s="873">
        <v>0</v>
      </c>
      <c r="G517" s="873">
        <v>0</v>
      </c>
      <c r="H517" s="872">
        <v>0</v>
      </c>
      <c r="I517" s="873">
        <v>400000</v>
      </c>
      <c r="J517" s="1338"/>
      <c r="K517" s="1338"/>
    </row>
    <row r="518" spans="1:11" s="12" customFormat="1" x14ac:dyDescent="0.2">
      <c r="A518" s="868" t="s">
        <v>1644</v>
      </c>
      <c r="B518" s="1188" t="s">
        <v>1922</v>
      </c>
      <c r="C518" s="873">
        <v>0</v>
      </c>
      <c r="D518" s="872">
        <v>0</v>
      </c>
      <c r="E518" s="873">
        <v>0</v>
      </c>
      <c r="F518" s="873">
        <v>0</v>
      </c>
      <c r="G518" s="873">
        <v>0</v>
      </c>
      <c r="H518" s="872">
        <v>0</v>
      </c>
      <c r="I518" s="873">
        <v>300000</v>
      </c>
      <c r="J518" s="1338"/>
      <c r="K518" s="1338"/>
    </row>
    <row r="519" spans="1:11" s="12" customFormat="1" x14ac:dyDescent="0.2">
      <c r="A519" s="868" t="s">
        <v>1645</v>
      </c>
      <c r="B519" s="1188" t="s">
        <v>1923</v>
      </c>
      <c r="C519" s="873">
        <v>0</v>
      </c>
      <c r="D519" s="872">
        <v>0</v>
      </c>
      <c r="E519" s="873">
        <v>0</v>
      </c>
      <c r="F519" s="873">
        <v>0</v>
      </c>
      <c r="G519" s="873">
        <v>0</v>
      </c>
      <c r="H519" s="872">
        <v>0</v>
      </c>
      <c r="I519" s="873">
        <v>300000</v>
      </c>
      <c r="J519" s="1338"/>
      <c r="K519" s="1338"/>
    </row>
    <row r="520" spans="1:11" s="12" customFormat="1" x14ac:dyDescent="0.2">
      <c r="A520" s="868" t="s">
        <v>1646</v>
      </c>
      <c r="B520" s="1188" t="s">
        <v>1743</v>
      </c>
      <c r="C520" s="873">
        <v>0</v>
      </c>
      <c r="D520" s="872">
        <v>0</v>
      </c>
      <c r="E520" s="873">
        <v>0</v>
      </c>
      <c r="F520" s="873">
        <v>0</v>
      </c>
      <c r="G520" s="873">
        <v>0</v>
      </c>
      <c r="H520" s="872">
        <v>0</v>
      </c>
      <c r="I520" s="873">
        <v>6000000</v>
      </c>
      <c r="J520" s="1338"/>
      <c r="K520" s="1338"/>
    </row>
    <row r="521" spans="1:11" s="12" customFormat="1" x14ac:dyDescent="0.2">
      <c r="A521" s="868" t="s">
        <v>1647</v>
      </c>
      <c r="B521" s="869" t="s">
        <v>1924</v>
      </c>
      <c r="C521" s="871">
        <v>3000000</v>
      </c>
      <c r="D521" s="870">
        <v>3000000</v>
      </c>
      <c r="E521" s="1184">
        <v>3000000</v>
      </c>
      <c r="F521" s="871">
        <v>850000</v>
      </c>
      <c r="G521" s="1229">
        <v>0</v>
      </c>
      <c r="H521" s="870">
        <v>0</v>
      </c>
      <c r="I521" s="871">
        <v>4500000</v>
      </c>
      <c r="J521" s="1317"/>
      <c r="K521" s="1317"/>
    </row>
    <row r="522" spans="1:11" s="12" customFormat="1" x14ac:dyDescent="0.2">
      <c r="A522" s="1018">
        <v>3613</v>
      </c>
      <c r="B522" s="970" t="s">
        <v>1384</v>
      </c>
      <c r="C522" s="902">
        <f t="shared" ref="C522:K522" si="98">SUM(C523:C533)</f>
        <v>8200000</v>
      </c>
      <c r="D522" s="1239">
        <f t="shared" si="98"/>
        <v>10250000</v>
      </c>
      <c r="E522" s="1239">
        <f t="shared" si="98"/>
        <v>10250000</v>
      </c>
      <c r="F522" s="902">
        <f t="shared" si="98"/>
        <v>5962693.54</v>
      </c>
      <c r="G522" s="1459">
        <f t="shared" si="98"/>
        <v>6877778.2300000004</v>
      </c>
      <c r="H522" s="1459">
        <f t="shared" si="98"/>
        <v>1504593.54</v>
      </c>
      <c r="I522" s="902">
        <f t="shared" si="98"/>
        <v>15837000</v>
      </c>
      <c r="J522" s="902">
        <f t="shared" si="98"/>
        <v>1550000</v>
      </c>
      <c r="K522" s="1339">
        <f t="shared" si="98"/>
        <v>0</v>
      </c>
    </row>
    <row r="523" spans="1:11" s="12" customFormat="1" x14ac:dyDescent="0.2">
      <c r="A523" s="864" t="s">
        <v>1203</v>
      </c>
      <c r="B523" s="787" t="s">
        <v>1925</v>
      </c>
      <c r="C523" s="739">
        <v>2550000</v>
      </c>
      <c r="D523" s="866">
        <v>550000</v>
      </c>
      <c r="E523" s="1240">
        <v>50000</v>
      </c>
      <c r="F523" s="739">
        <v>46500</v>
      </c>
      <c r="G523" s="1332">
        <v>0</v>
      </c>
      <c r="H523" s="866">
        <v>0</v>
      </c>
      <c r="I523" s="739">
        <v>1000000</v>
      </c>
      <c r="J523" s="1328"/>
      <c r="K523" s="1328"/>
    </row>
    <row r="524" spans="1:11" s="12" customFormat="1" x14ac:dyDescent="0.2">
      <c r="A524" s="864" t="s">
        <v>1302</v>
      </c>
      <c r="B524" s="869" t="s">
        <v>1323</v>
      </c>
      <c r="C524" s="871">
        <v>2500000</v>
      </c>
      <c r="D524" s="870">
        <v>2500000</v>
      </c>
      <c r="E524" s="1184">
        <v>2500000</v>
      </c>
      <c r="F524" s="871">
        <v>300000</v>
      </c>
      <c r="G524" s="1229">
        <v>9000</v>
      </c>
      <c r="H524" s="870">
        <v>0</v>
      </c>
      <c r="I524" s="871">
        <v>3500000</v>
      </c>
      <c r="J524" s="1328"/>
      <c r="K524" s="1328"/>
    </row>
    <row r="525" spans="1:11" s="12" customFormat="1" x14ac:dyDescent="0.2">
      <c r="A525" s="864" t="s">
        <v>1303</v>
      </c>
      <c r="B525" s="869" t="s">
        <v>1926</v>
      </c>
      <c r="C525" s="871">
        <v>1000000</v>
      </c>
      <c r="D525" s="870">
        <v>1000000</v>
      </c>
      <c r="E525" s="1184">
        <v>770000</v>
      </c>
      <c r="F525" s="871">
        <v>360000</v>
      </c>
      <c r="G525" s="1229">
        <v>441650</v>
      </c>
      <c r="H525" s="870">
        <v>48400</v>
      </c>
      <c r="I525" s="871">
        <v>6687000</v>
      </c>
      <c r="J525" s="1317"/>
      <c r="K525" s="1317"/>
    </row>
    <row r="526" spans="1:11" s="12" customFormat="1" x14ac:dyDescent="0.2">
      <c r="A526" s="864" t="s">
        <v>1304</v>
      </c>
      <c r="B526" s="869" t="s">
        <v>1338</v>
      </c>
      <c r="C526" s="871">
        <v>1100000</v>
      </c>
      <c r="D526" s="870">
        <v>0</v>
      </c>
      <c r="E526" s="1184">
        <v>0</v>
      </c>
      <c r="F526" s="871">
        <v>0</v>
      </c>
      <c r="G526" s="1229">
        <v>0</v>
      </c>
      <c r="H526" s="870">
        <v>0</v>
      </c>
      <c r="I526" s="871">
        <v>0</v>
      </c>
      <c r="J526" s="871">
        <v>1000000</v>
      </c>
      <c r="K526" s="1317"/>
    </row>
    <row r="527" spans="1:11" s="12" customFormat="1" x14ac:dyDescent="0.2">
      <c r="A527" s="864" t="s">
        <v>1305</v>
      </c>
      <c r="B527" s="929" t="s">
        <v>1927</v>
      </c>
      <c r="C527" s="873">
        <v>550000</v>
      </c>
      <c r="D527" s="872">
        <v>0</v>
      </c>
      <c r="E527" s="2065">
        <v>0</v>
      </c>
      <c r="F527" s="873">
        <v>0</v>
      </c>
      <c r="G527" s="1228">
        <v>0</v>
      </c>
      <c r="H527" s="872">
        <v>0</v>
      </c>
      <c r="I527" s="873">
        <v>0</v>
      </c>
      <c r="J527" s="1317">
        <v>550000</v>
      </c>
      <c r="K527" s="1317"/>
    </row>
    <row r="528" spans="1:11" s="12" customFormat="1" x14ac:dyDescent="0.2">
      <c r="A528" s="868" t="s">
        <v>1306</v>
      </c>
      <c r="B528" s="869" t="s">
        <v>1334</v>
      </c>
      <c r="C528" s="871">
        <v>500000</v>
      </c>
      <c r="D528" s="870">
        <v>500000</v>
      </c>
      <c r="E528" s="1184">
        <v>500000</v>
      </c>
      <c r="F528" s="871">
        <v>18000</v>
      </c>
      <c r="G528" s="1229">
        <v>18000</v>
      </c>
      <c r="H528" s="870">
        <v>18000</v>
      </c>
      <c r="I528" s="871">
        <v>500000</v>
      </c>
      <c r="J528" s="871"/>
      <c r="K528" s="1317"/>
    </row>
    <row r="529" spans="1:11" s="12" customFormat="1" x14ac:dyDescent="0.2">
      <c r="A529" s="914" t="s">
        <v>1744</v>
      </c>
      <c r="B529" s="1186" t="s">
        <v>1745</v>
      </c>
      <c r="C529" s="735">
        <v>0</v>
      </c>
      <c r="D529" s="33">
        <v>1700000</v>
      </c>
      <c r="E529" s="726">
        <v>1442000</v>
      </c>
      <c r="F529" s="735">
        <v>1438193.54</v>
      </c>
      <c r="G529" s="1317">
        <v>1438193.54</v>
      </c>
      <c r="H529" s="33">
        <v>1438193.54</v>
      </c>
      <c r="I529" s="735">
        <v>0</v>
      </c>
      <c r="J529" s="1317"/>
      <c r="K529" s="1317"/>
    </row>
    <row r="530" spans="1:11" s="12" customFormat="1" x14ac:dyDescent="0.2">
      <c r="A530" s="868" t="s">
        <v>1600</v>
      </c>
      <c r="B530" s="869" t="s">
        <v>1746</v>
      </c>
      <c r="C530" s="871">
        <v>0</v>
      </c>
      <c r="D530" s="870">
        <v>4000000</v>
      </c>
      <c r="E530" s="1184">
        <v>4988000</v>
      </c>
      <c r="F530" s="871">
        <v>3800000</v>
      </c>
      <c r="G530" s="1229">
        <v>4970934.6900000004</v>
      </c>
      <c r="H530" s="870">
        <v>0</v>
      </c>
      <c r="I530" s="871">
        <v>0</v>
      </c>
      <c r="J530" s="1189"/>
      <c r="K530" s="1317"/>
    </row>
    <row r="531" spans="1:11" s="12" customFormat="1" x14ac:dyDescent="0.2">
      <c r="A531" s="1989" t="s">
        <v>1928</v>
      </c>
      <c r="B531" s="869" t="s">
        <v>1929</v>
      </c>
      <c r="C531" s="871">
        <v>0</v>
      </c>
      <c r="D531" s="870">
        <v>0</v>
      </c>
      <c r="E531" s="871">
        <v>0</v>
      </c>
      <c r="F531" s="871">
        <v>0</v>
      </c>
      <c r="G531" s="871">
        <v>0</v>
      </c>
      <c r="H531" s="870">
        <v>0</v>
      </c>
      <c r="I531" s="871">
        <v>3500000</v>
      </c>
      <c r="J531" s="1189"/>
      <c r="K531" s="1317"/>
    </row>
    <row r="532" spans="1:11" s="12" customFormat="1" x14ac:dyDescent="0.2">
      <c r="A532" s="868" t="s">
        <v>1930</v>
      </c>
      <c r="B532" s="869" t="s">
        <v>1931</v>
      </c>
      <c r="C532" s="871">
        <v>0</v>
      </c>
      <c r="D532" s="870">
        <v>0</v>
      </c>
      <c r="E532" s="871">
        <v>0</v>
      </c>
      <c r="F532" s="871">
        <v>0</v>
      </c>
      <c r="G532" s="871">
        <v>0</v>
      </c>
      <c r="H532" s="870">
        <v>0</v>
      </c>
      <c r="I532" s="871">
        <v>250000</v>
      </c>
      <c r="J532" s="1189"/>
      <c r="K532" s="1317"/>
    </row>
    <row r="533" spans="1:11" s="12" customFormat="1" x14ac:dyDescent="0.2">
      <c r="A533" s="868" t="s">
        <v>1648</v>
      </c>
      <c r="B533" s="869" t="s">
        <v>1932</v>
      </c>
      <c r="C533" s="871">
        <v>0</v>
      </c>
      <c r="D533" s="870">
        <v>0</v>
      </c>
      <c r="E533" s="871">
        <v>0</v>
      </c>
      <c r="F533" s="871">
        <v>0</v>
      </c>
      <c r="G533" s="871">
        <v>0</v>
      </c>
      <c r="H533" s="870">
        <v>0</v>
      </c>
      <c r="I533" s="871">
        <v>400000</v>
      </c>
      <c r="J533" s="871"/>
      <c r="K533" s="1317"/>
    </row>
    <row r="534" spans="1:11" s="12" customFormat="1" ht="13.5" thickBot="1" x14ac:dyDescent="0.25">
      <c r="A534" s="1019">
        <v>3634</v>
      </c>
      <c r="B534" s="1126" t="s">
        <v>1204</v>
      </c>
      <c r="C534" s="1124">
        <f t="shared" ref="C534:K534" si="99">SUM(C535:C545)</f>
        <v>38361250</v>
      </c>
      <c r="D534" s="1130">
        <f t="shared" si="99"/>
        <v>33861250</v>
      </c>
      <c r="E534" s="2057">
        <f t="shared" si="99"/>
        <v>29931250</v>
      </c>
      <c r="F534" s="2068">
        <f t="shared" si="99"/>
        <v>28653769.310000002</v>
      </c>
      <c r="G534" s="2057">
        <f t="shared" si="99"/>
        <v>26349103.299999997</v>
      </c>
      <c r="H534" s="1130">
        <f t="shared" si="99"/>
        <v>13464653.420000002</v>
      </c>
      <c r="I534" s="1124">
        <f t="shared" si="99"/>
        <v>15805000</v>
      </c>
      <c r="J534" s="1124">
        <f t="shared" si="99"/>
        <v>0</v>
      </c>
      <c r="K534" s="1203">
        <f t="shared" si="99"/>
        <v>0</v>
      </c>
    </row>
    <row r="535" spans="1:11" s="12" customFormat="1" ht="16.5" thickBot="1" x14ac:dyDescent="0.3">
      <c r="A535" s="864" t="s">
        <v>1205</v>
      </c>
      <c r="B535" s="787" t="s">
        <v>1747</v>
      </c>
      <c r="C535" s="739">
        <v>2151250</v>
      </c>
      <c r="D535" s="866">
        <v>2151250</v>
      </c>
      <c r="E535" s="1240">
        <v>2151250</v>
      </c>
      <c r="F535" s="739">
        <v>2151250</v>
      </c>
      <c r="G535" s="1332">
        <v>1613824.19</v>
      </c>
      <c r="H535" s="866">
        <v>151250</v>
      </c>
      <c r="I535" s="739">
        <v>0</v>
      </c>
      <c r="J535" s="1190"/>
      <c r="K535" s="1990"/>
    </row>
    <row r="536" spans="1:11" s="12" customFormat="1" x14ac:dyDescent="0.2">
      <c r="A536" s="936" t="s">
        <v>1307</v>
      </c>
      <c r="B536" s="869" t="s">
        <v>1933</v>
      </c>
      <c r="C536" s="871">
        <v>2500000</v>
      </c>
      <c r="D536" s="870">
        <v>2500000</v>
      </c>
      <c r="E536" s="1184">
        <v>2500000</v>
      </c>
      <c r="F536" s="871">
        <v>1400000</v>
      </c>
      <c r="G536" s="1229">
        <v>15972</v>
      </c>
      <c r="H536" s="870">
        <v>0</v>
      </c>
      <c r="I536" s="871">
        <v>200000</v>
      </c>
      <c r="J536" s="1203"/>
      <c r="K536" s="1203"/>
    </row>
    <row r="537" spans="1:11" s="12" customFormat="1" x14ac:dyDescent="0.2">
      <c r="A537" s="936" t="s">
        <v>1934</v>
      </c>
      <c r="B537" s="869" t="s">
        <v>1935</v>
      </c>
      <c r="C537" s="871">
        <v>0</v>
      </c>
      <c r="D537" s="870">
        <v>0</v>
      </c>
      <c r="E537" s="1184">
        <v>0</v>
      </c>
      <c r="F537" s="871">
        <v>0</v>
      </c>
      <c r="G537" s="1229">
        <v>0</v>
      </c>
      <c r="H537" s="870">
        <v>0</v>
      </c>
      <c r="I537" s="871">
        <v>800000</v>
      </c>
      <c r="J537" s="1203"/>
      <c r="K537" s="1203"/>
    </row>
    <row r="538" spans="1:11" s="12" customFormat="1" x14ac:dyDescent="0.2">
      <c r="A538" s="936" t="s">
        <v>1649</v>
      </c>
      <c r="B538" s="869" t="s">
        <v>1936</v>
      </c>
      <c r="C538" s="871">
        <v>0</v>
      </c>
      <c r="D538" s="870">
        <v>0</v>
      </c>
      <c r="E538" s="2065">
        <v>0</v>
      </c>
      <c r="F538" s="873">
        <v>0</v>
      </c>
      <c r="G538" s="1228">
        <v>0</v>
      </c>
      <c r="H538" s="870">
        <v>0</v>
      </c>
      <c r="I538" s="871">
        <v>3300000</v>
      </c>
      <c r="J538" s="1335"/>
      <c r="K538" s="1335"/>
    </row>
    <row r="539" spans="1:11" s="12" customFormat="1" x14ac:dyDescent="0.2">
      <c r="A539" s="936" t="s">
        <v>1308</v>
      </c>
      <c r="B539" s="869" t="s">
        <v>1937</v>
      </c>
      <c r="C539" s="871">
        <v>210000</v>
      </c>
      <c r="D539" s="870">
        <v>210000</v>
      </c>
      <c r="E539" s="1184">
        <v>210000</v>
      </c>
      <c r="F539" s="871">
        <v>176660</v>
      </c>
      <c r="G539" s="1229">
        <v>176660</v>
      </c>
      <c r="H539" s="870">
        <v>176660</v>
      </c>
      <c r="I539" s="871">
        <v>5000</v>
      </c>
      <c r="J539" s="1328"/>
      <c r="K539" s="1328"/>
    </row>
    <row r="540" spans="1:11" s="12" customFormat="1" x14ac:dyDescent="0.2">
      <c r="A540" s="936" t="s">
        <v>1309</v>
      </c>
      <c r="B540" s="869" t="s">
        <v>1601</v>
      </c>
      <c r="C540" s="871">
        <v>4500000</v>
      </c>
      <c r="D540" s="870">
        <v>3000000</v>
      </c>
      <c r="E540" s="1184">
        <v>2550000</v>
      </c>
      <c r="F540" s="871">
        <v>2541171.98</v>
      </c>
      <c r="G540" s="1229">
        <v>2541171.98</v>
      </c>
      <c r="H540" s="870">
        <v>2527619.98</v>
      </c>
      <c r="I540" s="871">
        <v>0</v>
      </c>
      <c r="J540" s="1328"/>
      <c r="K540" s="1328"/>
    </row>
    <row r="541" spans="1:11" s="12" customFormat="1" x14ac:dyDescent="0.2">
      <c r="A541" s="936" t="s">
        <v>1310</v>
      </c>
      <c r="B541" s="869" t="s">
        <v>1602</v>
      </c>
      <c r="C541" s="871">
        <v>4800000</v>
      </c>
      <c r="D541" s="870">
        <v>3300000</v>
      </c>
      <c r="E541" s="1184">
        <v>2820000</v>
      </c>
      <c r="F541" s="871">
        <v>2811169.71</v>
      </c>
      <c r="G541" s="1229">
        <v>2571812.16</v>
      </c>
      <c r="H541" s="870">
        <v>58557.95</v>
      </c>
      <c r="I541" s="871">
        <v>0</v>
      </c>
      <c r="J541" s="1328"/>
      <c r="K541" s="1328"/>
    </row>
    <row r="542" spans="1:11" s="12" customFormat="1" ht="13.5" thickBot="1" x14ac:dyDescent="0.25">
      <c r="A542" s="936" t="s">
        <v>1311</v>
      </c>
      <c r="B542" s="869" t="s">
        <v>1603</v>
      </c>
      <c r="C542" s="871">
        <v>5000000</v>
      </c>
      <c r="D542" s="870">
        <v>4960000</v>
      </c>
      <c r="E542" s="1184">
        <v>2960000</v>
      </c>
      <c r="F542" s="871">
        <v>2947731.71</v>
      </c>
      <c r="G542" s="1229">
        <v>2947731.71</v>
      </c>
      <c r="H542" s="870">
        <v>2947731.71</v>
      </c>
      <c r="I542" s="871">
        <v>0</v>
      </c>
      <c r="J542" s="1332"/>
      <c r="K542" s="1328"/>
    </row>
    <row r="543" spans="1:11" s="12" customFormat="1" ht="16.5" thickBot="1" x14ac:dyDescent="0.3">
      <c r="A543" s="868" t="s">
        <v>1312</v>
      </c>
      <c r="B543" s="869" t="s">
        <v>1748</v>
      </c>
      <c r="C543" s="871">
        <v>13000000</v>
      </c>
      <c r="D543" s="870">
        <v>14300000</v>
      </c>
      <c r="E543" s="1452">
        <v>14100000</v>
      </c>
      <c r="F543" s="1080">
        <v>14000000</v>
      </c>
      <c r="G543" s="1539">
        <v>14042452.449999999</v>
      </c>
      <c r="H543" s="870">
        <v>6534958.3200000003</v>
      </c>
      <c r="I543" s="871">
        <v>0</v>
      </c>
      <c r="J543" s="1190"/>
      <c r="K543" s="1990"/>
    </row>
    <row r="544" spans="1:11" s="12" customFormat="1" x14ac:dyDescent="0.2">
      <c r="A544" s="868" t="s">
        <v>1206</v>
      </c>
      <c r="B544" s="869" t="s">
        <v>1604</v>
      </c>
      <c r="C544" s="871">
        <v>6000000</v>
      </c>
      <c r="D544" s="870">
        <v>3200000</v>
      </c>
      <c r="E544" s="1184">
        <v>2400000</v>
      </c>
      <c r="F544" s="871">
        <v>2386205.91</v>
      </c>
      <c r="G544" s="1229">
        <v>2199898.81</v>
      </c>
      <c r="H544" s="870">
        <v>828295.46</v>
      </c>
      <c r="I544" s="871">
        <v>0</v>
      </c>
      <c r="J544" s="1203"/>
      <c r="K544" s="1203"/>
    </row>
    <row r="545" spans="1:11" s="12" customFormat="1" ht="13.5" thickBot="1" x14ac:dyDescent="0.25">
      <c r="A545" s="936" t="s">
        <v>1313</v>
      </c>
      <c r="B545" s="929" t="s">
        <v>1938</v>
      </c>
      <c r="C545" s="873">
        <v>200000</v>
      </c>
      <c r="D545" s="872">
        <v>240000</v>
      </c>
      <c r="E545" s="2065">
        <v>240000</v>
      </c>
      <c r="F545" s="2069">
        <v>239580</v>
      </c>
      <c r="G545" s="1228">
        <v>239580</v>
      </c>
      <c r="H545" s="872">
        <v>239580</v>
      </c>
      <c r="I545" s="873">
        <v>11500000</v>
      </c>
      <c r="J545" s="1332"/>
      <c r="K545" s="1328"/>
    </row>
    <row r="546" spans="1:11" s="12" customFormat="1" ht="16.5" thickBot="1" x14ac:dyDescent="0.3">
      <c r="A546" s="1015"/>
      <c r="B546" s="1197" t="s">
        <v>550</v>
      </c>
      <c r="C546" s="1196">
        <f>SUM(C547,C555,C557,C563,C568)</f>
        <v>18780000</v>
      </c>
      <c r="D546" s="1493">
        <f t="shared" ref="D546:K546" si="100">SUM(D547,D555,D557,D563,D568)</f>
        <v>26420307</v>
      </c>
      <c r="E546" s="1493">
        <f t="shared" si="100"/>
        <v>18420307</v>
      </c>
      <c r="F546" s="1196">
        <f t="shared" si="100"/>
        <v>16108771.5</v>
      </c>
      <c r="G546" s="1196">
        <f t="shared" si="100"/>
        <v>10583941.35</v>
      </c>
      <c r="H546" s="1437">
        <f t="shared" si="100"/>
        <v>1621321.29</v>
      </c>
      <c r="I546" s="1394">
        <f>SUM(I547,I555,I557,I563,I568)</f>
        <v>22807000</v>
      </c>
      <c r="J546" s="1394">
        <f t="shared" si="100"/>
        <v>11000000</v>
      </c>
      <c r="K546" s="1333">
        <f t="shared" si="100"/>
        <v>0</v>
      </c>
    </row>
    <row r="547" spans="1:11" s="12" customFormat="1" x14ac:dyDescent="0.2">
      <c r="A547" s="1900">
        <v>3412</v>
      </c>
      <c r="B547" s="930" t="s">
        <v>1385</v>
      </c>
      <c r="C547" s="1124">
        <f t="shared" ref="C547:I547" si="101">SUM(C548:C554)</f>
        <v>13470000</v>
      </c>
      <c r="D547" s="1124">
        <f t="shared" si="101"/>
        <v>13610307</v>
      </c>
      <c r="E547" s="1124">
        <f t="shared" si="101"/>
        <v>13610307</v>
      </c>
      <c r="F547" s="1124">
        <f t="shared" si="101"/>
        <v>12155551.5</v>
      </c>
      <c r="G547" s="1124">
        <f t="shared" si="101"/>
        <v>8795349.1799999997</v>
      </c>
      <c r="H547" s="1124">
        <f t="shared" si="101"/>
        <v>724354.56000000006</v>
      </c>
      <c r="I547" s="1124">
        <f t="shared" si="101"/>
        <v>13037000</v>
      </c>
      <c r="J547" s="1124">
        <f>SUM(J548:J554)</f>
        <v>0</v>
      </c>
      <c r="K547" s="1203">
        <f t="shared" ref="K547" si="102">SUM(K548:K553)</f>
        <v>0</v>
      </c>
    </row>
    <row r="548" spans="1:11" s="12" customFormat="1" x14ac:dyDescent="0.2">
      <c r="A548" s="811" t="s">
        <v>1605</v>
      </c>
      <c r="B548" s="784" t="s">
        <v>1606</v>
      </c>
      <c r="C548" s="736">
        <v>0</v>
      </c>
      <c r="D548" s="738">
        <v>156307</v>
      </c>
      <c r="E548" s="736">
        <v>156307</v>
      </c>
      <c r="F548" s="738">
        <v>155937</v>
      </c>
      <c r="G548" s="736">
        <v>155937</v>
      </c>
      <c r="H548" s="738">
        <v>155937</v>
      </c>
      <c r="I548" s="736">
        <v>0</v>
      </c>
      <c r="J548" s="1328"/>
      <c r="K548" s="1328"/>
    </row>
    <row r="549" spans="1:11" s="12" customFormat="1" x14ac:dyDescent="0.2">
      <c r="A549" s="811" t="s">
        <v>1207</v>
      </c>
      <c r="B549" s="784" t="s">
        <v>1607</v>
      </c>
      <c r="C549" s="736">
        <v>11500000</v>
      </c>
      <c r="D549" s="738">
        <v>11467000</v>
      </c>
      <c r="E549" s="736">
        <v>11467000</v>
      </c>
      <c r="F549" s="738">
        <v>11000000</v>
      </c>
      <c r="G549" s="736">
        <v>8123797.6799999997</v>
      </c>
      <c r="H549" s="738">
        <v>52803.06</v>
      </c>
      <c r="I549" s="736">
        <v>0</v>
      </c>
      <c r="J549" s="1328"/>
      <c r="K549" s="1328"/>
    </row>
    <row r="550" spans="1:11" s="12" customFormat="1" x14ac:dyDescent="0.2">
      <c r="A550" s="811" t="s">
        <v>1208</v>
      </c>
      <c r="B550" s="784" t="s">
        <v>1063</v>
      </c>
      <c r="C550" s="736">
        <v>1000000</v>
      </c>
      <c r="D550" s="738">
        <v>1000000</v>
      </c>
      <c r="E550" s="736">
        <v>1000000</v>
      </c>
      <c r="F550" s="738">
        <v>363000</v>
      </c>
      <c r="G550" s="736">
        <v>0</v>
      </c>
      <c r="H550" s="738">
        <v>0</v>
      </c>
      <c r="I550" s="736">
        <v>650000</v>
      </c>
      <c r="J550" s="1328"/>
      <c r="K550" s="1328"/>
    </row>
    <row r="551" spans="1:11" s="12" customFormat="1" x14ac:dyDescent="0.2">
      <c r="A551" s="811" t="s">
        <v>1209</v>
      </c>
      <c r="B551" s="784" t="s">
        <v>1064</v>
      </c>
      <c r="C551" s="736">
        <v>330000</v>
      </c>
      <c r="D551" s="738">
        <v>330000</v>
      </c>
      <c r="E551" s="736">
        <v>330000</v>
      </c>
      <c r="F551" s="738">
        <v>121000</v>
      </c>
      <c r="G551" s="736">
        <v>0</v>
      </c>
      <c r="H551" s="738">
        <v>0</v>
      </c>
      <c r="I551" s="736">
        <v>250000</v>
      </c>
      <c r="J551" s="1331"/>
      <c r="K551" s="1331"/>
    </row>
    <row r="552" spans="1:11" s="12" customFormat="1" x14ac:dyDescent="0.2">
      <c r="A552" s="811" t="s">
        <v>1210</v>
      </c>
      <c r="B552" s="785" t="s">
        <v>1650</v>
      </c>
      <c r="C552" s="736">
        <v>200000</v>
      </c>
      <c r="D552" s="738">
        <v>137000</v>
      </c>
      <c r="E552" s="736">
        <v>137000</v>
      </c>
      <c r="F552" s="738">
        <v>0</v>
      </c>
      <c r="G552" s="736">
        <v>0</v>
      </c>
      <c r="H552" s="738">
        <v>0</v>
      </c>
      <c r="I552" s="736">
        <v>137000</v>
      </c>
      <c r="J552" s="1328"/>
      <c r="K552" s="1328"/>
    </row>
    <row r="553" spans="1:11" s="12" customFormat="1" x14ac:dyDescent="0.2">
      <c r="A553" s="811" t="s">
        <v>1065</v>
      </c>
      <c r="B553" s="784" t="s">
        <v>1608</v>
      </c>
      <c r="C553" s="736">
        <v>440000</v>
      </c>
      <c r="D553" s="738">
        <v>520000</v>
      </c>
      <c r="E553" s="736">
        <v>520000</v>
      </c>
      <c r="F553" s="738">
        <v>515614.5</v>
      </c>
      <c r="G553" s="736">
        <v>515614.5</v>
      </c>
      <c r="H553" s="738">
        <v>515614.5</v>
      </c>
      <c r="I553" s="736">
        <v>4000000</v>
      </c>
      <c r="J553" s="1328"/>
      <c r="K553" s="1328"/>
    </row>
    <row r="554" spans="1:11" s="12" customFormat="1" ht="12.75" customHeight="1" x14ac:dyDescent="0.2">
      <c r="A554" s="811" t="s">
        <v>1651</v>
      </c>
      <c r="B554" s="915" t="s">
        <v>1609</v>
      </c>
      <c r="C554" s="735">
        <v>0</v>
      </c>
      <c r="D554" s="33">
        <v>0</v>
      </c>
      <c r="E554" s="735">
        <v>0</v>
      </c>
      <c r="F554" s="33">
        <v>0</v>
      </c>
      <c r="G554" s="735">
        <v>0</v>
      </c>
      <c r="H554" s="33">
        <v>0</v>
      </c>
      <c r="I554" s="735">
        <v>8000000</v>
      </c>
      <c r="J554" s="1317"/>
      <c r="K554" s="1317"/>
    </row>
    <row r="555" spans="1:11" s="12" customFormat="1" x14ac:dyDescent="0.2">
      <c r="A555" s="882">
        <v>3613</v>
      </c>
      <c r="B555" s="786" t="s">
        <v>1384</v>
      </c>
      <c r="C555" s="737">
        <f>SUM(C556:C556)</f>
        <v>300000</v>
      </c>
      <c r="D555" s="737">
        <f t="shared" ref="D555:K555" si="103">SUM(D556:D556)</f>
        <v>300000</v>
      </c>
      <c r="E555" s="737">
        <f t="shared" si="103"/>
        <v>300000</v>
      </c>
      <c r="F555" s="737">
        <f t="shared" si="103"/>
        <v>0</v>
      </c>
      <c r="G555" s="737">
        <f t="shared" si="103"/>
        <v>0</v>
      </c>
      <c r="H555" s="737">
        <f t="shared" si="103"/>
        <v>0</v>
      </c>
      <c r="I555" s="737">
        <f t="shared" si="103"/>
        <v>300000</v>
      </c>
      <c r="J555" s="737">
        <f t="shared" si="103"/>
        <v>11000000</v>
      </c>
      <c r="K555" s="1331">
        <f t="shared" si="103"/>
        <v>0</v>
      </c>
    </row>
    <row r="556" spans="1:11" s="12" customFormat="1" ht="12.75" customHeight="1" x14ac:dyDescent="0.2">
      <c r="A556" s="811" t="s">
        <v>558</v>
      </c>
      <c r="B556" s="784" t="s">
        <v>1939</v>
      </c>
      <c r="C556" s="736">
        <v>300000</v>
      </c>
      <c r="D556" s="738">
        <v>300000</v>
      </c>
      <c r="E556" s="736">
        <v>300000</v>
      </c>
      <c r="F556" s="738">
        <v>0</v>
      </c>
      <c r="G556" s="736">
        <v>0</v>
      </c>
      <c r="H556" s="738">
        <v>0</v>
      </c>
      <c r="I556" s="736">
        <v>300000</v>
      </c>
      <c r="J556" s="1276">
        <v>11000000</v>
      </c>
      <c r="K556" s="1331"/>
    </row>
    <row r="557" spans="1:11" s="12" customFormat="1" ht="12.75" customHeight="1" x14ac:dyDescent="0.2">
      <c r="A557" s="882">
        <v>3631</v>
      </c>
      <c r="B557" s="786" t="s">
        <v>1386</v>
      </c>
      <c r="C557" s="737">
        <f>SUM(C558:C562)</f>
        <v>4150000</v>
      </c>
      <c r="D557" s="737">
        <f t="shared" ref="D557:K557" si="104">SUM(D558:D562)</f>
        <v>11650000</v>
      </c>
      <c r="E557" s="737">
        <f t="shared" si="104"/>
        <v>3650000</v>
      </c>
      <c r="F557" s="737">
        <f t="shared" si="104"/>
        <v>3170160</v>
      </c>
      <c r="G557" s="737">
        <f t="shared" si="104"/>
        <v>1278592.17</v>
      </c>
      <c r="H557" s="737">
        <f t="shared" si="104"/>
        <v>390966.73000000004</v>
      </c>
      <c r="I557" s="737">
        <f t="shared" si="104"/>
        <v>7850000</v>
      </c>
      <c r="J557" s="737">
        <f t="shared" si="104"/>
        <v>0</v>
      </c>
      <c r="K557" s="1331">
        <f t="shared" si="104"/>
        <v>0</v>
      </c>
    </row>
    <row r="558" spans="1:11" s="12" customFormat="1" ht="12.75" customHeight="1" x14ac:dyDescent="0.2">
      <c r="A558" s="811" t="s">
        <v>573</v>
      </c>
      <c r="B558" s="784" t="s">
        <v>1940</v>
      </c>
      <c r="C558" s="736">
        <v>100000</v>
      </c>
      <c r="D558" s="738">
        <v>7600000</v>
      </c>
      <c r="E558" s="736">
        <v>100000</v>
      </c>
      <c r="F558" s="738">
        <v>100000</v>
      </c>
      <c r="G558" s="736">
        <v>80331.899999999994</v>
      </c>
      <c r="H558" s="738">
        <v>45907.4</v>
      </c>
      <c r="I558" s="736">
        <v>7600000</v>
      </c>
      <c r="J558" s="1538"/>
      <c r="K558" s="1331"/>
    </row>
    <row r="559" spans="1:11" s="12" customFormat="1" ht="12.75" customHeight="1" x14ac:dyDescent="0.2">
      <c r="A559" s="811" t="s">
        <v>583</v>
      </c>
      <c r="B559" s="784" t="s">
        <v>1610</v>
      </c>
      <c r="C559" s="736">
        <v>1750000</v>
      </c>
      <c r="D559" s="738">
        <v>1729840</v>
      </c>
      <c r="E559" s="736">
        <v>1229840</v>
      </c>
      <c r="F559" s="738">
        <v>1200000</v>
      </c>
      <c r="G559" s="736">
        <v>1190395.27</v>
      </c>
      <c r="H559" s="738">
        <v>337194.33</v>
      </c>
      <c r="I559" s="736">
        <v>0</v>
      </c>
      <c r="J559" s="858"/>
      <c r="K559" s="1328"/>
    </row>
    <row r="560" spans="1:11" s="12" customFormat="1" ht="12.75" customHeight="1" x14ac:dyDescent="0.2">
      <c r="A560" s="811" t="s">
        <v>587</v>
      </c>
      <c r="B560" s="784" t="s">
        <v>1611</v>
      </c>
      <c r="C560" s="736">
        <v>2300000</v>
      </c>
      <c r="D560" s="738">
        <v>2300000</v>
      </c>
      <c r="E560" s="736">
        <v>2300000</v>
      </c>
      <c r="F560" s="738">
        <v>1850000</v>
      </c>
      <c r="G560" s="736">
        <v>7865</v>
      </c>
      <c r="H560" s="738">
        <v>7865</v>
      </c>
      <c r="I560" s="736">
        <v>0</v>
      </c>
      <c r="J560" s="1537"/>
      <c r="K560" s="1252"/>
    </row>
    <row r="561" spans="1:11" s="12" customFormat="1" ht="12.75" customHeight="1" x14ac:dyDescent="0.2">
      <c r="A561" s="811" t="s">
        <v>1749</v>
      </c>
      <c r="B561" s="784" t="s">
        <v>1704</v>
      </c>
      <c r="C561" s="736">
        <v>0</v>
      </c>
      <c r="D561" s="738">
        <v>0</v>
      </c>
      <c r="E561" s="736">
        <v>0</v>
      </c>
      <c r="F561" s="738">
        <v>0</v>
      </c>
      <c r="G561" s="736">
        <v>0</v>
      </c>
      <c r="H561" s="738">
        <v>0</v>
      </c>
      <c r="I561" s="736">
        <v>250000</v>
      </c>
      <c r="J561" s="1537"/>
      <c r="K561" s="1252"/>
    </row>
    <row r="562" spans="1:11" s="12" customFormat="1" x14ac:dyDescent="0.2">
      <c r="A562" s="811" t="s">
        <v>591</v>
      </c>
      <c r="B562" s="784" t="s">
        <v>1612</v>
      </c>
      <c r="C562" s="736">
        <v>0</v>
      </c>
      <c r="D562" s="738">
        <v>20160</v>
      </c>
      <c r="E562" s="736">
        <v>20160</v>
      </c>
      <c r="F562" s="738">
        <v>20160</v>
      </c>
      <c r="G562" s="736">
        <v>0</v>
      </c>
      <c r="H562" s="738">
        <v>0</v>
      </c>
      <c r="I562" s="736">
        <v>0</v>
      </c>
      <c r="J562" s="1536"/>
      <c r="K562" s="1252"/>
    </row>
    <row r="563" spans="1:11" s="12" customFormat="1" ht="15.75" customHeight="1" x14ac:dyDescent="0.2">
      <c r="A563" s="882">
        <v>3632</v>
      </c>
      <c r="B563" s="931" t="s">
        <v>1369</v>
      </c>
      <c r="C563" s="737">
        <f>SUM(C564:C567)</f>
        <v>850000</v>
      </c>
      <c r="D563" s="737">
        <f t="shared" ref="D563:K563" si="105">SUM(D564:D567)</f>
        <v>850000</v>
      </c>
      <c r="E563" s="737">
        <f t="shared" si="105"/>
        <v>850000</v>
      </c>
      <c r="F563" s="737">
        <f t="shared" si="105"/>
        <v>783060</v>
      </c>
      <c r="G563" s="737">
        <f t="shared" si="105"/>
        <v>510000</v>
      </c>
      <c r="H563" s="737">
        <f t="shared" si="105"/>
        <v>506000</v>
      </c>
      <c r="I563" s="737">
        <f t="shared" si="105"/>
        <v>1220000</v>
      </c>
      <c r="J563" s="737">
        <f t="shared" si="105"/>
        <v>0</v>
      </c>
      <c r="K563" s="1331">
        <f t="shared" si="105"/>
        <v>0</v>
      </c>
    </row>
    <row r="564" spans="1:11" s="12" customFormat="1" x14ac:dyDescent="0.2">
      <c r="A564" s="811" t="s">
        <v>1213</v>
      </c>
      <c r="B564" s="784" t="s">
        <v>1941</v>
      </c>
      <c r="C564" s="736">
        <v>620000</v>
      </c>
      <c r="D564" s="738">
        <v>608000</v>
      </c>
      <c r="E564" s="736">
        <v>608000</v>
      </c>
      <c r="F564" s="738">
        <v>546000</v>
      </c>
      <c r="G564" s="736">
        <v>498000</v>
      </c>
      <c r="H564" s="738">
        <v>498000</v>
      </c>
      <c r="I564" s="736">
        <v>10000</v>
      </c>
      <c r="J564" s="1331"/>
      <c r="K564" s="1331"/>
    </row>
    <row r="565" spans="1:11" s="12" customFormat="1" x14ac:dyDescent="0.2">
      <c r="A565" s="811" t="s">
        <v>1213</v>
      </c>
      <c r="B565" s="785" t="s">
        <v>1942</v>
      </c>
      <c r="C565" s="736">
        <v>230000</v>
      </c>
      <c r="D565" s="738">
        <v>230000</v>
      </c>
      <c r="E565" s="736">
        <v>230000</v>
      </c>
      <c r="F565" s="738">
        <v>225060</v>
      </c>
      <c r="G565" s="736">
        <v>0</v>
      </c>
      <c r="H565" s="738">
        <v>0</v>
      </c>
      <c r="I565" s="736">
        <v>5000</v>
      </c>
      <c r="J565" s="1535"/>
      <c r="K565" s="1252"/>
    </row>
    <row r="566" spans="1:11" s="12" customFormat="1" ht="12.75" customHeight="1" x14ac:dyDescent="0.2">
      <c r="A566" s="811" t="s">
        <v>594</v>
      </c>
      <c r="B566" s="785" t="s">
        <v>1943</v>
      </c>
      <c r="C566" s="736">
        <v>0</v>
      </c>
      <c r="D566" s="738">
        <v>0</v>
      </c>
      <c r="E566" s="736">
        <v>0</v>
      </c>
      <c r="F566" s="738">
        <v>0</v>
      </c>
      <c r="G566" s="736">
        <v>0</v>
      </c>
      <c r="H566" s="738">
        <v>0</v>
      </c>
      <c r="I566" s="736">
        <v>1200000</v>
      </c>
      <c r="J566" s="1252"/>
      <c r="K566" s="1252"/>
    </row>
    <row r="567" spans="1:11" s="12" customFormat="1" x14ac:dyDescent="0.2">
      <c r="A567" s="811" t="s">
        <v>1314</v>
      </c>
      <c r="B567" s="785" t="s">
        <v>1944</v>
      </c>
      <c r="C567" s="736">
        <v>0</v>
      </c>
      <c r="D567" s="738">
        <v>12000</v>
      </c>
      <c r="E567" s="1533">
        <v>12000</v>
      </c>
      <c r="F567" s="738">
        <v>12000</v>
      </c>
      <c r="G567" s="736">
        <v>12000</v>
      </c>
      <c r="H567" s="738">
        <v>8000</v>
      </c>
      <c r="I567" s="736">
        <v>5000</v>
      </c>
      <c r="J567" s="1536"/>
      <c r="K567" s="1252"/>
    </row>
    <row r="568" spans="1:11" s="12" customFormat="1" ht="13.5" customHeight="1" x14ac:dyDescent="0.2">
      <c r="A568" s="882">
        <v>3633</v>
      </c>
      <c r="B568" s="786" t="s">
        <v>1370</v>
      </c>
      <c r="C568" s="737">
        <f>SUM(C569:C570)</f>
        <v>10000</v>
      </c>
      <c r="D568" s="737">
        <f t="shared" ref="D568:H568" si="106">SUM(D569:D570)</f>
        <v>10000</v>
      </c>
      <c r="E568" s="737">
        <f t="shared" si="106"/>
        <v>10000</v>
      </c>
      <c r="F568" s="737">
        <f t="shared" si="106"/>
        <v>0</v>
      </c>
      <c r="G568" s="737">
        <f t="shared" si="106"/>
        <v>0</v>
      </c>
      <c r="H568" s="737">
        <f t="shared" si="106"/>
        <v>0</v>
      </c>
      <c r="I568" s="737">
        <f>SUM(I569:I570)</f>
        <v>400000</v>
      </c>
      <c r="J568" s="737">
        <f t="shared" ref="J568:K568" si="107">SUM(J569:J570)</f>
        <v>0</v>
      </c>
      <c r="K568" s="1331">
        <f t="shared" si="107"/>
        <v>0</v>
      </c>
    </row>
    <row r="569" spans="1:11" s="12" customFormat="1" ht="12.75" customHeight="1" x14ac:dyDescent="0.2">
      <c r="A569" s="809" t="s">
        <v>598</v>
      </c>
      <c r="B569" s="784" t="s">
        <v>599</v>
      </c>
      <c r="C569" s="1533">
        <v>10000</v>
      </c>
      <c r="D569" s="866">
        <v>10000</v>
      </c>
      <c r="E569" s="735">
        <v>10000</v>
      </c>
      <c r="F569" s="1533">
        <v>0</v>
      </c>
      <c r="G569" s="739">
        <v>0</v>
      </c>
      <c r="H569" s="866">
        <v>0</v>
      </c>
      <c r="I569" s="1533">
        <v>0</v>
      </c>
      <c r="J569" s="1535"/>
      <c r="K569" s="1252"/>
    </row>
    <row r="570" spans="1:11" s="1185" customFormat="1" ht="12.75" customHeight="1" thickBot="1" x14ac:dyDescent="0.25">
      <c r="A570" s="914" t="s">
        <v>1702</v>
      </c>
      <c r="B570" s="2117" t="s">
        <v>1703</v>
      </c>
      <c r="C570" s="735">
        <v>0</v>
      </c>
      <c r="D570" s="1991">
        <v>0</v>
      </c>
      <c r="E570" s="1992">
        <v>0</v>
      </c>
      <c r="F570" s="33">
        <v>0</v>
      </c>
      <c r="G570" s="1992">
        <v>0</v>
      </c>
      <c r="H570" s="1991">
        <v>0</v>
      </c>
      <c r="I570" s="1080">
        <v>400000</v>
      </c>
      <c r="J570" s="1539"/>
      <c r="K570" s="1229"/>
    </row>
    <row r="571" spans="1:11" ht="15" customHeight="1" thickBot="1" x14ac:dyDescent="0.3">
      <c r="A571" s="1123"/>
      <c r="B571" s="1197" t="s">
        <v>1214</v>
      </c>
      <c r="C571" s="1056">
        <f>SUM(C572:C572)</f>
        <v>460000</v>
      </c>
      <c r="D571" s="1075">
        <f t="shared" ref="D571:K571" si="108">SUM(D572:D572)</f>
        <v>460000</v>
      </c>
      <c r="E571" s="1075">
        <f t="shared" si="108"/>
        <v>47555</v>
      </c>
      <c r="F571" s="1451">
        <f t="shared" si="108"/>
        <v>47555</v>
      </c>
      <c r="G571" s="1451">
        <f t="shared" si="108"/>
        <v>47555</v>
      </c>
      <c r="H571" s="1460">
        <f t="shared" si="108"/>
        <v>47555</v>
      </c>
      <c r="I571" s="1396">
        <f t="shared" si="108"/>
        <v>400000</v>
      </c>
      <c r="J571" s="1397">
        <f t="shared" si="108"/>
        <v>0</v>
      </c>
      <c r="K571" s="1222">
        <f t="shared" si="108"/>
        <v>0</v>
      </c>
    </row>
    <row r="572" spans="1:11" s="12" customFormat="1" ht="15" customHeight="1" x14ac:dyDescent="0.2">
      <c r="A572" s="1542" t="s">
        <v>609</v>
      </c>
      <c r="B572" s="2118" t="s">
        <v>1387</v>
      </c>
      <c r="C572" s="739">
        <v>460000</v>
      </c>
      <c r="D572" s="1534">
        <v>460000</v>
      </c>
      <c r="E572" s="1534">
        <v>47555</v>
      </c>
      <c r="F572" s="1240">
        <v>47555</v>
      </c>
      <c r="G572" s="1534">
        <v>47555</v>
      </c>
      <c r="H572" s="1534">
        <v>47555</v>
      </c>
      <c r="I572" s="1534">
        <v>400000</v>
      </c>
      <c r="J572" s="1540"/>
      <c r="K572" s="1340"/>
    </row>
    <row r="573" spans="1:11" s="12" customFormat="1" ht="13.5" thickBot="1" x14ac:dyDescent="0.25">
      <c r="A573" s="1541"/>
      <c r="B573" s="1543"/>
      <c r="C573" s="1085"/>
      <c r="D573" s="1491"/>
      <c r="E573" s="1122"/>
      <c r="F573" s="1085"/>
      <c r="G573" s="1122"/>
      <c r="H573" s="1491"/>
      <c r="I573" s="1122"/>
      <c r="J573" s="742"/>
      <c r="K573" s="1310"/>
    </row>
    <row r="574" spans="1:11" ht="21" thickBot="1" x14ac:dyDescent="0.25">
      <c r="A574" s="1020"/>
      <c r="B574" s="971" t="s">
        <v>31</v>
      </c>
      <c r="C574" s="876">
        <f>SUM(C575:C575)</f>
        <v>15000</v>
      </c>
      <c r="D574" s="908">
        <f t="shared" ref="D574:K574" si="109">SUM(D575:D575)</f>
        <v>15000</v>
      </c>
      <c r="E574" s="1516">
        <v>15000</v>
      </c>
      <c r="F574" s="1453">
        <f t="shared" si="109"/>
        <v>15000</v>
      </c>
      <c r="G574" s="1520">
        <v>7000</v>
      </c>
      <c r="H574" s="1241">
        <f t="shared" si="109"/>
        <v>7000</v>
      </c>
      <c r="I574" s="876">
        <f t="shared" si="109"/>
        <v>15000</v>
      </c>
      <c r="J574" s="1398">
        <f t="shared" si="109"/>
        <v>15000</v>
      </c>
      <c r="K574" s="1341">
        <f t="shared" si="109"/>
        <v>15000</v>
      </c>
    </row>
    <row r="575" spans="1:11" x14ac:dyDescent="0.2">
      <c r="A575" s="1021" t="s">
        <v>1388</v>
      </c>
      <c r="B575" s="788" t="s">
        <v>1434</v>
      </c>
      <c r="C575" s="885">
        <v>15000</v>
      </c>
      <c r="D575" s="909">
        <v>15000</v>
      </c>
      <c r="E575" s="1517">
        <v>15000</v>
      </c>
      <c r="F575" s="1454">
        <v>15000</v>
      </c>
      <c r="G575" s="913">
        <v>7000</v>
      </c>
      <c r="H575" s="723">
        <v>7000</v>
      </c>
      <c r="I575" s="1089">
        <v>15000</v>
      </c>
      <c r="J575" s="1141">
        <v>15000</v>
      </c>
      <c r="K575" s="1141">
        <v>15000</v>
      </c>
    </row>
    <row r="576" spans="1:11" s="289" customFormat="1" ht="12.75" customHeight="1" thickBot="1" x14ac:dyDescent="0.3">
      <c r="A576" s="1022"/>
      <c r="B576" s="960"/>
      <c r="C576" s="734"/>
      <c r="D576" s="910"/>
      <c r="E576" s="1518"/>
      <c r="F576" s="905"/>
      <c r="G576" s="734"/>
      <c r="H576" s="912"/>
      <c r="I576" s="734"/>
      <c r="J576" s="1304"/>
      <c r="K576" s="1342"/>
    </row>
    <row r="577" spans="1:11" s="107" customFormat="1" ht="21" thickBot="1" x14ac:dyDescent="0.35">
      <c r="A577" s="937"/>
      <c r="B577" s="954" t="s">
        <v>614</v>
      </c>
      <c r="C577" s="1057">
        <f>SUM(C578:C581)</f>
        <v>13200772</v>
      </c>
      <c r="D577" s="911">
        <f>SUM(D578:D581)</f>
        <v>13802650.27</v>
      </c>
      <c r="E577" s="1519">
        <f>SUM(E578:E581)</f>
        <v>13802650.27</v>
      </c>
      <c r="F577" s="1455">
        <f t="shared" ref="F577:K577" si="110">SUM(F578:F581)</f>
        <v>13802650.27</v>
      </c>
      <c r="G577" s="1519">
        <f>SUM(G578:G581)</f>
        <v>10570028.17</v>
      </c>
      <c r="H577" s="1461">
        <f t="shared" si="110"/>
        <v>8275507.129999999</v>
      </c>
      <c r="I577" s="1267">
        <f t="shared" si="110"/>
        <v>15625044</v>
      </c>
      <c r="J577" s="1343">
        <f t="shared" si="110"/>
        <v>15625044</v>
      </c>
      <c r="K577" s="1343">
        <f t="shared" si="110"/>
        <v>0</v>
      </c>
    </row>
    <row r="578" spans="1:11" s="107" customFormat="1" ht="29.25" customHeight="1" x14ac:dyDescent="0.2">
      <c r="A578" s="1095">
        <v>2141</v>
      </c>
      <c r="B578" s="1096" t="s">
        <v>1448</v>
      </c>
      <c r="C578" s="1089">
        <v>825800</v>
      </c>
      <c r="D578" s="138">
        <v>825800</v>
      </c>
      <c r="E578" s="1091">
        <v>825800</v>
      </c>
      <c r="F578" s="439">
        <v>825800</v>
      </c>
      <c r="G578" s="1089">
        <v>540818.43999999994</v>
      </c>
      <c r="H578" s="1093">
        <v>506177.1</v>
      </c>
      <c r="I578" s="1089">
        <v>871332</v>
      </c>
      <c r="J578" s="1089">
        <v>871332</v>
      </c>
      <c r="K578" s="1315"/>
    </row>
    <row r="579" spans="1:11" s="107" customFormat="1" ht="84.75" x14ac:dyDescent="0.2">
      <c r="A579" s="745">
        <v>2143</v>
      </c>
      <c r="B579" s="789" t="s">
        <v>1777</v>
      </c>
      <c r="C579" s="1089">
        <v>11485972</v>
      </c>
      <c r="D579" s="138">
        <v>12087850.27</v>
      </c>
      <c r="E579" s="439">
        <v>12087850.27</v>
      </c>
      <c r="F579" s="439">
        <v>12087850.27</v>
      </c>
      <c r="G579" s="718">
        <v>9429335.6699999999</v>
      </c>
      <c r="H579" s="699">
        <v>7369056.4699999997</v>
      </c>
      <c r="I579" s="1089">
        <v>13609712</v>
      </c>
      <c r="J579" s="1089">
        <v>13609712</v>
      </c>
      <c r="K579" s="1275"/>
    </row>
    <row r="580" spans="1:11" s="107" customFormat="1" ht="27.75" customHeight="1" x14ac:dyDescent="0.2">
      <c r="A580" s="745">
        <v>3399</v>
      </c>
      <c r="B580" s="790" t="s">
        <v>1319</v>
      </c>
      <c r="C580" s="1089">
        <v>174000</v>
      </c>
      <c r="D580" s="138">
        <v>174000</v>
      </c>
      <c r="E580" s="439">
        <v>174000</v>
      </c>
      <c r="F580" s="439">
        <v>174000</v>
      </c>
      <c r="G580" s="718">
        <v>23309.32</v>
      </c>
      <c r="H580" s="699">
        <v>8170.04</v>
      </c>
      <c r="I580" s="1089">
        <v>70000</v>
      </c>
      <c r="J580" s="1089">
        <v>70000</v>
      </c>
      <c r="K580" s="1141"/>
    </row>
    <row r="581" spans="1:11" s="107" customFormat="1" ht="29.25" customHeight="1" x14ac:dyDescent="0.2">
      <c r="A581" s="745">
        <v>6223</v>
      </c>
      <c r="B581" s="790" t="s">
        <v>1449</v>
      </c>
      <c r="C581" s="1089">
        <v>715000</v>
      </c>
      <c r="D581" s="138">
        <v>715000</v>
      </c>
      <c r="E581" s="439">
        <v>715000</v>
      </c>
      <c r="F581" s="439">
        <v>715000</v>
      </c>
      <c r="G581" s="1089">
        <v>576564.74</v>
      </c>
      <c r="H581" s="1093">
        <v>392103.52</v>
      </c>
      <c r="I581" s="1089">
        <v>1074000</v>
      </c>
      <c r="J581" s="1089">
        <v>1074000</v>
      </c>
      <c r="K581" s="1344"/>
    </row>
    <row r="582" spans="1:11" s="107" customFormat="1" ht="13.5" thickBot="1" x14ac:dyDescent="0.25">
      <c r="A582" s="815"/>
      <c r="B582" s="932"/>
      <c r="C582" s="734"/>
      <c r="D582" s="700"/>
      <c r="E582" s="1494"/>
      <c r="F582" s="407"/>
      <c r="G582" s="734"/>
      <c r="H582" s="406"/>
      <c r="I582" s="734"/>
      <c r="J582" s="1304"/>
      <c r="K582" s="878"/>
    </row>
    <row r="583" spans="1:11" s="116" customFormat="1" ht="21" thickBot="1" x14ac:dyDescent="0.25">
      <c r="A583" s="1011"/>
      <c r="B583" s="972" t="s">
        <v>33</v>
      </c>
      <c r="C583" s="1058">
        <f t="shared" ref="C583:K583" si="111">SUM(C584,C585)</f>
        <v>10220291</v>
      </c>
      <c r="D583" s="722">
        <f t="shared" si="111"/>
        <v>10451291</v>
      </c>
      <c r="E583" s="1440">
        <f t="shared" si="111"/>
        <v>10531291</v>
      </c>
      <c r="F583" s="1440">
        <f t="shared" si="111"/>
        <v>10451291</v>
      </c>
      <c r="G583" s="1485">
        <f>G585+G584</f>
        <v>8448421.3499999996</v>
      </c>
      <c r="H583" s="1461">
        <f t="shared" si="111"/>
        <v>7212827.2000000002</v>
      </c>
      <c r="I583" s="1399">
        <f t="shared" si="111"/>
        <v>11266280</v>
      </c>
      <c r="J583" s="876">
        <f t="shared" si="111"/>
        <v>11266280</v>
      </c>
      <c r="K583" s="1345">
        <f t="shared" si="111"/>
        <v>11266280</v>
      </c>
    </row>
    <row r="584" spans="1:11" s="116" customFormat="1" ht="24.75" x14ac:dyDescent="0.2">
      <c r="A584" s="745">
        <v>2223</v>
      </c>
      <c r="B584" s="790" t="s">
        <v>1318</v>
      </c>
      <c r="C584" s="732">
        <v>80000</v>
      </c>
      <c r="D584" s="1521">
        <v>80000</v>
      </c>
      <c r="E584" s="732">
        <f>24000+2500+42000+9500+2000</f>
        <v>80000</v>
      </c>
      <c r="F584" s="1093">
        <v>80000</v>
      </c>
      <c r="G584" s="1089">
        <v>79841.509999999995</v>
      </c>
      <c r="H584" s="1093">
        <v>79841.509999999995</v>
      </c>
      <c r="I584" s="732">
        <v>87000</v>
      </c>
      <c r="J584" s="1346">
        <v>87000</v>
      </c>
      <c r="K584" s="1346">
        <v>87000</v>
      </c>
    </row>
    <row r="585" spans="1:11" s="116" customFormat="1" x14ac:dyDescent="0.2">
      <c r="A585" s="745">
        <v>2292</v>
      </c>
      <c r="B585" s="921" t="s">
        <v>1389</v>
      </c>
      <c r="C585" s="885">
        <f t="shared" ref="C585:K585" si="112">SUM(C586:C590)</f>
        <v>10140291</v>
      </c>
      <c r="D585" s="1091">
        <f t="shared" si="112"/>
        <v>10371291</v>
      </c>
      <c r="E585" s="1089">
        <v>10451291</v>
      </c>
      <c r="F585" s="1093">
        <f t="shared" si="112"/>
        <v>10371291</v>
      </c>
      <c r="G585" s="1089">
        <f>G590+G589+G588+G587+G586</f>
        <v>8368579.8399999999</v>
      </c>
      <c r="H585" s="1093">
        <f t="shared" si="112"/>
        <v>7132985.6900000004</v>
      </c>
      <c r="I585" s="1089">
        <f t="shared" si="112"/>
        <v>11179280</v>
      </c>
      <c r="J585" s="1089">
        <f t="shared" si="112"/>
        <v>11179280</v>
      </c>
      <c r="K585" s="1139">
        <f t="shared" si="112"/>
        <v>11179280</v>
      </c>
    </row>
    <row r="586" spans="1:11" s="116" customFormat="1" x14ac:dyDescent="0.2">
      <c r="A586" s="745"/>
      <c r="B586" s="922" t="s">
        <v>623</v>
      </c>
      <c r="C586" s="886">
        <v>2078191</v>
      </c>
      <c r="D586" s="228">
        <v>2078191</v>
      </c>
      <c r="E586" s="733"/>
      <c r="F586" s="457">
        <v>2078191</v>
      </c>
      <c r="G586" s="733">
        <v>1558643.25</v>
      </c>
      <c r="H586" s="457">
        <v>1558643.25</v>
      </c>
      <c r="I586" s="1090">
        <v>1917280</v>
      </c>
      <c r="J586" s="1191">
        <v>1917280</v>
      </c>
      <c r="K586" s="1191">
        <v>1917280</v>
      </c>
    </row>
    <row r="587" spans="1:11" s="116" customFormat="1" x14ac:dyDescent="0.2">
      <c r="A587" s="745"/>
      <c r="B587" s="922" t="s">
        <v>1390</v>
      </c>
      <c r="C587" s="886">
        <v>7500000</v>
      </c>
      <c r="D587" s="228">
        <v>7731000</v>
      </c>
      <c r="E587" s="733"/>
      <c r="F587" s="457">
        <v>7731000</v>
      </c>
      <c r="G587" s="733">
        <v>6403500</v>
      </c>
      <c r="H587" s="457">
        <v>5169000</v>
      </c>
      <c r="I587" s="1090">
        <v>8500000</v>
      </c>
      <c r="J587" s="1191">
        <v>8500000</v>
      </c>
      <c r="K587" s="1191">
        <v>8500000</v>
      </c>
    </row>
    <row r="588" spans="1:11" s="426" customFormat="1" x14ac:dyDescent="0.2">
      <c r="A588" s="745"/>
      <c r="B588" s="924" t="s">
        <v>1455</v>
      </c>
      <c r="C588" s="886">
        <v>150000</v>
      </c>
      <c r="D588" s="228">
        <v>150000</v>
      </c>
      <c r="E588" s="733"/>
      <c r="F588" s="457">
        <v>150000</v>
      </c>
      <c r="G588" s="733">
        <v>86658</v>
      </c>
      <c r="H588" s="457">
        <v>86658</v>
      </c>
      <c r="I588" s="1090">
        <v>350000</v>
      </c>
      <c r="J588" s="1276">
        <v>350000</v>
      </c>
      <c r="K588" s="1191">
        <v>350000</v>
      </c>
    </row>
    <row r="589" spans="1:11" s="116" customFormat="1" x14ac:dyDescent="0.2">
      <c r="A589" s="717"/>
      <c r="B589" s="973" t="s">
        <v>1066</v>
      </c>
      <c r="C589" s="733">
        <v>400000</v>
      </c>
      <c r="D589" s="1522">
        <v>400000</v>
      </c>
      <c r="E589" s="708"/>
      <c r="F589" s="457">
        <v>400000</v>
      </c>
      <c r="G589" s="733">
        <v>315402</v>
      </c>
      <c r="H589" s="457">
        <v>315402</v>
      </c>
      <c r="I589" s="733">
        <v>400000</v>
      </c>
      <c r="J589" s="1191">
        <v>400000</v>
      </c>
      <c r="K589" s="1191">
        <v>400000</v>
      </c>
    </row>
    <row r="590" spans="1:11" s="116" customFormat="1" x14ac:dyDescent="0.2">
      <c r="A590" s="725"/>
      <c r="B590" s="974" t="s">
        <v>1067</v>
      </c>
      <c r="C590" s="825">
        <v>12100</v>
      </c>
      <c r="D590" s="1495">
        <v>12100</v>
      </c>
      <c r="E590" s="1051"/>
      <c r="F590" s="877">
        <v>12100</v>
      </c>
      <c r="G590" s="825">
        <v>4376.59</v>
      </c>
      <c r="H590" s="877">
        <v>3282.44</v>
      </c>
      <c r="I590" s="825">
        <v>12000</v>
      </c>
      <c r="J590" s="1051">
        <v>12000</v>
      </c>
      <c r="K590" s="1181">
        <v>12000</v>
      </c>
    </row>
    <row r="591" spans="1:11" s="116" customFormat="1" ht="13.5" thickBot="1" x14ac:dyDescent="0.25">
      <c r="A591" s="725"/>
      <c r="B591" s="974"/>
      <c r="C591" s="743"/>
      <c r="D591" s="714"/>
      <c r="E591" s="1047"/>
      <c r="F591" s="33"/>
      <c r="G591" s="735"/>
      <c r="H591" s="33"/>
      <c r="I591" s="743"/>
      <c r="J591" s="1384"/>
      <c r="K591" s="1304"/>
    </row>
    <row r="592" spans="1:11" s="116" customFormat="1" ht="21" thickBot="1" x14ac:dyDescent="0.35">
      <c r="A592" s="937"/>
      <c r="B592" s="954" t="s">
        <v>34</v>
      </c>
      <c r="C592" s="1059">
        <f t="shared" ref="C592:K592" si="113">SUM(C593:C594)</f>
        <v>162000</v>
      </c>
      <c r="D592" s="1523">
        <f t="shared" si="113"/>
        <v>162000</v>
      </c>
      <c r="E592" s="1510">
        <f t="shared" si="113"/>
        <v>162000</v>
      </c>
      <c r="F592" s="1510">
        <f t="shared" si="113"/>
        <v>115000</v>
      </c>
      <c r="G592" s="1524">
        <f t="shared" si="113"/>
        <v>71783</v>
      </c>
      <c r="H592" s="1462">
        <f t="shared" si="113"/>
        <v>70423</v>
      </c>
      <c r="I592" s="724">
        <f t="shared" si="113"/>
        <v>162000</v>
      </c>
      <c r="J592" s="1400">
        <f t="shared" si="113"/>
        <v>0</v>
      </c>
      <c r="K592" s="1347">
        <f t="shared" si="113"/>
        <v>0</v>
      </c>
    </row>
    <row r="593" spans="1:56" s="116" customFormat="1" ht="12.75" customHeight="1" x14ac:dyDescent="0.2">
      <c r="A593" s="745">
        <v>2223</v>
      </c>
      <c r="B593" s="921" t="s">
        <v>1391</v>
      </c>
      <c r="C593" s="1089">
        <v>150000</v>
      </c>
      <c r="D593" s="439">
        <v>150000</v>
      </c>
      <c r="E593" s="1089">
        <v>150000</v>
      </c>
      <c r="F593" s="1093">
        <v>110000</v>
      </c>
      <c r="G593" s="1089">
        <v>68339</v>
      </c>
      <c r="H593" s="1093">
        <v>68339</v>
      </c>
      <c r="I593" s="1089">
        <v>150000</v>
      </c>
      <c r="J593" s="1304"/>
      <c r="K593" s="878"/>
    </row>
    <row r="594" spans="1:56" s="116" customFormat="1" x14ac:dyDescent="0.2">
      <c r="A594" s="745">
        <v>6171</v>
      </c>
      <c r="B594" s="931" t="s">
        <v>1392</v>
      </c>
      <c r="C594" s="1089">
        <v>12000</v>
      </c>
      <c r="D594" s="439">
        <v>12000</v>
      </c>
      <c r="E594" s="718">
        <v>12000</v>
      </c>
      <c r="F594" s="699">
        <v>5000</v>
      </c>
      <c r="G594" s="718">
        <v>3444</v>
      </c>
      <c r="H594" s="699">
        <v>2084</v>
      </c>
      <c r="I594" s="1089">
        <v>12000</v>
      </c>
      <c r="J594" s="1304"/>
      <c r="K594" s="878"/>
    </row>
    <row r="595" spans="1:56" s="116" customFormat="1" ht="13.5" thickBot="1" x14ac:dyDescent="0.25">
      <c r="A595" s="949"/>
      <c r="B595" s="990"/>
      <c r="C595" s="734"/>
      <c r="D595" s="443"/>
      <c r="E595" s="740"/>
      <c r="F595" s="406"/>
      <c r="G595" s="734"/>
      <c r="H595" s="406"/>
      <c r="I595" s="734"/>
      <c r="J595" s="1304"/>
      <c r="K595" s="878"/>
    </row>
    <row r="596" spans="1:56" s="116" customFormat="1" ht="21" thickBot="1" x14ac:dyDescent="0.35">
      <c r="A596" s="1011"/>
      <c r="B596" s="2137" t="s">
        <v>630</v>
      </c>
      <c r="C596" s="1060">
        <f t="shared" ref="C596:K596" si="114">SUM(C597:C599)</f>
        <v>250000</v>
      </c>
      <c r="D596" s="1510">
        <f t="shared" si="114"/>
        <v>0</v>
      </c>
      <c r="E596" s="1524">
        <f t="shared" si="114"/>
        <v>1114200</v>
      </c>
      <c r="F596" s="1510">
        <f t="shared" si="114"/>
        <v>1114200</v>
      </c>
      <c r="G596" s="1524">
        <f t="shared" si="114"/>
        <v>988812.64</v>
      </c>
      <c r="H596" s="1463">
        <f t="shared" si="114"/>
        <v>0</v>
      </c>
      <c r="I596" s="1401">
        <f t="shared" si="114"/>
        <v>1000000</v>
      </c>
      <c r="J596" s="1401">
        <f t="shared" si="114"/>
        <v>1000000</v>
      </c>
      <c r="K596" s="1347">
        <f t="shared" si="114"/>
        <v>1000000</v>
      </c>
      <c r="L596" s="107"/>
      <c r="M596" s="107"/>
      <c r="N596" s="107"/>
      <c r="O596" s="107"/>
      <c r="P596" s="107"/>
      <c r="Q596" s="107"/>
      <c r="R596" s="107"/>
      <c r="S596" s="107"/>
      <c r="T596" s="107"/>
      <c r="U596" s="107"/>
      <c r="V596" s="107"/>
      <c r="W596" s="107"/>
      <c r="X596" s="107"/>
      <c r="Y596" s="107"/>
      <c r="Z596" s="107"/>
      <c r="AA596" s="107"/>
      <c r="AB596" s="107"/>
      <c r="AC596" s="107"/>
      <c r="AD596" s="107"/>
      <c r="AE596" s="107"/>
      <c r="AF596" s="107"/>
      <c r="AG596" s="107"/>
      <c r="AH596" s="107"/>
      <c r="AI596" s="107"/>
      <c r="AJ596" s="107"/>
      <c r="AK596" s="107"/>
      <c r="AL596" s="107"/>
      <c r="AM596" s="107"/>
      <c r="AN596" s="107"/>
      <c r="AO596" s="107"/>
      <c r="AP596" s="107"/>
      <c r="AQ596" s="107"/>
      <c r="AR596" s="107"/>
      <c r="AS596" s="107"/>
      <c r="AT596" s="107"/>
      <c r="AU596" s="107"/>
      <c r="AV596" s="107"/>
      <c r="AW596" s="107"/>
      <c r="AX596" s="107"/>
      <c r="AY596" s="107"/>
      <c r="AZ596" s="107"/>
      <c r="BA596" s="107"/>
      <c r="BB596" s="107"/>
      <c r="BC596" s="107"/>
      <c r="BD596" s="107"/>
    </row>
    <row r="597" spans="1:56" s="116" customFormat="1" x14ac:dyDescent="0.2">
      <c r="A597" s="1198">
        <v>6118</v>
      </c>
      <c r="B597" s="2136" t="s">
        <v>1333</v>
      </c>
      <c r="C597" s="699">
        <v>250000</v>
      </c>
      <c r="D597" s="2162"/>
      <c r="E597" s="718">
        <v>1114200</v>
      </c>
      <c r="F597" s="699">
        <v>1114200</v>
      </c>
      <c r="G597" s="718">
        <v>988812.64</v>
      </c>
      <c r="H597" s="699"/>
      <c r="I597" s="897">
        <v>0</v>
      </c>
      <c r="J597" s="718"/>
      <c r="K597" s="884"/>
      <c r="L597" s="107"/>
      <c r="M597" s="107"/>
      <c r="N597" s="107"/>
      <c r="O597" s="107"/>
      <c r="P597" s="107"/>
      <c r="Q597" s="107"/>
      <c r="R597" s="107"/>
      <c r="S597" s="107"/>
      <c r="T597" s="107"/>
      <c r="U597" s="107"/>
      <c r="V597" s="107"/>
      <c r="W597" s="107"/>
      <c r="X597" s="107"/>
      <c r="Y597" s="107"/>
      <c r="Z597" s="107"/>
      <c r="AA597" s="107"/>
      <c r="AB597" s="107"/>
      <c r="AC597" s="107"/>
      <c r="AD597" s="107"/>
      <c r="AE597" s="107"/>
      <c r="AF597" s="107"/>
      <c r="AG597" s="107"/>
      <c r="AH597" s="107"/>
      <c r="AI597" s="107"/>
      <c r="AJ597" s="107"/>
      <c r="AK597" s="107"/>
      <c r="AL597" s="107"/>
      <c r="AM597" s="107"/>
      <c r="AN597" s="107"/>
      <c r="AO597" s="107"/>
      <c r="AP597" s="107"/>
      <c r="AQ597" s="107"/>
      <c r="AR597" s="107"/>
      <c r="AS597" s="107"/>
      <c r="AT597" s="107"/>
      <c r="AU597" s="107"/>
      <c r="AV597" s="107"/>
      <c r="AW597" s="107"/>
      <c r="AX597" s="107"/>
      <c r="AY597" s="107"/>
      <c r="AZ597" s="107"/>
      <c r="BA597" s="107"/>
      <c r="BB597" s="107"/>
      <c r="BC597" s="107"/>
      <c r="BD597" s="107"/>
    </row>
    <row r="598" spans="1:56" s="116" customFormat="1" x14ac:dyDescent="0.2">
      <c r="A598" s="1140">
        <v>6117</v>
      </c>
      <c r="B598" s="745" t="s">
        <v>1458</v>
      </c>
      <c r="C598" s="1201">
        <v>0</v>
      </c>
      <c r="D598" s="897"/>
      <c r="E598" s="718">
        <v>0</v>
      </c>
      <c r="F598" s="699">
        <v>0</v>
      </c>
      <c r="G598" s="718">
        <v>0</v>
      </c>
      <c r="H598" s="699"/>
      <c r="I598" s="897">
        <v>500000</v>
      </c>
      <c r="J598" s="777">
        <v>500000</v>
      </c>
      <c r="K598" s="1139">
        <v>500000</v>
      </c>
      <c r="L598" s="107"/>
      <c r="M598" s="107"/>
      <c r="N598" s="107"/>
      <c r="O598" s="107"/>
      <c r="P598" s="107"/>
      <c r="Q598" s="107"/>
      <c r="R598" s="107"/>
      <c r="S598" s="107"/>
      <c r="T598" s="107"/>
      <c r="U598" s="107"/>
      <c r="V598" s="107"/>
      <c r="W598" s="107"/>
      <c r="X598" s="107"/>
      <c r="Y598" s="107"/>
      <c r="Z598" s="107"/>
      <c r="AA598" s="107"/>
      <c r="AB598" s="107"/>
      <c r="AC598" s="107"/>
      <c r="AD598" s="107"/>
      <c r="AE598" s="107"/>
      <c r="AF598" s="107"/>
      <c r="AG598" s="107"/>
      <c r="AH598" s="107"/>
      <c r="AI598" s="107"/>
      <c r="AJ598" s="107"/>
      <c r="AK598" s="107"/>
      <c r="AL598" s="107"/>
      <c r="AM598" s="107"/>
      <c r="AN598" s="107"/>
      <c r="AO598" s="107"/>
      <c r="AP598" s="107"/>
      <c r="AQ598" s="107"/>
      <c r="AR598" s="107"/>
      <c r="AS598" s="107"/>
      <c r="AT598" s="107"/>
      <c r="AU598" s="107"/>
      <c r="AV598" s="107"/>
      <c r="AW598" s="107"/>
      <c r="AX598" s="107"/>
      <c r="AY598" s="107"/>
      <c r="AZ598" s="107"/>
      <c r="BA598" s="107"/>
      <c r="BB598" s="107"/>
      <c r="BC598" s="107"/>
      <c r="BD598" s="107"/>
    </row>
    <row r="599" spans="1:56" s="116" customFormat="1" x14ac:dyDescent="0.2">
      <c r="A599" s="1199">
        <v>6115</v>
      </c>
      <c r="B599" s="1008" t="s">
        <v>631</v>
      </c>
      <c r="C599" s="1093">
        <v>0</v>
      </c>
      <c r="D599" s="897"/>
      <c r="E599" s="718">
        <v>0</v>
      </c>
      <c r="F599" s="699">
        <v>0</v>
      </c>
      <c r="G599" s="1486">
        <v>0</v>
      </c>
      <c r="H599" s="1201"/>
      <c r="I599" s="897">
        <v>500000</v>
      </c>
      <c r="J599" s="1175">
        <v>500000</v>
      </c>
      <c r="K599" s="1139">
        <v>500000</v>
      </c>
      <c r="L599" s="107"/>
      <c r="M599" s="107"/>
      <c r="N599" s="107"/>
      <c r="O599" s="107"/>
      <c r="P599" s="107"/>
      <c r="Q599" s="107"/>
      <c r="R599" s="107"/>
      <c r="S599" s="107"/>
      <c r="T599" s="107"/>
      <c r="U599" s="107"/>
      <c r="V599" s="107"/>
      <c r="W599" s="107"/>
      <c r="X599" s="107"/>
      <c r="Y599" s="107"/>
      <c r="Z599" s="107"/>
      <c r="AA599" s="107"/>
      <c r="AB599" s="107"/>
      <c r="AC599" s="107"/>
      <c r="AD599" s="107"/>
      <c r="AE599" s="107"/>
      <c r="AF599" s="107"/>
      <c r="AG599" s="107"/>
      <c r="AH599" s="107"/>
      <c r="AI599" s="107"/>
      <c r="AJ599" s="107"/>
      <c r="AK599" s="107"/>
      <c r="AL599" s="107"/>
      <c r="AM599" s="107"/>
      <c r="AN599" s="107"/>
      <c r="AO599" s="107"/>
      <c r="AP599" s="107"/>
      <c r="AQ599" s="107"/>
      <c r="AR599" s="107"/>
      <c r="AS599" s="107"/>
      <c r="AT599" s="107"/>
      <c r="AU599" s="107"/>
      <c r="AV599" s="107"/>
      <c r="AW599" s="107"/>
      <c r="AX599" s="107"/>
      <c r="AY599" s="107"/>
      <c r="AZ599" s="107"/>
      <c r="BA599" s="107"/>
      <c r="BB599" s="107"/>
      <c r="BC599" s="107"/>
      <c r="BD599" s="107"/>
    </row>
    <row r="600" spans="1:56" s="116" customFormat="1" ht="13.5" thickBot="1" x14ac:dyDescent="0.25">
      <c r="A600" s="1200"/>
      <c r="B600" s="1202"/>
      <c r="C600" s="916"/>
      <c r="D600" s="1242"/>
      <c r="E600" s="779"/>
      <c r="F600" s="916"/>
      <c r="G600" s="740"/>
      <c r="H600" s="1192"/>
      <c r="I600" s="1253"/>
      <c r="J600" s="1050"/>
      <c r="K600" s="1141"/>
      <c r="L600" s="107"/>
      <c r="M600" s="107"/>
      <c r="N600" s="107"/>
      <c r="O600" s="107"/>
      <c r="P600" s="107"/>
      <c r="Q600" s="107"/>
      <c r="R600" s="107"/>
      <c r="S600" s="107"/>
      <c r="T600" s="107"/>
      <c r="U600" s="107"/>
      <c r="V600" s="107"/>
      <c r="W600" s="107"/>
      <c r="X600" s="107"/>
      <c r="Y600" s="107"/>
      <c r="Z600" s="107"/>
      <c r="AA600" s="107"/>
      <c r="AB600" s="107"/>
      <c r="AC600" s="107"/>
      <c r="AD600" s="107"/>
      <c r="AE600" s="107"/>
      <c r="AF600" s="107"/>
      <c r="AG600" s="107"/>
      <c r="AH600" s="107"/>
      <c r="AI600" s="107"/>
      <c r="AJ600" s="107"/>
      <c r="AK600" s="107"/>
      <c r="AL600" s="107"/>
      <c r="AM600" s="107"/>
      <c r="AN600" s="107"/>
      <c r="AO600" s="107"/>
      <c r="AP600" s="107"/>
      <c r="AQ600" s="107"/>
      <c r="AR600" s="107"/>
      <c r="AS600" s="107"/>
      <c r="AT600" s="107"/>
      <c r="AU600" s="107"/>
      <c r="AV600" s="107"/>
      <c r="AW600" s="107"/>
      <c r="AX600" s="107"/>
      <c r="AY600" s="107"/>
      <c r="AZ600" s="107"/>
      <c r="BA600" s="107"/>
      <c r="BB600" s="107"/>
      <c r="BC600" s="107"/>
      <c r="BD600" s="107"/>
    </row>
    <row r="601" spans="1:56" customFormat="1" ht="21" thickBot="1" x14ac:dyDescent="0.35">
      <c r="A601" s="1870"/>
      <c r="B601" s="1871" t="s">
        <v>36</v>
      </c>
      <c r="C601" s="1872">
        <f t="shared" ref="C601:I601" si="115">C602+C646+C673</f>
        <v>116340120</v>
      </c>
      <c r="D601" s="1872">
        <f t="shared" si="115"/>
        <v>123563563.73</v>
      </c>
      <c r="E601" s="1872">
        <f t="shared" si="115"/>
        <v>118295909.52000001</v>
      </c>
      <c r="F601" s="1523">
        <f t="shared" si="115"/>
        <v>127455503.73</v>
      </c>
      <c r="G601" s="1872">
        <f t="shared" si="115"/>
        <v>101247856.52000001</v>
      </c>
      <c r="H601" s="1873">
        <f t="shared" si="115"/>
        <v>83064738.390000001</v>
      </c>
      <c r="I601" s="1891">
        <f t="shared" si="115"/>
        <v>112714300</v>
      </c>
    </row>
    <row r="602" spans="1:56" customFormat="1" ht="16.5" thickBot="1" x14ac:dyDescent="0.3">
      <c r="A602" s="1874"/>
      <c r="B602" s="1875" t="s">
        <v>633</v>
      </c>
      <c r="C602" s="1876">
        <f t="shared" ref="C602:I602" si="116">SUM(C603,C619,C644,C639)</f>
        <v>46918000</v>
      </c>
      <c r="D602" s="1876">
        <f t="shared" si="116"/>
        <v>49313620</v>
      </c>
      <c r="E602" s="1876">
        <f t="shared" si="116"/>
        <v>48738545.789999999</v>
      </c>
      <c r="F602" s="1877">
        <f t="shared" si="116"/>
        <v>49441620</v>
      </c>
      <c r="G602" s="1876">
        <f t="shared" si="116"/>
        <v>40835472.450000003</v>
      </c>
      <c r="H602" s="1878">
        <f t="shared" si="116"/>
        <v>30773128.169999998</v>
      </c>
      <c r="I602" s="1876">
        <f t="shared" si="116"/>
        <v>44001000</v>
      </c>
    </row>
    <row r="603" spans="1:56" customFormat="1" x14ac:dyDescent="0.2">
      <c r="A603" s="1879">
        <v>3111</v>
      </c>
      <c r="B603" s="1880" t="s">
        <v>634</v>
      </c>
      <c r="C603" s="1023">
        <f t="shared" ref="C603:I603" si="117">SUM(C604:C606)</f>
        <v>11238000</v>
      </c>
      <c r="D603" s="1024">
        <f t="shared" si="117"/>
        <v>11238000</v>
      </c>
      <c r="E603" s="1023">
        <f t="shared" si="117"/>
        <v>11234925.789999999</v>
      </c>
      <c r="F603" s="1464">
        <f t="shared" si="117"/>
        <v>11238000</v>
      </c>
      <c r="G603" s="1023">
        <f t="shared" si="117"/>
        <v>9888120.4499999993</v>
      </c>
      <c r="H603" s="1464">
        <f t="shared" si="117"/>
        <v>7502353.6299999999</v>
      </c>
      <c r="I603" s="1023">
        <f t="shared" si="117"/>
        <v>9931000</v>
      </c>
    </row>
    <row r="604" spans="1:56" customFormat="1" x14ac:dyDescent="0.2">
      <c r="A604" s="883"/>
      <c r="B604" s="1224" t="s">
        <v>635</v>
      </c>
      <c r="C604" s="1029">
        <f t="shared" ref="C604:I606" si="118">+C608+C612+C616</f>
        <v>8640000</v>
      </c>
      <c r="D604" s="1030">
        <f t="shared" si="118"/>
        <v>8640000</v>
      </c>
      <c r="E604" s="1029">
        <f t="shared" si="118"/>
        <v>8636925.7899999991</v>
      </c>
      <c r="F604" s="1174">
        <f t="shared" si="118"/>
        <v>8640000</v>
      </c>
      <c r="G604" s="1029">
        <f t="shared" si="118"/>
        <v>7568000</v>
      </c>
      <c r="H604" s="1174">
        <f t="shared" si="118"/>
        <v>6256000</v>
      </c>
      <c r="I604" s="1029">
        <f t="shared" si="118"/>
        <v>8544000</v>
      </c>
    </row>
    <row r="605" spans="1:56" customFormat="1" x14ac:dyDescent="0.2">
      <c r="A605" s="883"/>
      <c r="B605" s="1224" t="s">
        <v>1068</v>
      </c>
      <c r="C605" s="1029">
        <f t="shared" si="118"/>
        <v>2001000</v>
      </c>
      <c r="D605" s="1030">
        <f t="shared" si="118"/>
        <v>2001000</v>
      </c>
      <c r="E605" s="1029">
        <f t="shared" si="118"/>
        <v>2001000</v>
      </c>
      <c r="F605" s="1174">
        <f t="shared" si="118"/>
        <v>2001000</v>
      </c>
      <c r="G605" s="1029">
        <f t="shared" si="118"/>
        <v>1793304.9100000001</v>
      </c>
      <c r="H605" s="1174">
        <f t="shared" si="118"/>
        <v>1246353.6299999999</v>
      </c>
      <c r="I605" s="1029">
        <f>+I609+I613+I617</f>
        <v>937000</v>
      </c>
    </row>
    <row r="606" spans="1:56" customFormat="1" x14ac:dyDescent="0.2">
      <c r="A606" s="883"/>
      <c r="B606" s="1224" t="s">
        <v>1069</v>
      </c>
      <c r="C606" s="1029">
        <f t="shared" si="118"/>
        <v>597000</v>
      </c>
      <c r="D606" s="1030">
        <f t="shared" si="118"/>
        <v>597000</v>
      </c>
      <c r="E606" s="1029">
        <f t="shared" si="118"/>
        <v>597000</v>
      </c>
      <c r="F606" s="1174">
        <f t="shared" si="118"/>
        <v>597000</v>
      </c>
      <c r="G606" s="1029">
        <f t="shared" si="118"/>
        <v>526815.54</v>
      </c>
      <c r="H606" s="1174">
        <f t="shared" si="118"/>
        <v>0</v>
      </c>
      <c r="I606" s="1029">
        <f t="shared" si="118"/>
        <v>450000</v>
      </c>
    </row>
    <row r="607" spans="1:56" customFormat="1" x14ac:dyDescent="0.2">
      <c r="A607" s="883"/>
      <c r="B607" s="994" t="s">
        <v>1393</v>
      </c>
      <c r="C607" s="1025">
        <f t="shared" ref="C607:I607" si="119">C608+C609+C610</f>
        <v>4061000</v>
      </c>
      <c r="D607" s="1026">
        <f t="shared" si="119"/>
        <v>4061000</v>
      </c>
      <c r="E607" s="1025">
        <f t="shared" si="119"/>
        <v>4061000</v>
      </c>
      <c r="F607" s="880">
        <f t="shared" si="119"/>
        <v>4061000</v>
      </c>
      <c r="G607" s="1025">
        <f t="shared" si="119"/>
        <v>3801000</v>
      </c>
      <c r="H607" s="880">
        <f t="shared" si="119"/>
        <v>3077875.0300000003</v>
      </c>
      <c r="I607" s="1025">
        <f t="shared" si="119"/>
        <v>2687000</v>
      </c>
    </row>
    <row r="608" spans="1:56" customFormat="1" x14ac:dyDescent="0.2">
      <c r="A608" s="883"/>
      <c r="B608" s="994" t="s">
        <v>1958</v>
      </c>
      <c r="C608" s="1177">
        <v>2815000</v>
      </c>
      <c r="D608" s="1030">
        <v>2815000</v>
      </c>
      <c r="E608" s="1029">
        <v>2815000</v>
      </c>
      <c r="F608" s="1174">
        <v>2815000</v>
      </c>
      <c r="G608" s="1177">
        <v>2555000</v>
      </c>
      <c r="H608" s="1174">
        <v>2095000</v>
      </c>
      <c r="I608" s="1177">
        <v>2673000</v>
      </c>
    </row>
    <row r="609" spans="1:9" customFormat="1" ht="24.75" x14ac:dyDescent="0.2">
      <c r="A609" s="883" t="s">
        <v>640</v>
      </c>
      <c r="B609" s="994" t="s">
        <v>1574</v>
      </c>
      <c r="C609" s="1177">
        <v>1246000</v>
      </c>
      <c r="D609" s="1030">
        <v>1246000</v>
      </c>
      <c r="E609" s="1029">
        <v>1246000</v>
      </c>
      <c r="F609" s="1174">
        <v>1246000</v>
      </c>
      <c r="G609" s="1177">
        <v>1246000</v>
      </c>
      <c r="H609" s="1174">
        <v>982875.03</v>
      </c>
      <c r="I609" s="1177">
        <v>14000</v>
      </c>
    </row>
    <row r="610" spans="1:9" customFormat="1" x14ac:dyDescent="0.2">
      <c r="A610" s="883"/>
      <c r="B610" s="994" t="s">
        <v>1575</v>
      </c>
      <c r="C610" s="1177">
        <v>0</v>
      </c>
      <c r="D610" s="1030">
        <v>0</v>
      </c>
      <c r="E610" s="1029">
        <v>0</v>
      </c>
      <c r="F610" s="1174">
        <v>0</v>
      </c>
      <c r="G610" s="1177">
        <v>0</v>
      </c>
      <c r="H610" s="1174">
        <v>0</v>
      </c>
      <c r="I610" s="1177">
        <v>0</v>
      </c>
    </row>
    <row r="611" spans="1:9" customFormat="1" ht="15" x14ac:dyDescent="0.2">
      <c r="A611" s="883"/>
      <c r="B611" s="1027" t="s">
        <v>1576</v>
      </c>
      <c r="C611" s="1037">
        <f t="shared" ref="C611:I611" si="120">SUM(C612:C614)</f>
        <v>3456000</v>
      </c>
      <c r="D611" s="1142">
        <f t="shared" si="120"/>
        <v>3456000</v>
      </c>
      <c r="E611" s="1037">
        <f t="shared" si="120"/>
        <v>3452925.79</v>
      </c>
      <c r="F611" s="1441">
        <f t="shared" si="120"/>
        <v>3456000</v>
      </c>
      <c r="G611" s="1037">
        <f t="shared" si="120"/>
        <v>3003937.54</v>
      </c>
      <c r="H611" s="1441">
        <f t="shared" si="120"/>
        <v>2275000</v>
      </c>
      <c r="I611" s="1037">
        <f t="shared" si="120"/>
        <v>4000000</v>
      </c>
    </row>
    <row r="612" spans="1:9" customFormat="1" x14ac:dyDescent="0.2">
      <c r="A612" s="883"/>
      <c r="B612" s="994" t="s">
        <v>1959</v>
      </c>
      <c r="C612" s="1177">
        <v>3179000</v>
      </c>
      <c r="D612" s="1030">
        <v>3179000</v>
      </c>
      <c r="E612" s="1029">
        <v>3175925.79</v>
      </c>
      <c r="F612" s="1174">
        <v>3179000</v>
      </c>
      <c r="G612" s="1177">
        <v>2727000</v>
      </c>
      <c r="H612" s="1174">
        <v>2275000</v>
      </c>
      <c r="I612" s="1177">
        <f>70000+3075000</f>
        <v>3145000</v>
      </c>
    </row>
    <row r="613" spans="1:9" customFormat="1" ht="36.75" x14ac:dyDescent="0.2">
      <c r="A613" s="883"/>
      <c r="B613" s="994" t="s">
        <v>1454</v>
      </c>
      <c r="C613" s="1177">
        <v>0</v>
      </c>
      <c r="D613" s="1030">
        <v>0</v>
      </c>
      <c r="E613" s="1029">
        <v>0</v>
      </c>
      <c r="F613" s="1174">
        <v>0</v>
      </c>
      <c r="G613" s="1177">
        <v>0</v>
      </c>
      <c r="H613" s="1174"/>
      <c r="I613" s="1177">
        <v>455000</v>
      </c>
    </row>
    <row r="614" spans="1:9" customFormat="1" x14ac:dyDescent="0.2">
      <c r="A614" s="883"/>
      <c r="B614" s="994" t="s">
        <v>1577</v>
      </c>
      <c r="C614" s="1177">
        <v>277000</v>
      </c>
      <c r="D614" s="1030">
        <v>277000</v>
      </c>
      <c r="E614" s="1029">
        <v>277000</v>
      </c>
      <c r="F614" s="1174">
        <v>277000</v>
      </c>
      <c r="G614" s="1177">
        <v>276937.53999999998</v>
      </c>
      <c r="H614" s="1174">
        <v>0</v>
      </c>
      <c r="I614" s="1177">
        <v>400000</v>
      </c>
    </row>
    <row r="615" spans="1:9" customFormat="1" x14ac:dyDescent="0.2">
      <c r="A615" s="883"/>
      <c r="B615" s="994" t="s">
        <v>1394</v>
      </c>
      <c r="C615" s="1037">
        <f t="shared" ref="C615:H615" si="121">SUM(C616:C618)</f>
        <v>3721000</v>
      </c>
      <c r="D615" s="1525">
        <f t="shared" si="121"/>
        <v>3721000</v>
      </c>
      <c r="E615" s="1144">
        <f t="shared" si="121"/>
        <v>3721000</v>
      </c>
      <c r="F615" s="1442">
        <f t="shared" si="121"/>
        <v>3721000</v>
      </c>
      <c r="G615" s="1037">
        <f t="shared" si="121"/>
        <v>3083182.91</v>
      </c>
      <c r="H615" s="1442">
        <f t="shared" si="121"/>
        <v>2149478.6</v>
      </c>
      <c r="I615" s="1037">
        <f>SUM(I616:I618)</f>
        <v>3244000</v>
      </c>
    </row>
    <row r="616" spans="1:9" customFormat="1" x14ac:dyDescent="0.2">
      <c r="A616" s="883"/>
      <c r="B616" s="994" t="s">
        <v>1960</v>
      </c>
      <c r="C616" s="1177">
        <v>2646000</v>
      </c>
      <c r="D616" s="1030">
        <v>2646000</v>
      </c>
      <c r="E616" s="1029">
        <v>2646000</v>
      </c>
      <c r="F616" s="1174">
        <v>2646000</v>
      </c>
      <c r="G616" s="1177">
        <v>2286000</v>
      </c>
      <c r="H616" s="1174">
        <v>1886000</v>
      </c>
      <c r="I616" s="1177">
        <v>2726000</v>
      </c>
    </row>
    <row r="617" spans="1:9" customFormat="1" ht="24.75" x14ac:dyDescent="0.2">
      <c r="A617" s="883"/>
      <c r="B617" s="994" t="s">
        <v>1578</v>
      </c>
      <c r="C617" s="1177">
        <v>755000</v>
      </c>
      <c r="D617" s="1030">
        <v>755000</v>
      </c>
      <c r="E617" s="1029">
        <v>755000</v>
      </c>
      <c r="F617" s="1174">
        <v>755000</v>
      </c>
      <c r="G617" s="1177">
        <v>547304.91</v>
      </c>
      <c r="H617" s="1174">
        <v>263478.59999999998</v>
      </c>
      <c r="I617" s="1177">
        <v>468000</v>
      </c>
    </row>
    <row r="618" spans="1:9" customFormat="1" x14ac:dyDescent="0.2">
      <c r="A618" s="883"/>
      <c r="B618" s="994" t="s">
        <v>1579</v>
      </c>
      <c r="C618" s="1177">
        <v>320000</v>
      </c>
      <c r="D618" s="1030">
        <v>320000</v>
      </c>
      <c r="E618" s="1029">
        <v>320000</v>
      </c>
      <c r="F618" s="1174">
        <v>320000</v>
      </c>
      <c r="G618" s="1177">
        <v>249878</v>
      </c>
      <c r="H618" s="1174">
        <v>0</v>
      </c>
      <c r="I618" s="1177">
        <v>50000</v>
      </c>
    </row>
    <row r="619" spans="1:9" customFormat="1" x14ac:dyDescent="0.2">
      <c r="A619" s="1009">
        <v>3113</v>
      </c>
      <c r="B619" s="1028" t="s">
        <v>650</v>
      </c>
      <c r="C619" s="1037">
        <f t="shared" ref="C619:H619" si="122">SUM(C620:C623)</f>
        <v>33058000</v>
      </c>
      <c r="D619" s="1142">
        <f t="shared" si="122"/>
        <v>35453620</v>
      </c>
      <c r="E619" s="1037">
        <f t="shared" si="122"/>
        <v>34751513</v>
      </c>
      <c r="F619" s="1441">
        <f t="shared" si="122"/>
        <v>35453620</v>
      </c>
      <c r="G619" s="1037">
        <f t="shared" si="122"/>
        <v>28606905</v>
      </c>
      <c r="H619" s="1441">
        <f t="shared" si="122"/>
        <v>21598327.539999999</v>
      </c>
      <c r="I619" s="1037">
        <f>SUM(I620:I623)</f>
        <v>31532000</v>
      </c>
    </row>
    <row r="620" spans="1:9" customFormat="1" x14ac:dyDescent="0.2">
      <c r="A620" s="1009"/>
      <c r="B620" s="994" t="s">
        <v>651</v>
      </c>
      <c r="C620" s="1177">
        <v>400000</v>
      </c>
      <c r="D620" s="1030">
        <v>406348</v>
      </c>
      <c r="E620" s="1029">
        <v>404241</v>
      </c>
      <c r="F620" s="1174">
        <v>406348</v>
      </c>
      <c r="G620" s="1177">
        <v>31083</v>
      </c>
      <c r="H620" s="1174">
        <v>31083</v>
      </c>
      <c r="I620" s="1177">
        <v>548000</v>
      </c>
    </row>
    <row r="621" spans="1:9" customFormat="1" x14ac:dyDescent="0.2">
      <c r="A621" s="883"/>
      <c r="B621" s="994" t="s">
        <v>652</v>
      </c>
      <c r="C621" s="1029">
        <f t="shared" ref="C621:I622" si="123">+C625+C629+C632+C636</f>
        <v>26483000</v>
      </c>
      <c r="D621" s="1030">
        <f t="shared" si="123"/>
        <v>26493803</v>
      </c>
      <c r="E621" s="1029">
        <f t="shared" si="123"/>
        <v>26493803</v>
      </c>
      <c r="F621" s="1174">
        <f t="shared" si="123"/>
        <v>26493803</v>
      </c>
      <c r="G621" s="1029">
        <f t="shared" si="123"/>
        <v>22332000</v>
      </c>
      <c r="H621" s="1174">
        <f t="shared" si="123"/>
        <v>17958000</v>
      </c>
      <c r="I621" s="1029">
        <f t="shared" si="123"/>
        <v>26899000</v>
      </c>
    </row>
    <row r="622" spans="1:9" customFormat="1" x14ac:dyDescent="0.2">
      <c r="A622" s="883"/>
      <c r="B622" s="994" t="s">
        <v>1613</v>
      </c>
      <c r="C622" s="1029">
        <f t="shared" si="123"/>
        <v>2985000</v>
      </c>
      <c r="D622" s="1030">
        <f t="shared" si="123"/>
        <v>3768075</v>
      </c>
      <c r="E622" s="1029">
        <f t="shared" si="123"/>
        <v>3768075</v>
      </c>
      <c r="F622" s="1174">
        <f t="shared" si="123"/>
        <v>3768075</v>
      </c>
      <c r="G622" s="1029">
        <f t="shared" si="123"/>
        <v>3634863</v>
      </c>
      <c r="H622" s="1174">
        <f t="shared" si="123"/>
        <v>1600043.54</v>
      </c>
      <c r="I622" s="1029">
        <f t="shared" si="123"/>
        <v>2123000</v>
      </c>
    </row>
    <row r="623" spans="1:9" customFormat="1" x14ac:dyDescent="0.2">
      <c r="A623" s="883"/>
      <c r="B623" s="994" t="s">
        <v>1614</v>
      </c>
      <c r="C623" s="1029">
        <f t="shared" ref="C623:I623" si="124">+C627+C634+C638</f>
        <v>3190000</v>
      </c>
      <c r="D623" s="1030">
        <f t="shared" si="124"/>
        <v>4785394</v>
      </c>
      <c r="E623" s="1029">
        <f t="shared" si="124"/>
        <v>4085394</v>
      </c>
      <c r="F623" s="1174">
        <f t="shared" si="124"/>
        <v>4785394</v>
      </c>
      <c r="G623" s="1029">
        <f t="shared" si="124"/>
        <v>2608959</v>
      </c>
      <c r="H623" s="1174">
        <f t="shared" si="124"/>
        <v>2009201</v>
      </c>
      <c r="I623" s="1029">
        <f t="shared" si="124"/>
        <v>1962000</v>
      </c>
    </row>
    <row r="624" spans="1:9" customFormat="1" x14ac:dyDescent="0.2">
      <c r="A624" s="883"/>
      <c r="B624" s="994" t="s">
        <v>1395</v>
      </c>
      <c r="C624" s="1037">
        <f t="shared" ref="C624:H624" si="125">SUM(C625:C627)</f>
        <v>10197000</v>
      </c>
      <c r="D624" s="1142">
        <f t="shared" si="125"/>
        <v>11400269</v>
      </c>
      <c r="E624" s="1037">
        <f t="shared" si="125"/>
        <v>11400269</v>
      </c>
      <c r="F624" s="1441">
        <f t="shared" si="125"/>
        <v>11400269</v>
      </c>
      <c r="G624" s="1037">
        <f t="shared" si="125"/>
        <v>9786857</v>
      </c>
      <c r="H624" s="1441">
        <f t="shared" si="125"/>
        <v>7613099</v>
      </c>
      <c r="I624" s="1037">
        <f>SUM(I625:I627)</f>
        <v>10921000</v>
      </c>
    </row>
    <row r="625" spans="1:9" customFormat="1" x14ac:dyDescent="0.2">
      <c r="A625" s="883"/>
      <c r="B625" s="994" t="s">
        <v>1961</v>
      </c>
      <c r="C625" s="1177">
        <f>9447000</f>
        <v>9447000</v>
      </c>
      <c r="D625" s="1496">
        <v>9447000</v>
      </c>
      <c r="E625" s="1031">
        <v>9447000</v>
      </c>
      <c r="F625" s="1174">
        <v>9447000</v>
      </c>
      <c r="G625" s="1177">
        <v>7870000</v>
      </c>
      <c r="H625" s="1174">
        <v>6296000</v>
      </c>
      <c r="I625" s="1177">
        <v>9498000</v>
      </c>
    </row>
    <row r="626" spans="1:9" customFormat="1" ht="36.75" x14ac:dyDescent="0.2">
      <c r="A626" s="883"/>
      <c r="B626" s="994" t="s">
        <v>1580</v>
      </c>
      <c r="C626" s="1177">
        <v>150000</v>
      </c>
      <c r="D626" s="1030">
        <v>536275</v>
      </c>
      <c r="E626" s="1029">
        <v>536275</v>
      </c>
      <c r="F626" s="1174">
        <v>536275</v>
      </c>
      <c r="G626" s="1177">
        <v>499863</v>
      </c>
      <c r="H626" s="1174">
        <v>499863</v>
      </c>
      <c r="I626" s="1177">
        <v>1131000</v>
      </c>
    </row>
    <row r="627" spans="1:9" customFormat="1" x14ac:dyDescent="0.2">
      <c r="A627" s="883"/>
      <c r="B627" s="994" t="s">
        <v>1581</v>
      </c>
      <c r="C627" s="1177">
        <f>500000+600000-500000</f>
        <v>600000</v>
      </c>
      <c r="D627" s="1030">
        <v>1416994</v>
      </c>
      <c r="E627" s="1029">
        <v>1416994</v>
      </c>
      <c r="F627" s="1174">
        <v>1416994</v>
      </c>
      <c r="G627" s="1177">
        <v>1416994</v>
      </c>
      <c r="H627" s="1174">
        <v>817236</v>
      </c>
      <c r="I627" s="1177">
        <v>292000</v>
      </c>
    </row>
    <row r="628" spans="1:9" customFormat="1" x14ac:dyDescent="0.2">
      <c r="A628" s="883"/>
      <c r="B628" s="994" t="s">
        <v>1396</v>
      </c>
      <c r="C628" s="1037">
        <f t="shared" ref="C628:I628" si="126">SUM(C629:C630)</f>
        <v>5565000</v>
      </c>
      <c r="D628" s="1142">
        <f t="shared" si="126"/>
        <v>5667395</v>
      </c>
      <c r="E628" s="1037">
        <f t="shared" si="126"/>
        <v>5667395</v>
      </c>
      <c r="F628" s="1441">
        <f t="shared" si="126"/>
        <v>5667395</v>
      </c>
      <c r="G628" s="1037">
        <f t="shared" si="126"/>
        <v>4637000</v>
      </c>
      <c r="H628" s="1441">
        <f t="shared" si="126"/>
        <v>3723000</v>
      </c>
      <c r="I628" s="1037">
        <f t="shared" si="126"/>
        <v>5733000</v>
      </c>
    </row>
    <row r="629" spans="1:9" customFormat="1" x14ac:dyDescent="0.2">
      <c r="A629" s="883"/>
      <c r="B629" s="994" t="s">
        <v>1962</v>
      </c>
      <c r="C629" s="1177">
        <v>5565000</v>
      </c>
      <c r="D629" s="1030">
        <v>5570595</v>
      </c>
      <c r="E629" s="1029">
        <v>5570595</v>
      </c>
      <c r="F629" s="1174">
        <v>5570595</v>
      </c>
      <c r="G629" s="1177">
        <v>4637000</v>
      </c>
      <c r="H629" s="1465">
        <v>3723000</v>
      </c>
      <c r="I629" s="1177">
        <v>5433000</v>
      </c>
    </row>
    <row r="630" spans="1:9" customFormat="1" ht="24.75" x14ac:dyDescent="0.2">
      <c r="A630" s="883"/>
      <c r="B630" s="994" t="s">
        <v>1582</v>
      </c>
      <c r="C630" s="1177">
        <v>0</v>
      </c>
      <c r="D630" s="1030">
        <v>96800</v>
      </c>
      <c r="E630" s="1029">
        <v>96800</v>
      </c>
      <c r="F630" s="1174">
        <v>96800</v>
      </c>
      <c r="G630" s="1177">
        <v>0</v>
      </c>
      <c r="H630" s="1174">
        <v>0</v>
      </c>
      <c r="I630" s="1177">
        <v>300000</v>
      </c>
    </row>
    <row r="631" spans="1:9" customFormat="1" x14ac:dyDescent="0.2">
      <c r="A631" s="883"/>
      <c r="B631" s="994" t="s">
        <v>1397</v>
      </c>
      <c r="C631" s="1037">
        <f t="shared" ref="C631:I631" si="127">SUM(C632:C634)</f>
        <v>7346000</v>
      </c>
      <c r="D631" s="1142">
        <f t="shared" si="127"/>
        <v>7346000</v>
      </c>
      <c r="E631" s="1037">
        <f t="shared" si="127"/>
        <v>7346000</v>
      </c>
      <c r="F631" s="1441">
        <f t="shared" si="127"/>
        <v>7346000</v>
      </c>
      <c r="G631" s="1037">
        <f t="shared" si="127"/>
        <v>6322129</v>
      </c>
      <c r="H631" s="1441">
        <f t="shared" si="127"/>
        <v>5189256.74</v>
      </c>
      <c r="I631" s="1037">
        <f t="shared" si="127"/>
        <v>5192000</v>
      </c>
    </row>
    <row r="632" spans="1:9" customFormat="1" x14ac:dyDescent="0.2">
      <c r="A632" s="883"/>
      <c r="B632" s="994" t="s">
        <v>1963</v>
      </c>
      <c r="C632" s="1177">
        <v>4661000</v>
      </c>
      <c r="D632" s="1030">
        <v>4661000</v>
      </c>
      <c r="E632" s="1029">
        <v>4661000</v>
      </c>
      <c r="F632" s="1174">
        <v>4661000</v>
      </c>
      <c r="G632" s="1177">
        <v>3911000</v>
      </c>
      <c r="H632" s="1174">
        <v>3161000</v>
      </c>
      <c r="I632" s="1177">
        <v>4927000</v>
      </c>
    </row>
    <row r="633" spans="1:9" customFormat="1" ht="24.75" x14ac:dyDescent="0.2">
      <c r="A633" s="883"/>
      <c r="B633" s="994" t="s">
        <v>1583</v>
      </c>
      <c r="C633" s="1177">
        <v>1285000</v>
      </c>
      <c r="D633" s="1030">
        <v>1285000</v>
      </c>
      <c r="E633" s="1029">
        <v>1285000</v>
      </c>
      <c r="F633" s="1174">
        <v>1285000</v>
      </c>
      <c r="G633" s="1177">
        <v>1285000</v>
      </c>
      <c r="H633" s="1174">
        <v>902127.74</v>
      </c>
      <c r="I633" s="1177">
        <v>265000</v>
      </c>
    </row>
    <row r="634" spans="1:9" customFormat="1" ht="24.75" x14ac:dyDescent="0.2">
      <c r="A634" s="883"/>
      <c r="B634" s="994" t="s">
        <v>1584</v>
      </c>
      <c r="C634" s="1177">
        <f>1400000</f>
        <v>1400000</v>
      </c>
      <c r="D634" s="1030">
        <v>1400000</v>
      </c>
      <c r="E634" s="1029">
        <v>1400000</v>
      </c>
      <c r="F634" s="1174">
        <v>1400000</v>
      </c>
      <c r="G634" s="1177">
        <v>1126129</v>
      </c>
      <c r="H634" s="1174">
        <v>1126129</v>
      </c>
      <c r="I634" s="1177">
        <v>0</v>
      </c>
    </row>
    <row r="635" spans="1:9" customFormat="1" x14ac:dyDescent="0.2">
      <c r="A635" s="883"/>
      <c r="B635" s="994" t="s">
        <v>1398</v>
      </c>
      <c r="C635" s="1037">
        <f t="shared" ref="C635:I635" si="128">SUM(C636:C638)</f>
        <v>9550000</v>
      </c>
      <c r="D635" s="1142">
        <f t="shared" si="128"/>
        <v>10633608</v>
      </c>
      <c r="E635" s="1037">
        <f t="shared" si="128"/>
        <v>9933608</v>
      </c>
      <c r="F635" s="1441">
        <f t="shared" si="128"/>
        <v>10633608</v>
      </c>
      <c r="G635" s="1037">
        <f t="shared" si="128"/>
        <v>7829836</v>
      </c>
      <c r="H635" s="1441">
        <f t="shared" si="128"/>
        <v>5041888.8</v>
      </c>
      <c r="I635" s="1037">
        <f t="shared" si="128"/>
        <v>9138000</v>
      </c>
    </row>
    <row r="636" spans="1:9" customFormat="1" x14ac:dyDescent="0.2">
      <c r="A636" s="883"/>
      <c r="B636" s="994" t="s">
        <v>1964</v>
      </c>
      <c r="C636" s="1177">
        <v>6810000</v>
      </c>
      <c r="D636" s="1030">
        <v>6815208</v>
      </c>
      <c r="E636" s="1029">
        <v>6815208</v>
      </c>
      <c r="F636" s="1466">
        <v>6815208</v>
      </c>
      <c r="G636" s="1177">
        <v>5914000</v>
      </c>
      <c r="H636" s="1466">
        <v>4778000</v>
      </c>
      <c r="I636" s="1177">
        <v>7041000</v>
      </c>
    </row>
    <row r="637" spans="1:9" customFormat="1" ht="24.75" x14ac:dyDescent="0.2">
      <c r="A637" s="883"/>
      <c r="B637" s="994" t="s">
        <v>1585</v>
      </c>
      <c r="C637" s="1177">
        <f>3250000-1700000</f>
        <v>1550000</v>
      </c>
      <c r="D637" s="1030">
        <v>1850000</v>
      </c>
      <c r="E637" s="1147">
        <v>1850000</v>
      </c>
      <c r="F637" s="1467">
        <v>1850000</v>
      </c>
      <c r="G637" s="1177">
        <v>1850000</v>
      </c>
      <c r="H637" s="1467">
        <v>198052.8</v>
      </c>
      <c r="I637" s="1177">
        <v>427000</v>
      </c>
    </row>
    <row r="638" spans="1:9" customFormat="1" ht="25.5" x14ac:dyDescent="0.2">
      <c r="A638" s="883"/>
      <c r="B638" s="994" t="s">
        <v>1586</v>
      </c>
      <c r="C638" s="1177">
        <f>1190000</f>
        <v>1190000</v>
      </c>
      <c r="D638" s="1030">
        <v>1968400</v>
      </c>
      <c r="E638" s="1029">
        <v>1268400</v>
      </c>
      <c r="F638" s="1174">
        <v>1968400</v>
      </c>
      <c r="G638" s="1177">
        <v>65836</v>
      </c>
      <c r="H638" s="1174">
        <v>65836</v>
      </c>
      <c r="I638" s="1177">
        <v>1670000</v>
      </c>
    </row>
    <row r="639" spans="1:9" customFormat="1" x14ac:dyDescent="0.2">
      <c r="A639" s="1009">
        <v>3233</v>
      </c>
      <c r="B639" s="1028" t="s">
        <v>671</v>
      </c>
      <c r="C639" s="1037">
        <f>C640</f>
        <v>2542000</v>
      </c>
      <c r="D639" s="1142">
        <f>D640</f>
        <v>2542000</v>
      </c>
      <c r="E639" s="1037">
        <f>E640</f>
        <v>2670000</v>
      </c>
      <c r="F639" s="1441">
        <f>F640</f>
        <v>2670000</v>
      </c>
      <c r="G639" s="1037">
        <f>G640+G643</f>
        <v>2258340</v>
      </c>
      <c r="H639" s="1441">
        <f>H640</f>
        <v>1612340</v>
      </c>
      <c r="I639" s="1037">
        <f>I640</f>
        <v>2458000</v>
      </c>
    </row>
    <row r="640" spans="1:9" customFormat="1" x14ac:dyDescent="0.2">
      <c r="A640" s="1009"/>
      <c r="B640" s="994" t="s">
        <v>1399</v>
      </c>
      <c r="C640" s="1029">
        <f>SUM(C641:C643)</f>
        <v>2542000</v>
      </c>
      <c r="D640" s="1030">
        <f t="shared" ref="D640:H640" si="129">SUM(D641:D642)</f>
        <v>2542000</v>
      </c>
      <c r="E640" s="1029">
        <f>SUM(E641:E643)</f>
        <v>2670000</v>
      </c>
      <c r="F640" s="1029">
        <f>SUM(F641:F643)</f>
        <v>2670000</v>
      </c>
      <c r="G640" s="1029">
        <f>SUM(G641:G643)</f>
        <v>2130340</v>
      </c>
      <c r="H640" s="1174">
        <f t="shared" si="129"/>
        <v>1612340</v>
      </c>
      <c r="I640" s="1029">
        <f>SUM(I641:I643)</f>
        <v>2458000</v>
      </c>
    </row>
    <row r="641" spans="1:9" customFormat="1" x14ac:dyDescent="0.2">
      <c r="A641" s="1009"/>
      <c r="B641" s="994" t="s">
        <v>1965</v>
      </c>
      <c r="C641" s="1177">
        <v>2267000</v>
      </c>
      <c r="D641" s="1030">
        <v>2267000</v>
      </c>
      <c r="E641" s="1029">
        <v>2267000</v>
      </c>
      <c r="F641" s="1174">
        <v>2267000</v>
      </c>
      <c r="G641" s="1177">
        <v>1924000</v>
      </c>
      <c r="H641" s="1174">
        <v>1534000</v>
      </c>
      <c r="I641" s="1177">
        <v>2458000</v>
      </c>
    </row>
    <row r="642" spans="1:9" customFormat="1" ht="25.5" x14ac:dyDescent="0.2">
      <c r="A642" s="1009"/>
      <c r="B642" s="994" t="s">
        <v>1587</v>
      </c>
      <c r="C642" s="1177">
        <v>275000</v>
      </c>
      <c r="D642" s="1030">
        <v>275000</v>
      </c>
      <c r="E642" s="1029">
        <v>275000</v>
      </c>
      <c r="F642" s="1174">
        <v>275000</v>
      </c>
      <c r="G642" s="1177">
        <v>78340</v>
      </c>
      <c r="H642" s="1174">
        <v>78340</v>
      </c>
      <c r="I642" s="1177">
        <v>0</v>
      </c>
    </row>
    <row r="643" spans="1:9" customFormat="1" x14ac:dyDescent="0.2">
      <c r="A643" s="1009"/>
      <c r="B643" s="994" t="s">
        <v>1838</v>
      </c>
      <c r="C643" s="1177">
        <v>0</v>
      </c>
      <c r="D643" s="1148"/>
      <c r="E643" s="1149">
        <v>128000</v>
      </c>
      <c r="F643" s="1465">
        <v>128000</v>
      </c>
      <c r="G643" s="1177">
        <v>128000</v>
      </c>
      <c r="H643" s="1465"/>
      <c r="I643" s="1177">
        <v>0</v>
      </c>
    </row>
    <row r="644" spans="1:9" customFormat="1" x14ac:dyDescent="0.2">
      <c r="A644" s="1009">
        <v>3419</v>
      </c>
      <c r="B644" s="1028" t="s">
        <v>1588</v>
      </c>
      <c r="C644" s="1254">
        <v>80000</v>
      </c>
      <c r="D644" s="1525">
        <v>80000</v>
      </c>
      <c r="E644" s="1254">
        <v>82107</v>
      </c>
      <c r="F644" s="1468">
        <v>80000</v>
      </c>
      <c r="G644" s="1254">
        <v>82107</v>
      </c>
      <c r="H644" s="1468">
        <v>60107</v>
      </c>
      <c r="I644" s="1254">
        <v>80000</v>
      </c>
    </row>
    <row r="645" spans="1:9" customFormat="1" ht="13.5" thickBot="1" x14ac:dyDescent="0.25">
      <c r="A645" s="1008"/>
      <c r="B645" s="1127"/>
      <c r="C645" s="1145"/>
      <c r="D645" s="1146"/>
      <c r="E645" s="1145"/>
      <c r="F645" s="1469"/>
      <c r="G645" s="1145"/>
      <c r="H645" s="1469"/>
      <c r="I645" s="1145"/>
    </row>
    <row r="646" spans="1:9" customFormat="1" ht="16.5" thickBot="1" x14ac:dyDescent="0.3">
      <c r="A646" s="1874"/>
      <c r="B646" s="1875" t="s">
        <v>677</v>
      </c>
      <c r="C646" s="1881">
        <f t="shared" ref="C646:I646" si="130">SUM(C647,C651,C654,C660,C663,C670)</f>
        <v>47038000</v>
      </c>
      <c r="D646" s="1526">
        <f t="shared" si="130"/>
        <v>51669687.730000004</v>
      </c>
      <c r="E646" s="1526">
        <f t="shared" si="130"/>
        <v>46477107.730000004</v>
      </c>
      <c r="F646" s="1527">
        <f t="shared" si="130"/>
        <v>51728107.730000004</v>
      </c>
      <c r="G646" s="1881">
        <f t="shared" si="130"/>
        <v>34126608.07</v>
      </c>
      <c r="H646" s="1527">
        <f t="shared" si="130"/>
        <v>31379649.469999999</v>
      </c>
      <c r="I646" s="1881">
        <f t="shared" si="130"/>
        <v>43723000</v>
      </c>
    </row>
    <row r="647" spans="1:9" customFormat="1" x14ac:dyDescent="0.2">
      <c r="A647" s="1882">
        <v>3311</v>
      </c>
      <c r="B647" s="1883" t="s">
        <v>1400</v>
      </c>
      <c r="C647" s="1254">
        <f>SUM(C648:C649)</f>
        <v>14547000</v>
      </c>
      <c r="D647" s="1254">
        <f>SUM(D648:D649)</f>
        <v>14501545</v>
      </c>
      <c r="E647" s="1254">
        <f>SUM(E648:E649)</f>
        <v>14501545</v>
      </c>
      <c r="F647" s="1884">
        <f>SUM(F648:F649)</f>
        <v>14501545</v>
      </c>
      <c r="G647" s="1254">
        <f>SUM(G648:G650)</f>
        <v>11700000</v>
      </c>
      <c r="H647" s="1468">
        <f>SUM(H648:H649)</f>
        <v>9400000</v>
      </c>
      <c r="I647" s="1254">
        <f>SUM(I648:I650)</f>
        <v>14219000</v>
      </c>
    </row>
    <row r="648" spans="1:9" customFormat="1" x14ac:dyDescent="0.2">
      <c r="A648" s="1033"/>
      <c r="B648" s="1034" t="s">
        <v>1966</v>
      </c>
      <c r="C648" s="1177">
        <v>14547000</v>
      </c>
      <c r="D648" s="1029">
        <v>14501545</v>
      </c>
      <c r="E648" s="1030">
        <v>14501545</v>
      </c>
      <c r="F648" s="1030">
        <v>14501545</v>
      </c>
      <c r="G648" s="1177">
        <v>11700000</v>
      </c>
      <c r="H648" s="1174">
        <v>9400000</v>
      </c>
      <c r="I648" s="1177">
        <v>14219000</v>
      </c>
    </row>
    <row r="649" spans="1:9" customFormat="1" x14ac:dyDescent="0.2">
      <c r="A649" s="1033"/>
      <c r="B649" s="1034" t="s">
        <v>1589</v>
      </c>
      <c r="C649" s="1177">
        <v>0</v>
      </c>
      <c r="D649" s="1029"/>
      <c r="E649" s="1030">
        <v>0</v>
      </c>
      <c r="F649" s="1030">
        <v>0</v>
      </c>
      <c r="G649" s="1177">
        <v>0</v>
      </c>
      <c r="H649" s="1174"/>
      <c r="I649" s="1177">
        <v>0</v>
      </c>
    </row>
    <row r="650" spans="1:9" customFormat="1" x14ac:dyDescent="0.2">
      <c r="A650" s="1033"/>
      <c r="B650" s="994" t="s">
        <v>1453</v>
      </c>
      <c r="C650" s="1177">
        <v>0</v>
      </c>
      <c r="D650" s="1029"/>
      <c r="E650" s="1030">
        <v>0</v>
      </c>
      <c r="F650" s="1030">
        <v>0</v>
      </c>
      <c r="G650" s="1177">
        <v>0</v>
      </c>
      <c r="H650" s="1174"/>
      <c r="I650" s="1177">
        <v>0</v>
      </c>
    </row>
    <row r="651" spans="1:9" customFormat="1" x14ac:dyDescent="0.2">
      <c r="A651" s="1035">
        <v>3319</v>
      </c>
      <c r="B651" s="1036" t="s">
        <v>682</v>
      </c>
      <c r="C651" s="1037">
        <f t="shared" ref="C651:I651" si="131">SUM(C652:C653)</f>
        <v>1160000</v>
      </c>
      <c r="D651" s="1037">
        <f t="shared" si="131"/>
        <v>1165000</v>
      </c>
      <c r="E651" s="1037">
        <f t="shared" si="131"/>
        <v>1223420</v>
      </c>
      <c r="F651" s="1142">
        <f t="shared" si="131"/>
        <v>1223420</v>
      </c>
      <c r="G651" s="1037">
        <f t="shared" si="131"/>
        <v>668420</v>
      </c>
      <c r="H651" s="1441">
        <f t="shared" si="131"/>
        <v>541885</v>
      </c>
      <c r="I651" s="1037">
        <f t="shared" si="131"/>
        <v>1120000</v>
      </c>
    </row>
    <row r="652" spans="1:9" customFormat="1" x14ac:dyDescent="0.2">
      <c r="A652" s="1035"/>
      <c r="B652" s="1034" t="s">
        <v>1401</v>
      </c>
      <c r="C652" s="1177">
        <v>530000</v>
      </c>
      <c r="D652" s="1177">
        <v>530000</v>
      </c>
      <c r="E652" s="1885">
        <v>530000</v>
      </c>
      <c r="F652" s="1030">
        <v>530000</v>
      </c>
      <c r="G652" s="1177">
        <v>0</v>
      </c>
      <c r="H652" s="1174">
        <v>248055.18</v>
      </c>
      <c r="I652" s="1177">
        <v>470000</v>
      </c>
    </row>
    <row r="653" spans="1:9" customFormat="1" x14ac:dyDescent="0.2">
      <c r="A653" s="1035"/>
      <c r="B653" s="1038" t="s">
        <v>684</v>
      </c>
      <c r="C653" s="1177">
        <v>630000</v>
      </c>
      <c r="D653" s="1177">
        <v>635000</v>
      </c>
      <c r="E653" s="1030">
        <v>693420</v>
      </c>
      <c r="F653" s="1030">
        <v>693420</v>
      </c>
      <c r="G653" s="1177">
        <v>668420</v>
      </c>
      <c r="H653" s="1174">
        <v>293829.82</v>
      </c>
      <c r="I653" s="1177">
        <v>650000</v>
      </c>
    </row>
    <row r="654" spans="1:9" customFormat="1" x14ac:dyDescent="0.2">
      <c r="A654" s="1035" t="s">
        <v>1093</v>
      </c>
      <c r="B654" s="1036" t="s">
        <v>685</v>
      </c>
      <c r="C654" s="1037">
        <f>C655+C657+C658+C659</f>
        <v>811000</v>
      </c>
      <c r="D654" s="1037">
        <f t="shared" ref="D654:I654" si="132">D655+D657+D658+D659+D656</f>
        <v>930570</v>
      </c>
      <c r="E654" s="1037">
        <f t="shared" si="132"/>
        <v>930570</v>
      </c>
      <c r="F654" s="1142">
        <f t="shared" si="132"/>
        <v>930570</v>
      </c>
      <c r="G654" s="1037">
        <f t="shared" si="132"/>
        <v>453059</v>
      </c>
      <c r="H654" s="1441">
        <f t="shared" si="132"/>
        <v>152583.4</v>
      </c>
      <c r="I654" s="1037">
        <f t="shared" si="132"/>
        <v>593000</v>
      </c>
    </row>
    <row r="655" spans="1:9" customFormat="1" x14ac:dyDescent="0.2">
      <c r="A655" s="1033"/>
      <c r="B655" s="1034" t="s">
        <v>1590</v>
      </c>
      <c r="C655" s="1177">
        <v>20000</v>
      </c>
      <c r="D655" s="1029">
        <v>20000</v>
      </c>
      <c r="E655" s="1030">
        <v>20000</v>
      </c>
      <c r="F655" s="1030">
        <v>20000</v>
      </c>
      <c r="G655" s="1177">
        <v>0</v>
      </c>
      <c r="H655" s="1174">
        <v>0</v>
      </c>
      <c r="I655" s="1177">
        <v>120000</v>
      </c>
    </row>
    <row r="656" spans="1:9" customFormat="1" x14ac:dyDescent="0.2">
      <c r="A656" s="1033"/>
      <c r="B656" s="1034" t="s">
        <v>1591</v>
      </c>
      <c r="C656" s="1177"/>
      <c r="D656" s="1029">
        <v>100000</v>
      </c>
      <c r="E656" s="1030">
        <v>100000</v>
      </c>
      <c r="F656" s="1030">
        <v>100000</v>
      </c>
      <c r="G656" s="1177">
        <v>89094</v>
      </c>
      <c r="H656" s="1174">
        <v>88174.399999999994</v>
      </c>
      <c r="I656" s="1177">
        <v>5000</v>
      </c>
    </row>
    <row r="657" spans="1:9" customFormat="1" x14ac:dyDescent="0.2">
      <c r="A657" s="1033"/>
      <c r="B657" s="1034" t="s">
        <v>1070</v>
      </c>
      <c r="C657" s="1177">
        <v>100000</v>
      </c>
      <c r="D657" s="1029">
        <v>100000</v>
      </c>
      <c r="E657" s="1030">
        <v>100000</v>
      </c>
      <c r="F657" s="1030">
        <v>100000</v>
      </c>
      <c r="G657" s="1177">
        <v>66890</v>
      </c>
      <c r="H657" s="1174">
        <v>24044</v>
      </c>
      <c r="I657" s="1177">
        <v>100000</v>
      </c>
    </row>
    <row r="658" spans="1:9" customFormat="1" ht="25.5" x14ac:dyDescent="0.2">
      <c r="A658" s="1033"/>
      <c r="B658" s="1034" t="s">
        <v>1592</v>
      </c>
      <c r="C658" s="1177">
        <v>91000</v>
      </c>
      <c r="D658" s="1029">
        <v>91000</v>
      </c>
      <c r="E658" s="1030">
        <v>91000</v>
      </c>
      <c r="F658" s="1030">
        <v>91000</v>
      </c>
      <c r="G658" s="1177">
        <v>91000</v>
      </c>
      <c r="H658" s="1174">
        <v>1040</v>
      </c>
      <c r="I658" s="1177">
        <v>168000</v>
      </c>
    </row>
    <row r="659" spans="1:9" customFormat="1" x14ac:dyDescent="0.2">
      <c r="A659" s="1033"/>
      <c r="B659" s="1034" t="s">
        <v>1593</v>
      </c>
      <c r="C659" s="1177">
        <v>600000</v>
      </c>
      <c r="D659" s="1029">
        <v>619570</v>
      </c>
      <c r="E659" s="1030">
        <v>619570</v>
      </c>
      <c r="F659" s="1030">
        <v>619570</v>
      </c>
      <c r="G659" s="1177">
        <v>206075</v>
      </c>
      <c r="H659" s="1174">
        <v>39325</v>
      </c>
      <c r="I659" s="1177">
        <v>200000</v>
      </c>
    </row>
    <row r="660" spans="1:9" customFormat="1" x14ac:dyDescent="0.2">
      <c r="A660" s="1035" t="s">
        <v>1094</v>
      </c>
      <c r="B660" s="1036" t="s">
        <v>690</v>
      </c>
      <c r="C660" s="1037">
        <f t="shared" ref="C660:I660" si="133">C661+C662</f>
        <v>1715000</v>
      </c>
      <c r="D660" s="1037">
        <f t="shared" si="133"/>
        <v>1715000</v>
      </c>
      <c r="E660" s="1037">
        <f t="shared" si="133"/>
        <v>1715000</v>
      </c>
      <c r="F660" s="1142">
        <f t="shared" si="133"/>
        <v>1715000</v>
      </c>
      <c r="G660" s="1037">
        <f t="shared" si="133"/>
        <v>80880.070000000007</v>
      </c>
      <c r="H660" s="1441">
        <f t="shared" si="133"/>
        <v>80880.070000000007</v>
      </c>
      <c r="I660" s="1037">
        <f t="shared" si="133"/>
        <v>555000</v>
      </c>
    </row>
    <row r="661" spans="1:9" customFormat="1" ht="25.5" x14ac:dyDescent="0.2">
      <c r="A661" s="1033"/>
      <c r="B661" s="1034" t="s">
        <v>1594</v>
      </c>
      <c r="C661" s="1177">
        <v>1700000</v>
      </c>
      <c r="D661" s="1029">
        <v>1700000</v>
      </c>
      <c r="E661" s="1030">
        <v>1700000</v>
      </c>
      <c r="F661" s="1030">
        <v>1700000</v>
      </c>
      <c r="G661" s="1177">
        <v>78465.55</v>
      </c>
      <c r="H661" s="1174">
        <v>78465.55</v>
      </c>
      <c r="I661" s="1177">
        <v>540000</v>
      </c>
    </row>
    <row r="662" spans="1:9" customFormat="1" x14ac:dyDescent="0.2">
      <c r="A662" s="1033"/>
      <c r="B662" s="1034" t="s">
        <v>1099</v>
      </c>
      <c r="C662" s="1177">
        <v>15000</v>
      </c>
      <c r="D662" s="1029">
        <v>15000</v>
      </c>
      <c r="E662" s="1030">
        <v>15000</v>
      </c>
      <c r="F662" s="1030">
        <v>15000</v>
      </c>
      <c r="G662" s="1177">
        <v>2414.52</v>
      </c>
      <c r="H662" s="1174">
        <v>2414.52</v>
      </c>
      <c r="I662" s="1177">
        <v>15000</v>
      </c>
    </row>
    <row r="663" spans="1:9" customFormat="1" x14ac:dyDescent="0.2">
      <c r="A663" s="1035">
        <v>3392</v>
      </c>
      <c r="B663" s="1036" t="s">
        <v>693</v>
      </c>
      <c r="C663" s="1037">
        <f t="shared" ref="C663:I663" si="134">C665+C664</f>
        <v>28535000</v>
      </c>
      <c r="D663" s="1037">
        <f t="shared" si="134"/>
        <v>33087572.73</v>
      </c>
      <c r="E663" s="1037">
        <f t="shared" si="134"/>
        <v>27836572.73</v>
      </c>
      <c r="F663" s="1142">
        <f t="shared" si="134"/>
        <v>33087572.73</v>
      </c>
      <c r="G663" s="1037">
        <f t="shared" si="134"/>
        <v>21041000</v>
      </c>
      <c r="H663" s="1441">
        <f t="shared" si="134"/>
        <v>21076000</v>
      </c>
      <c r="I663" s="1037">
        <f t="shared" si="134"/>
        <v>26946000</v>
      </c>
    </row>
    <row r="664" spans="1:9" customFormat="1" x14ac:dyDescent="0.2">
      <c r="A664" s="1035"/>
      <c r="B664" s="1034" t="s">
        <v>694</v>
      </c>
      <c r="C664" s="1177">
        <v>26000</v>
      </c>
      <c r="D664" s="1029">
        <v>26000</v>
      </c>
      <c r="E664" s="1030">
        <v>26000</v>
      </c>
      <c r="F664" s="1030">
        <v>26000</v>
      </c>
      <c r="G664" s="1177">
        <v>16000</v>
      </c>
      <c r="H664" s="1174">
        <v>0</v>
      </c>
      <c r="I664" s="1177">
        <v>26000</v>
      </c>
    </row>
    <row r="665" spans="1:9" customFormat="1" x14ac:dyDescent="0.2">
      <c r="A665" s="1033"/>
      <c r="B665" s="1034" t="s">
        <v>1402</v>
      </c>
      <c r="C665" s="1037">
        <f t="shared" ref="C665:I665" si="135">SUM(C666+C669+C668)</f>
        <v>28509000</v>
      </c>
      <c r="D665" s="1037">
        <f t="shared" si="135"/>
        <v>33061572.73</v>
      </c>
      <c r="E665" s="1037">
        <f t="shared" si="135"/>
        <v>27810572.73</v>
      </c>
      <c r="F665" s="1142">
        <f t="shared" si="135"/>
        <v>33061572.73</v>
      </c>
      <c r="G665" s="1037">
        <f t="shared" si="135"/>
        <v>21025000</v>
      </c>
      <c r="H665" s="1441">
        <f t="shared" si="135"/>
        <v>21076000</v>
      </c>
      <c r="I665" s="1037">
        <f t="shared" si="135"/>
        <v>26920000</v>
      </c>
    </row>
    <row r="666" spans="1:9" customFormat="1" x14ac:dyDescent="0.2">
      <c r="A666" s="1033"/>
      <c r="B666" s="1034" t="s">
        <v>1967</v>
      </c>
      <c r="C666" s="1177">
        <v>27025000</v>
      </c>
      <c r="D666" s="1029">
        <v>33061572.73</v>
      </c>
      <c r="E666" s="1030">
        <v>27810572.73</v>
      </c>
      <c r="F666" s="1030">
        <v>33061572.73</v>
      </c>
      <c r="G666" s="1177">
        <v>21025000</v>
      </c>
      <c r="H666" s="1174">
        <v>21076000</v>
      </c>
      <c r="I666" s="1177">
        <v>26920000</v>
      </c>
    </row>
    <row r="667" spans="1:9" customFormat="1" x14ac:dyDescent="0.2">
      <c r="A667" s="1033"/>
      <c r="B667" s="1034" t="s">
        <v>697</v>
      </c>
      <c r="C667" s="1177"/>
      <c r="D667" s="1029"/>
      <c r="E667" s="1030"/>
      <c r="F667" s="1030"/>
      <c r="G667" s="1177"/>
      <c r="H667" s="1174"/>
      <c r="I667" s="1177"/>
    </row>
    <row r="668" spans="1:9" customFormat="1" ht="25.5" x14ac:dyDescent="0.2">
      <c r="A668" s="1033"/>
      <c r="B668" s="1034" t="s">
        <v>1772</v>
      </c>
      <c r="C668" s="1177">
        <v>0</v>
      </c>
      <c r="D668" s="1029"/>
      <c r="E668" s="1030">
        <v>0</v>
      </c>
      <c r="F668" s="1030">
        <v>0</v>
      </c>
      <c r="G668" s="1177">
        <v>0</v>
      </c>
      <c r="H668" s="1174"/>
      <c r="I668" s="1177">
        <v>0</v>
      </c>
    </row>
    <row r="669" spans="1:9" customFormat="1" ht="36.75" x14ac:dyDescent="0.2">
      <c r="A669" s="1033"/>
      <c r="B669" s="1034" t="s">
        <v>1595</v>
      </c>
      <c r="C669" s="1177">
        <f>484000+1000000</f>
        <v>1484000</v>
      </c>
      <c r="D669" s="1029"/>
      <c r="E669" s="1030">
        <v>0</v>
      </c>
      <c r="F669" s="1030">
        <v>0</v>
      </c>
      <c r="G669" s="1177">
        <v>0</v>
      </c>
      <c r="H669" s="1174"/>
      <c r="I669" s="1177">
        <v>0</v>
      </c>
    </row>
    <row r="670" spans="1:9" customFormat="1" x14ac:dyDescent="0.2">
      <c r="A670" s="1035">
        <v>3399</v>
      </c>
      <c r="B670" s="1036" t="s">
        <v>700</v>
      </c>
      <c r="C670" s="1037">
        <f t="shared" ref="C670:I670" si="136">C671</f>
        <v>270000</v>
      </c>
      <c r="D670" s="1037">
        <f t="shared" si="136"/>
        <v>270000</v>
      </c>
      <c r="E670" s="1037">
        <f t="shared" si="136"/>
        <v>270000</v>
      </c>
      <c r="F670" s="1142">
        <f t="shared" si="136"/>
        <v>270000</v>
      </c>
      <c r="G670" s="1037">
        <f t="shared" si="136"/>
        <v>183249</v>
      </c>
      <c r="H670" s="1441">
        <f t="shared" si="136"/>
        <v>128301</v>
      </c>
      <c r="I670" s="1037">
        <f t="shared" si="136"/>
        <v>290000</v>
      </c>
    </row>
    <row r="671" spans="1:9" customFormat="1" x14ac:dyDescent="0.2">
      <c r="A671" s="1033"/>
      <c r="B671" s="1034" t="s">
        <v>701</v>
      </c>
      <c r="C671" s="1177">
        <v>270000</v>
      </c>
      <c r="D671" s="1029">
        <v>270000</v>
      </c>
      <c r="E671" s="1148">
        <v>270000</v>
      </c>
      <c r="F671" s="1148">
        <v>270000</v>
      </c>
      <c r="G671" s="1148">
        <v>183249</v>
      </c>
      <c r="H671" s="1029">
        <v>128301</v>
      </c>
      <c r="I671" s="1177">
        <v>290000</v>
      </c>
    </row>
    <row r="672" spans="1:9" customFormat="1" ht="13.5" thickBot="1" x14ac:dyDescent="0.25">
      <c r="A672" s="1128"/>
      <c r="B672" s="1129"/>
      <c r="C672" s="1149"/>
      <c r="D672" s="1149"/>
      <c r="E672" s="1532"/>
      <c r="F672" s="1150"/>
      <c r="G672" s="1149"/>
      <c r="H672" s="1143"/>
      <c r="I672" s="1149"/>
    </row>
    <row r="673" spans="1:13" customFormat="1" ht="16.5" thickBot="1" x14ac:dyDescent="0.3">
      <c r="A673" s="1874"/>
      <c r="B673" s="1886" t="s">
        <v>702</v>
      </c>
      <c r="C673" s="1887">
        <f>C674</f>
        <v>22384120</v>
      </c>
      <c r="D673" s="1887">
        <f t="shared" ref="D673:I673" si="137">D674</f>
        <v>22580256</v>
      </c>
      <c r="E673" s="1887">
        <f t="shared" si="137"/>
        <v>23080256</v>
      </c>
      <c r="F673" s="1888">
        <f t="shared" si="137"/>
        <v>26285776</v>
      </c>
      <c r="G673" s="1887">
        <f t="shared" si="137"/>
        <v>26285776</v>
      </c>
      <c r="H673" s="1889">
        <f t="shared" si="137"/>
        <v>20911960.75</v>
      </c>
      <c r="I673" s="1887">
        <f t="shared" si="137"/>
        <v>24990300</v>
      </c>
    </row>
    <row r="674" spans="1:13" customFormat="1" x14ac:dyDescent="0.2">
      <c r="A674" s="1009"/>
      <c r="B674" s="1880" t="s">
        <v>703</v>
      </c>
      <c r="C674" s="1255">
        <f t="shared" ref="C674:I674" si="138">SUM(C675:C684)</f>
        <v>22384120</v>
      </c>
      <c r="D674" s="1255">
        <f t="shared" si="138"/>
        <v>22580256</v>
      </c>
      <c r="E674" s="1255">
        <f t="shared" si="138"/>
        <v>23080256</v>
      </c>
      <c r="F674" s="1890">
        <f t="shared" si="138"/>
        <v>26285776</v>
      </c>
      <c r="G674" s="1255">
        <f t="shared" si="138"/>
        <v>26285776</v>
      </c>
      <c r="H674" s="1470">
        <f t="shared" si="138"/>
        <v>20911960.75</v>
      </c>
      <c r="I674" s="1255">
        <f t="shared" si="138"/>
        <v>24990300</v>
      </c>
    </row>
    <row r="675" spans="1:13" customFormat="1" x14ac:dyDescent="0.2">
      <c r="A675" s="883"/>
      <c r="B675" s="994" t="s">
        <v>704</v>
      </c>
      <c r="C675" s="1177">
        <v>1125000</v>
      </c>
      <c r="D675" s="1029">
        <v>1125000</v>
      </c>
      <c r="E675" s="1030">
        <v>1125000</v>
      </c>
      <c r="F675" s="1177">
        <v>1360000</v>
      </c>
      <c r="G675" s="1177">
        <v>1360000</v>
      </c>
      <c r="H675" s="1174">
        <v>970000</v>
      </c>
      <c r="I675" s="1177">
        <v>1070000</v>
      </c>
    </row>
    <row r="676" spans="1:13" customFormat="1" x14ac:dyDescent="0.2">
      <c r="A676" s="883"/>
      <c r="B676" s="994" t="s">
        <v>705</v>
      </c>
      <c r="C676" s="1177">
        <v>375000</v>
      </c>
      <c r="D676" s="1029">
        <v>345000</v>
      </c>
      <c r="E676" s="1030">
        <v>305000</v>
      </c>
      <c r="F676" s="1177">
        <v>340000</v>
      </c>
      <c r="G676" s="1177">
        <v>340000</v>
      </c>
      <c r="H676" s="1174">
        <v>130500</v>
      </c>
      <c r="I676" s="1177">
        <v>193100</v>
      </c>
    </row>
    <row r="677" spans="1:13" customFormat="1" x14ac:dyDescent="0.2">
      <c r="A677" s="883"/>
      <c r="B677" s="994" t="s">
        <v>706</v>
      </c>
      <c r="C677" s="1177">
        <v>3700000</v>
      </c>
      <c r="D677" s="1029">
        <v>3700000</v>
      </c>
      <c r="E677" s="1030">
        <v>3700000</v>
      </c>
      <c r="F677" s="1177">
        <v>5000000</v>
      </c>
      <c r="G677" s="1177">
        <v>5000000</v>
      </c>
      <c r="H677" s="1174">
        <v>3700000</v>
      </c>
      <c r="I677" s="1177">
        <f>5000000-10000</f>
        <v>4990000</v>
      </c>
    </row>
    <row r="678" spans="1:13" customFormat="1" x14ac:dyDescent="0.2">
      <c r="A678" s="883"/>
      <c r="B678" s="994" t="s">
        <v>707</v>
      </c>
      <c r="C678" s="1177">
        <v>6150000</v>
      </c>
      <c r="D678" s="1029">
        <v>5950000</v>
      </c>
      <c r="E678" s="1030">
        <v>5950000</v>
      </c>
      <c r="F678" s="1177">
        <v>7250000</v>
      </c>
      <c r="G678" s="1177">
        <v>7250000</v>
      </c>
      <c r="H678" s="1174">
        <v>5929000</v>
      </c>
      <c r="I678" s="1177">
        <v>7250000</v>
      </c>
    </row>
    <row r="679" spans="1:13" customFormat="1" x14ac:dyDescent="0.2">
      <c r="A679" s="883"/>
      <c r="B679" s="994" t="s">
        <v>708</v>
      </c>
      <c r="C679" s="1177">
        <v>50000</v>
      </c>
      <c r="D679" s="1029">
        <v>50000</v>
      </c>
      <c r="E679" s="1030">
        <v>50000</v>
      </c>
      <c r="F679" s="1177">
        <v>50000</v>
      </c>
      <c r="G679" s="1177">
        <v>50000</v>
      </c>
      <c r="H679" s="1174">
        <v>41000</v>
      </c>
      <c r="I679" s="1177">
        <v>50000</v>
      </c>
    </row>
    <row r="680" spans="1:13" customFormat="1" x14ac:dyDescent="0.2">
      <c r="A680" s="883"/>
      <c r="B680" s="994" t="s">
        <v>709</v>
      </c>
      <c r="C680" s="1177">
        <v>8100000</v>
      </c>
      <c r="D680" s="1177">
        <v>8100000</v>
      </c>
      <c r="E680" s="1885">
        <v>8100000</v>
      </c>
      <c r="F680" s="1177">
        <v>8500000</v>
      </c>
      <c r="G680" s="1177">
        <v>8500000</v>
      </c>
      <c r="H680" s="1174">
        <v>7700000</v>
      </c>
      <c r="I680" s="1177">
        <f>8500000-15000</f>
        <v>8485000</v>
      </c>
    </row>
    <row r="681" spans="1:13" customFormat="1" x14ac:dyDescent="0.2">
      <c r="A681" s="883"/>
      <c r="B681" s="994" t="s">
        <v>712</v>
      </c>
      <c r="C681" s="1177">
        <v>1065000</v>
      </c>
      <c r="D681" s="1029">
        <v>1020000</v>
      </c>
      <c r="E681" s="1030">
        <v>1020000</v>
      </c>
      <c r="F681" s="1177">
        <v>1242000</v>
      </c>
      <c r="G681" s="1177">
        <v>1242000</v>
      </c>
      <c r="H681" s="1467">
        <v>856500</v>
      </c>
      <c r="I681" s="1177">
        <v>963000</v>
      </c>
    </row>
    <row r="682" spans="1:13" customFormat="1" x14ac:dyDescent="0.2">
      <c r="A682" s="883"/>
      <c r="B682" s="994" t="s">
        <v>713</v>
      </c>
      <c r="C682" s="1177">
        <v>135000</v>
      </c>
      <c r="D682" s="1029">
        <v>135000</v>
      </c>
      <c r="E682" s="1030">
        <v>135000</v>
      </c>
      <c r="F682" s="1177">
        <v>158000</v>
      </c>
      <c r="G682" s="1177">
        <v>158000</v>
      </c>
      <c r="H682" s="1466">
        <v>51000</v>
      </c>
      <c r="I682" s="1177">
        <v>143000</v>
      </c>
    </row>
    <row r="683" spans="1:13" customFormat="1" x14ac:dyDescent="0.2">
      <c r="A683" s="883"/>
      <c r="B683" s="994" t="s">
        <v>714</v>
      </c>
      <c r="C683" s="1177">
        <v>500000</v>
      </c>
      <c r="D683" s="1029">
        <v>500000</v>
      </c>
      <c r="E683" s="1885">
        <v>500000</v>
      </c>
      <c r="F683" s="1177">
        <v>1300000</v>
      </c>
      <c r="G683" s="1177">
        <v>1300000</v>
      </c>
      <c r="H683" s="1465">
        <v>195400</v>
      </c>
      <c r="I683" s="1177">
        <v>966500</v>
      </c>
    </row>
    <row r="684" spans="1:13" customFormat="1" ht="36.75" x14ac:dyDescent="0.2">
      <c r="A684" s="1009"/>
      <c r="B684" s="994" t="s">
        <v>2034</v>
      </c>
      <c r="C684" s="1177">
        <f>+(273+555.3+50.82+90+15+200)*1000</f>
        <v>1184120</v>
      </c>
      <c r="D684" s="1029">
        <v>1655256</v>
      </c>
      <c r="E684" s="1030">
        <v>2195256</v>
      </c>
      <c r="F684" s="1177">
        <f>267000+452000+61776+90000+15000+200000</f>
        <v>1085776</v>
      </c>
      <c r="G684" s="1177">
        <f>267000+452000+61776+90000+15000+200000</f>
        <v>1085776</v>
      </c>
      <c r="H684" s="1174">
        <v>1338560.75</v>
      </c>
      <c r="I684" s="1177">
        <f>909700-30000</f>
        <v>879700</v>
      </c>
    </row>
    <row r="685" spans="1:13" ht="15" thickBot="1" x14ac:dyDescent="0.25">
      <c r="A685" s="745"/>
      <c r="B685" s="1039"/>
      <c r="C685" s="1150"/>
      <c r="D685" s="1151"/>
      <c r="E685" s="1497"/>
      <c r="F685" s="1243"/>
      <c r="G685" s="1152"/>
      <c r="H685" s="1471"/>
      <c r="I685" s="1149"/>
      <c r="J685" s="1531"/>
      <c r="K685" s="1252"/>
    </row>
    <row r="686" spans="1:13" ht="21" customHeight="1" thickBot="1" x14ac:dyDescent="0.35">
      <c r="A686" s="937"/>
      <c r="B686" s="954" t="s">
        <v>716</v>
      </c>
      <c r="C686" s="1154">
        <f>C687</f>
        <v>28556700</v>
      </c>
      <c r="D686" s="1155">
        <f>SUM(D688)</f>
        <v>28556700</v>
      </c>
      <c r="E686" s="1472">
        <f>SUM(E688)</f>
        <v>28556700</v>
      </c>
      <c r="F686" s="1156">
        <f>SUM(F688)</f>
        <v>28000000</v>
      </c>
      <c r="G686" s="1893">
        <f>SUM(G688)</f>
        <v>21729006.469999999</v>
      </c>
      <c r="H686" s="1472">
        <f>SUM(H688)</f>
        <v>17383052.219999999</v>
      </c>
      <c r="I686" s="1256">
        <f>I687</f>
        <v>27924400</v>
      </c>
      <c r="J686" s="1403">
        <f>J687</f>
        <v>0</v>
      </c>
      <c r="K686" s="1343">
        <f>K687</f>
        <v>0</v>
      </c>
    </row>
    <row r="687" spans="1:13" x14ac:dyDescent="0.2">
      <c r="A687" s="745">
        <v>5311</v>
      </c>
      <c r="B687" s="921" t="s">
        <v>717</v>
      </c>
      <c r="C687" s="1157">
        <f>SUM(18300+4538.4+1647+ 0+2+350+2+132.5+143+20+264+1+245+30+3+109+3+635+275+200+15+50+10+100+6+123.8+170+750+432 )*1000</f>
        <v>28556700</v>
      </c>
      <c r="D687" s="553">
        <f t="shared" ref="D687:K687" si="139">SUM(D688)</f>
        <v>28556700</v>
      </c>
      <c r="E687" s="1244">
        <f t="shared" si="139"/>
        <v>28556700</v>
      </c>
      <c r="F687" s="1244">
        <f t="shared" si="139"/>
        <v>28000000</v>
      </c>
      <c r="G687" s="1244">
        <f t="shared" si="139"/>
        <v>21729006.469999999</v>
      </c>
      <c r="H687" s="2039">
        <f t="shared" si="139"/>
        <v>17383052.219999999</v>
      </c>
      <c r="I687" s="1257">
        <f t="shared" si="139"/>
        <v>27924400</v>
      </c>
      <c r="J687" s="1404">
        <f t="shared" si="139"/>
        <v>0</v>
      </c>
      <c r="K687" s="1139">
        <f t="shared" si="139"/>
        <v>0</v>
      </c>
    </row>
    <row r="688" spans="1:13" ht="76.5" x14ac:dyDescent="0.2">
      <c r="A688" s="745"/>
      <c r="B688" s="924" t="s">
        <v>1756</v>
      </c>
      <c r="C688" s="1158" t="s">
        <v>1148</v>
      </c>
      <c r="D688" s="1159">
        <v>28556700</v>
      </c>
      <c r="E688" s="1498">
        <v>28556700</v>
      </c>
      <c r="F688" s="1160">
        <v>28000000</v>
      </c>
      <c r="G688" s="1173">
        <v>21729006.469999999</v>
      </c>
      <c r="H688" s="1474">
        <v>17383052.219999999</v>
      </c>
      <c r="I688" s="1258">
        <f>(18400+4538.4+1647+0+5+350+2+163+143+35+264+1+245+30+3+77+3+1490-750+275+200+17+50+10+150+6+170+150+250)*1000</f>
        <v>27924400</v>
      </c>
      <c r="J688" s="1405"/>
      <c r="K688" s="1348"/>
      <c r="L688" s="1250"/>
      <c r="M688" s="702"/>
    </row>
    <row r="689" spans="1:12" ht="13.5" thickBot="1" x14ac:dyDescent="0.25">
      <c r="A689" s="949"/>
      <c r="B689" s="975"/>
      <c r="C689" s="1161"/>
      <c r="D689" s="1162"/>
      <c r="E689" s="1499"/>
      <c r="F689" s="1163"/>
      <c r="G689" s="1487"/>
      <c r="H689" s="1475"/>
      <c r="I689" s="1161"/>
      <c r="J689" s="1153"/>
      <c r="K689" s="1252"/>
    </row>
    <row r="690" spans="1:12" ht="21" thickBot="1" x14ac:dyDescent="0.35">
      <c r="A690" s="937"/>
      <c r="B690" s="954" t="s">
        <v>41</v>
      </c>
      <c r="C690" s="1164">
        <f t="shared" ref="C690:I690" si="140">SUM(C691:C698)+C706+C707</f>
        <v>31399210</v>
      </c>
      <c r="D690" s="1165">
        <f t="shared" si="140"/>
        <v>46385768.509999998</v>
      </c>
      <c r="E690" s="1476">
        <f t="shared" si="140"/>
        <v>46385768.509999998</v>
      </c>
      <c r="F690" s="1443">
        <f t="shared" si="140"/>
        <v>46315204.509999998</v>
      </c>
      <c r="G690" s="2040">
        <f t="shared" si="140"/>
        <v>36900550.670000002</v>
      </c>
      <c r="H690" s="1476">
        <f t="shared" si="140"/>
        <v>32547253.75</v>
      </c>
      <c r="I690" s="1164">
        <f t="shared" si="140"/>
        <v>35630624</v>
      </c>
      <c r="J690" s="1164">
        <f>SUM(J692:J698)+J707+J706</f>
        <v>0</v>
      </c>
      <c r="K690" s="1292">
        <f>SUM(K692:K698)+K707+K706</f>
        <v>0</v>
      </c>
      <c r="L690" s="881"/>
    </row>
    <row r="691" spans="1:12" ht="36.75" x14ac:dyDescent="0.2">
      <c r="A691" s="1040">
        <v>3429</v>
      </c>
      <c r="B691" s="924" t="s">
        <v>1502</v>
      </c>
      <c r="C691" s="1166">
        <v>690000</v>
      </c>
      <c r="D691" s="553">
        <v>890000</v>
      </c>
      <c r="E691" s="1244">
        <v>890000</v>
      </c>
      <c r="F691" s="1244">
        <v>890000</v>
      </c>
      <c r="G691" s="1259">
        <v>781554.38</v>
      </c>
      <c r="H691" s="1473">
        <v>765747.38</v>
      </c>
      <c r="I691" s="1167">
        <v>982000</v>
      </c>
      <c r="J691" s="1168"/>
      <c r="K691" s="1349"/>
      <c r="L691" s="881"/>
    </row>
    <row r="692" spans="1:12" s="116" customFormat="1" ht="36.75" x14ac:dyDescent="0.2">
      <c r="A692" s="938">
        <v>5212</v>
      </c>
      <c r="B692" s="788" t="s">
        <v>1170</v>
      </c>
      <c r="C692" s="1157">
        <v>110000</v>
      </c>
      <c r="D692" s="553">
        <v>110000</v>
      </c>
      <c r="E692" s="1244">
        <v>110000</v>
      </c>
      <c r="F692" s="1244">
        <v>110000</v>
      </c>
      <c r="G692" s="1259">
        <v>36106.400000000001</v>
      </c>
      <c r="H692" s="1473">
        <v>36106.400000000001</v>
      </c>
      <c r="I692" s="1257">
        <v>110000</v>
      </c>
      <c r="J692" s="1259"/>
      <c r="K692" s="1139"/>
      <c r="L692" s="881"/>
    </row>
    <row r="693" spans="1:12" s="289" customFormat="1" ht="36.75" x14ac:dyDescent="0.25">
      <c r="A693" s="745">
        <v>5213</v>
      </c>
      <c r="B693" s="790" t="s">
        <v>1403</v>
      </c>
      <c r="C693" s="1157">
        <v>200000</v>
      </c>
      <c r="D693" s="555">
        <v>200000</v>
      </c>
      <c r="E693" s="1169">
        <v>200000</v>
      </c>
      <c r="F693" s="1169">
        <v>200000</v>
      </c>
      <c r="G693" s="1170">
        <v>0</v>
      </c>
      <c r="H693" s="1477">
        <v>0</v>
      </c>
      <c r="I693" s="1257">
        <v>200000</v>
      </c>
      <c r="J693" s="1259"/>
      <c r="K693" s="1139"/>
      <c r="L693" s="881"/>
    </row>
    <row r="694" spans="1:12" s="116" customFormat="1" ht="24.75" x14ac:dyDescent="0.2">
      <c r="A694" s="745">
        <v>5273</v>
      </c>
      <c r="B694" s="790" t="s">
        <v>1404</v>
      </c>
      <c r="C694" s="1157">
        <v>5000</v>
      </c>
      <c r="D694" s="555">
        <v>5000</v>
      </c>
      <c r="E694" s="1169">
        <v>5000</v>
      </c>
      <c r="F694" s="1169">
        <v>5000</v>
      </c>
      <c r="G694" s="1170">
        <v>0</v>
      </c>
      <c r="H694" s="1477">
        <v>0</v>
      </c>
      <c r="I694" s="1257">
        <v>5000</v>
      </c>
      <c r="J694" s="1170"/>
      <c r="K694" s="884"/>
      <c r="L694" s="881"/>
    </row>
    <row r="695" spans="1:12" s="289" customFormat="1" ht="22.5" customHeight="1" x14ac:dyDescent="0.25">
      <c r="A695" s="745">
        <v>5511</v>
      </c>
      <c r="B695" s="790" t="s">
        <v>1503</v>
      </c>
      <c r="C695" s="1157">
        <v>2100000</v>
      </c>
      <c r="D695" s="555">
        <v>2100000</v>
      </c>
      <c r="E695" s="1169">
        <v>2100000</v>
      </c>
      <c r="F695" s="1169">
        <v>2029436</v>
      </c>
      <c r="G695" s="1170">
        <v>2029436</v>
      </c>
      <c r="H695" s="1477">
        <v>2029436</v>
      </c>
      <c r="I695" s="1257">
        <v>2300000</v>
      </c>
      <c r="J695" s="1170"/>
      <c r="K695" s="884"/>
      <c r="L695" s="881"/>
    </row>
    <row r="696" spans="1:12" s="289" customFormat="1" ht="36.75" x14ac:dyDescent="0.25">
      <c r="A696" s="745">
        <v>5512</v>
      </c>
      <c r="B696" s="790" t="s">
        <v>1504</v>
      </c>
      <c r="C696" s="1157">
        <v>125000</v>
      </c>
      <c r="D696" s="555">
        <v>125000</v>
      </c>
      <c r="E696" s="1169">
        <v>125000</v>
      </c>
      <c r="F696" s="1169">
        <v>125000</v>
      </c>
      <c r="G696" s="1170">
        <v>70492.490000000005</v>
      </c>
      <c r="H696" s="1477">
        <v>34976.69</v>
      </c>
      <c r="I696" s="1257">
        <v>125000</v>
      </c>
      <c r="J696" s="1170"/>
      <c r="K696" s="884"/>
      <c r="L696" s="881"/>
    </row>
    <row r="697" spans="1:12" s="289" customFormat="1" ht="15.75" x14ac:dyDescent="0.25">
      <c r="A697" s="745">
        <v>6112</v>
      </c>
      <c r="B697" s="790" t="s">
        <v>1169</v>
      </c>
      <c r="C697" s="1157">
        <v>0</v>
      </c>
      <c r="D697" s="555">
        <v>0</v>
      </c>
      <c r="E697" s="1169">
        <v>0</v>
      </c>
      <c r="F697" s="1169">
        <v>0</v>
      </c>
      <c r="G697" s="1170">
        <v>0</v>
      </c>
      <c r="H697" s="1477">
        <v>0</v>
      </c>
      <c r="I697" s="1257">
        <v>0</v>
      </c>
      <c r="J697" s="1170"/>
      <c r="K697" s="884"/>
      <c r="L697" s="881"/>
    </row>
    <row r="698" spans="1:12" s="289" customFormat="1" ht="12.75" customHeight="1" x14ac:dyDescent="0.25">
      <c r="A698" s="745">
        <v>6171</v>
      </c>
      <c r="B698" s="921" t="s">
        <v>725</v>
      </c>
      <c r="C698" s="1170">
        <f t="shared" ref="C698:I698" si="141">SUM(C699+C700+C701+C702+C703+C704+C705)</f>
        <v>26619210</v>
      </c>
      <c r="D698" s="555">
        <f t="shared" si="141"/>
        <v>26505118.509999998</v>
      </c>
      <c r="E698" s="555">
        <f t="shared" si="141"/>
        <v>26505118.509999998</v>
      </c>
      <c r="F698" s="1169">
        <f t="shared" si="141"/>
        <v>26505118.509999998</v>
      </c>
      <c r="G698" s="1169">
        <f t="shared" si="141"/>
        <v>16989264.399999999</v>
      </c>
      <c r="H698" s="1477">
        <f t="shared" si="141"/>
        <v>14108987.280000001</v>
      </c>
      <c r="I698" s="1171">
        <f t="shared" si="141"/>
        <v>30358624</v>
      </c>
      <c r="J698" s="995">
        <f>SUM(J699:J705)</f>
        <v>0</v>
      </c>
      <c r="K698" s="1270">
        <f>SUM(K699:K705)</f>
        <v>0</v>
      </c>
      <c r="L698" s="881"/>
    </row>
    <row r="699" spans="1:12" s="289" customFormat="1" ht="132" x14ac:dyDescent="0.25">
      <c r="A699" s="745"/>
      <c r="B699" s="976" t="s">
        <v>1505</v>
      </c>
      <c r="C699" s="1172">
        <v>18968500</v>
      </c>
      <c r="D699" s="560">
        <v>19149627.5</v>
      </c>
      <c r="E699" s="1160">
        <v>19149627.5</v>
      </c>
      <c r="F699" s="1160">
        <v>19149627.5</v>
      </c>
      <c r="G699" s="1173">
        <v>11969248.689999999</v>
      </c>
      <c r="H699" s="1474">
        <v>9828743.0299999993</v>
      </c>
      <c r="I699" s="1260">
        <v>21262500</v>
      </c>
      <c r="J699" s="1173"/>
      <c r="K699" s="1276"/>
      <c r="L699" s="881"/>
    </row>
    <row r="700" spans="1:12" s="289" customFormat="1" ht="15.75" x14ac:dyDescent="0.25">
      <c r="A700" s="745"/>
      <c r="B700" s="977" t="s">
        <v>1506</v>
      </c>
      <c r="C700" s="1172">
        <v>200000</v>
      </c>
      <c r="D700" s="560">
        <v>200000</v>
      </c>
      <c r="E700" s="1160">
        <v>200000</v>
      </c>
      <c r="F700" s="1160">
        <v>200000</v>
      </c>
      <c r="G700" s="1173">
        <v>0</v>
      </c>
      <c r="H700" s="1474">
        <v>0</v>
      </c>
      <c r="I700" s="1260">
        <v>1600000</v>
      </c>
      <c r="J700" s="1173"/>
      <c r="K700" s="1276"/>
      <c r="L700" s="881"/>
    </row>
    <row r="701" spans="1:12" s="116" customFormat="1" ht="48" x14ac:dyDescent="0.2">
      <c r="A701" s="801"/>
      <c r="B701" s="978" t="s">
        <v>1507</v>
      </c>
      <c r="C701" s="1172">
        <v>5480300</v>
      </c>
      <c r="D701" s="560">
        <v>4757626.47</v>
      </c>
      <c r="E701" s="1160">
        <v>4757626.47</v>
      </c>
      <c r="F701" s="1160">
        <v>4757626.47</v>
      </c>
      <c r="G701" s="1173">
        <v>2917481.68</v>
      </c>
      <c r="H701" s="1474">
        <v>2241685.8199999998</v>
      </c>
      <c r="I701" s="1260">
        <v>4682300</v>
      </c>
      <c r="J701" s="1173"/>
      <c r="K701" s="1276"/>
      <c r="L701" s="881"/>
    </row>
    <row r="702" spans="1:12" ht="24" x14ac:dyDescent="0.2">
      <c r="A702" s="801"/>
      <c r="B702" s="978" t="s">
        <v>1508</v>
      </c>
      <c r="C702" s="886">
        <v>1512810</v>
      </c>
      <c r="D702" s="127">
        <v>1940264.54</v>
      </c>
      <c r="E702" s="228">
        <v>1940264.54</v>
      </c>
      <c r="F702" s="228">
        <v>1940264.54</v>
      </c>
      <c r="G702" s="733">
        <v>1790264.54</v>
      </c>
      <c r="H702" s="457">
        <v>1790264.54</v>
      </c>
      <c r="I702" s="1088">
        <v>2192810</v>
      </c>
      <c r="J702" s="733"/>
      <c r="K702" s="1276"/>
      <c r="L702" s="881"/>
    </row>
    <row r="703" spans="1:12" x14ac:dyDescent="0.2">
      <c r="A703" s="801"/>
      <c r="B703" s="922" t="s">
        <v>1405</v>
      </c>
      <c r="C703" s="886">
        <v>200000</v>
      </c>
      <c r="D703" s="127">
        <v>200000</v>
      </c>
      <c r="E703" s="228">
        <v>200000</v>
      </c>
      <c r="F703" s="228">
        <v>200000</v>
      </c>
      <c r="G703" s="733">
        <v>135291.49</v>
      </c>
      <c r="H703" s="457">
        <v>107937.49</v>
      </c>
      <c r="I703" s="1088">
        <v>210000</v>
      </c>
      <c r="J703" s="733"/>
      <c r="K703" s="1276"/>
      <c r="L703" s="881"/>
    </row>
    <row r="704" spans="1:12" x14ac:dyDescent="0.2">
      <c r="A704" s="801"/>
      <c r="B704" s="922" t="s">
        <v>1406</v>
      </c>
      <c r="C704" s="886">
        <v>60000</v>
      </c>
      <c r="D704" s="127">
        <v>60000</v>
      </c>
      <c r="E704" s="228">
        <v>60000</v>
      </c>
      <c r="F704" s="228">
        <v>60000</v>
      </c>
      <c r="G704" s="733">
        <v>25742.720000000001</v>
      </c>
      <c r="H704" s="457">
        <v>20790.8</v>
      </c>
      <c r="I704" s="1088">
        <v>50000</v>
      </c>
      <c r="J704" s="950"/>
      <c r="K704" s="1276"/>
      <c r="L704" s="881"/>
    </row>
    <row r="705" spans="1:12" ht="24.75" x14ac:dyDescent="0.2">
      <c r="A705" s="801"/>
      <c r="B705" s="924" t="s">
        <v>1509</v>
      </c>
      <c r="C705" s="886">
        <v>197600</v>
      </c>
      <c r="D705" s="127">
        <v>197600</v>
      </c>
      <c r="E705" s="228">
        <v>197600</v>
      </c>
      <c r="F705" s="228">
        <v>197600</v>
      </c>
      <c r="G705" s="733">
        <v>151235.28</v>
      </c>
      <c r="H705" s="457">
        <v>119565.6</v>
      </c>
      <c r="I705" s="1088">
        <v>361014</v>
      </c>
      <c r="J705" s="708"/>
      <c r="K705" s="1276"/>
      <c r="L705" s="881"/>
    </row>
    <row r="706" spans="1:12" x14ac:dyDescent="0.2">
      <c r="A706" s="1010">
        <v>6221</v>
      </c>
      <c r="B706" s="789" t="s">
        <v>1168</v>
      </c>
      <c r="C706" s="885">
        <v>0</v>
      </c>
      <c r="D706" s="138">
        <v>14900650</v>
      </c>
      <c r="E706" s="439">
        <v>14900650</v>
      </c>
      <c r="F706" s="439">
        <v>14900650</v>
      </c>
      <c r="G706" s="718">
        <v>16046000</v>
      </c>
      <c r="H706" s="699">
        <v>14690650</v>
      </c>
      <c r="I706" s="1087">
        <v>0</v>
      </c>
      <c r="J706" s="708"/>
      <c r="K706" s="1276"/>
      <c r="L706" s="881"/>
    </row>
    <row r="707" spans="1:12" ht="12.75" customHeight="1" x14ac:dyDescent="0.2">
      <c r="A707" s="745">
        <v>6320</v>
      </c>
      <c r="B707" s="921" t="s">
        <v>1171</v>
      </c>
      <c r="C707" s="885">
        <v>1550000</v>
      </c>
      <c r="D707" s="138">
        <v>1550000</v>
      </c>
      <c r="E707" s="439">
        <v>1550000</v>
      </c>
      <c r="F707" s="712">
        <v>1550000</v>
      </c>
      <c r="G707" s="778">
        <v>947697</v>
      </c>
      <c r="H707" s="1097">
        <v>881350</v>
      </c>
      <c r="I707" s="1087">
        <v>1550000</v>
      </c>
      <c r="J707" s="776"/>
      <c r="K707" s="884"/>
      <c r="L707" s="881"/>
    </row>
    <row r="708" spans="1:12" ht="12.75" customHeight="1" thickBot="1" x14ac:dyDescent="0.25">
      <c r="A708" s="815"/>
      <c r="B708" s="979"/>
      <c r="C708" s="743"/>
      <c r="D708" s="715"/>
      <c r="E708" s="1500"/>
      <c r="F708" s="720"/>
      <c r="G708" s="734"/>
      <c r="H708" s="912"/>
      <c r="I708" s="907"/>
      <c r="J708" s="1064"/>
      <c r="K708" s="1350"/>
      <c r="L708" s="881"/>
    </row>
    <row r="709" spans="1:12" ht="21" thickBot="1" x14ac:dyDescent="0.35">
      <c r="A709" s="937"/>
      <c r="B709" s="954" t="s">
        <v>735</v>
      </c>
      <c r="C709" s="947">
        <f t="shared" ref="C709:I709" si="142">C710+C711+C712+C716</f>
        <v>166347060</v>
      </c>
      <c r="D709" s="947">
        <f t="shared" si="142"/>
        <v>166938562</v>
      </c>
      <c r="E709" s="1245">
        <f t="shared" si="142"/>
        <v>166935662</v>
      </c>
      <c r="F709" s="2114">
        <f t="shared" si="142"/>
        <v>166935662</v>
      </c>
      <c r="G709" s="1892">
        <f t="shared" si="142"/>
        <v>131476589.47</v>
      </c>
      <c r="H709" s="1070">
        <f t="shared" si="142"/>
        <v>106041226.92</v>
      </c>
      <c r="I709" s="947">
        <f t="shared" si="142"/>
        <v>171743160</v>
      </c>
      <c r="J709" s="1065">
        <f t="shared" ref="J709:K709" si="143">J711+J712+J716+J710</f>
        <v>0</v>
      </c>
      <c r="K709" s="1351">
        <f t="shared" si="143"/>
        <v>0</v>
      </c>
    </row>
    <row r="710" spans="1:12" s="116" customFormat="1" x14ac:dyDescent="0.2">
      <c r="A710" s="725">
        <v>3341</v>
      </c>
      <c r="B710" s="878" t="s">
        <v>1625</v>
      </c>
      <c r="C710" s="1182">
        <v>2601000</v>
      </c>
      <c r="D710" s="2032">
        <v>3109200</v>
      </c>
      <c r="E710" s="2033">
        <v>3109200</v>
      </c>
      <c r="F710" s="1745">
        <v>3109200</v>
      </c>
      <c r="G710" s="2110">
        <v>2465012</v>
      </c>
      <c r="H710" s="1045">
        <v>1962862</v>
      </c>
      <c r="I710" s="1261">
        <v>3109200</v>
      </c>
      <c r="J710" s="1317"/>
      <c r="K710" s="1296"/>
    </row>
    <row r="711" spans="1:12" s="116" customFormat="1" ht="36.75" x14ac:dyDescent="0.2">
      <c r="A711" s="745">
        <v>6112</v>
      </c>
      <c r="B711" s="790" t="s">
        <v>1948</v>
      </c>
      <c r="C711" s="1182">
        <v>9066800</v>
      </c>
      <c r="D711" s="2034">
        <v>9569800</v>
      </c>
      <c r="E711" s="1246">
        <v>9569800</v>
      </c>
      <c r="F711" s="2115">
        <v>9569800</v>
      </c>
      <c r="G711" s="2110">
        <v>7680571.4699999997</v>
      </c>
      <c r="H711" s="1478">
        <v>6093509.4699999997</v>
      </c>
      <c r="I711" s="1261">
        <f>30000+8520000+1046560+766800+12000+10000+500+20000+200000+7000+90000+30000</f>
        <v>10732860</v>
      </c>
      <c r="J711" s="1383"/>
      <c r="K711" s="878"/>
    </row>
    <row r="712" spans="1:12" x14ac:dyDescent="0.2">
      <c r="A712" s="745">
        <v>6171</v>
      </c>
      <c r="B712" s="921" t="s">
        <v>725</v>
      </c>
      <c r="C712" s="1182">
        <f t="shared" ref="C712:K712" si="144">SUM(C713:C715)</f>
        <v>148579260</v>
      </c>
      <c r="D712" s="2034">
        <f t="shared" si="144"/>
        <v>148253562</v>
      </c>
      <c r="E712" s="1246">
        <f>+E713+E714+E715</f>
        <v>148250662</v>
      </c>
      <c r="F712" s="2115">
        <f t="shared" si="144"/>
        <v>148250662</v>
      </c>
      <c r="G712" s="2110">
        <f>+G713+G714+G715</f>
        <v>115325006</v>
      </c>
      <c r="H712" s="1478">
        <f t="shared" si="144"/>
        <v>93480198</v>
      </c>
      <c r="I712" s="1261">
        <f t="shared" si="144"/>
        <v>151901100</v>
      </c>
      <c r="J712" s="1139">
        <f t="shared" si="144"/>
        <v>0</v>
      </c>
      <c r="K712" s="1139">
        <f t="shared" si="144"/>
        <v>0</v>
      </c>
    </row>
    <row r="713" spans="1:12" ht="48" x14ac:dyDescent="0.2">
      <c r="A713" s="938"/>
      <c r="B713" s="980" t="s">
        <v>1627</v>
      </c>
      <c r="C713" s="1053">
        <f>130618600+94000</f>
        <v>130712600</v>
      </c>
      <c r="D713" s="2035">
        <f>91400000+10000+1300000+10000+22793173+8271729+490000+1000+967000+15000+20000+2470000+392000+231000+40000+2200000</f>
        <v>130610902</v>
      </c>
      <c r="E713" s="2036">
        <f>91400000+10000+1300000+10000+22793173+8271729+490000+1000+966600+15000+20000+2470000+393000+227000+40000+2200000+500</f>
        <v>130608002</v>
      </c>
      <c r="F713" s="2116">
        <v>130608002</v>
      </c>
      <c r="G713" s="2111">
        <f>72144979+0+744162+0+18120513+6580628+422297+0+713805+6240+11600+2172456+368909+102200+0+867445+200</f>
        <v>102255434</v>
      </c>
      <c r="H713" s="1176">
        <f>58326000+0+595000+0+14646000+5319000+422000+0+703000+141000+9000+1698000+250000+71000+0+805000</f>
        <v>82985000</v>
      </c>
      <c r="I713" s="1099">
        <f>93200000+10000+1400000+10000+23460800+8514000+520000+1000+900000+50000+20000+50000+2600000+350000+15000+204000+40000+2000000</f>
        <v>133344800</v>
      </c>
      <c r="J713" s="1191"/>
      <c r="K713" s="973"/>
    </row>
    <row r="714" spans="1:12" ht="23.25" customHeight="1" x14ac:dyDescent="0.25">
      <c r="A714" s="1041"/>
      <c r="B714" s="924" t="s">
        <v>1626</v>
      </c>
      <c r="C714" s="1053">
        <v>9025940</v>
      </c>
      <c r="D714" s="2035">
        <v>9025940</v>
      </c>
      <c r="E714" s="2036">
        <v>9025940</v>
      </c>
      <c r="F714" s="2116">
        <v>9025940</v>
      </c>
      <c r="G714" s="2111">
        <v>7145805</v>
      </c>
      <c r="H714" s="1176">
        <v>5686885</v>
      </c>
      <c r="I714" s="1099">
        <f>6900000+30000+1718600+623700+180000+10000</f>
        <v>9462300</v>
      </c>
      <c r="J714" s="1276"/>
      <c r="K714" s="1252"/>
    </row>
    <row r="715" spans="1:12" ht="36.75" x14ac:dyDescent="0.25">
      <c r="A715" s="1041"/>
      <c r="B715" s="789" t="s">
        <v>1949</v>
      </c>
      <c r="C715" s="1053">
        <f>8934720-94000</f>
        <v>8840720</v>
      </c>
      <c r="D715" s="2037">
        <f>8616720</f>
        <v>8616720</v>
      </c>
      <c r="E715" s="1444">
        <v>8616720</v>
      </c>
      <c r="F715" s="2000">
        <v>8616720</v>
      </c>
      <c r="G715" s="2112">
        <v>5923767</v>
      </c>
      <c r="H715" s="1176">
        <v>4808313</v>
      </c>
      <c r="I715" s="1099">
        <f>4067000+60000+21000+3140000+206000+100000+285000+1150000+30000+26000+9000</f>
        <v>9094000</v>
      </c>
      <c r="J715" s="1276"/>
      <c r="K715" s="973"/>
    </row>
    <row r="716" spans="1:12" ht="13.5" thickBot="1" x14ac:dyDescent="0.25">
      <c r="A716" s="745">
        <v>6330</v>
      </c>
      <c r="B716" s="921" t="s">
        <v>740</v>
      </c>
      <c r="C716" s="2109">
        <v>6100000</v>
      </c>
      <c r="D716" s="2034">
        <v>6006000</v>
      </c>
      <c r="E716" s="1246">
        <v>6006000</v>
      </c>
      <c r="F716" s="2115">
        <v>6006000</v>
      </c>
      <c r="G716" s="2113">
        <v>6006000</v>
      </c>
      <c r="H716" s="2038">
        <v>4504657.45</v>
      </c>
      <c r="I716" s="1715">
        <v>6000000</v>
      </c>
      <c r="J716" s="1406"/>
      <c r="K716" s="1352"/>
    </row>
    <row r="717" spans="1:12" ht="13.5" thickBot="1" x14ac:dyDescent="0.25">
      <c r="A717" s="1008"/>
      <c r="B717" s="981"/>
      <c r="C717" s="1081"/>
      <c r="D717" s="1716"/>
      <c r="E717" s="1717"/>
      <c r="F717" s="1866"/>
      <c r="G717" s="2107"/>
      <c r="H717" s="2107"/>
      <c r="I717" s="1081"/>
      <c r="J717" s="2108"/>
      <c r="K717" s="1352"/>
    </row>
    <row r="718" spans="1:12" ht="21" thickBot="1" x14ac:dyDescent="0.35">
      <c r="A718" s="937"/>
      <c r="B718" s="954" t="s">
        <v>43</v>
      </c>
      <c r="C718" s="1061">
        <f t="shared" ref="C718:I718" si="145">C719+C735</f>
        <v>15923250</v>
      </c>
      <c r="D718" s="728">
        <f t="shared" si="145"/>
        <v>15923250</v>
      </c>
      <c r="E718" s="728">
        <f t="shared" si="145"/>
        <v>14022694.890000001</v>
      </c>
      <c r="F718" s="747">
        <f t="shared" si="145"/>
        <v>13310577.110000001</v>
      </c>
      <c r="G718" s="2044">
        <f t="shared" si="145"/>
        <v>13145809.810000001</v>
      </c>
      <c r="H718" s="1479">
        <f t="shared" si="145"/>
        <v>12832641.470000001</v>
      </c>
      <c r="I718" s="1407">
        <f t="shared" si="145"/>
        <v>17006123</v>
      </c>
      <c r="J718" s="1353">
        <f>J719+J754</f>
        <v>7939500</v>
      </c>
      <c r="K718" s="1353">
        <f>K719+K754</f>
        <v>7939500</v>
      </c>
    </row>
    <row r="719" spans="1:12" ht="16.5" thickBot="1" x14ac:dyDescent="0.3">
      <c r="A719" s="937"/>
      <c r="B719" s="958" t="s">
        <v>741</v>
      </c>
      <c r="C719" s="1062">
        <f t="shared" ref="C719:K719" si="146">C720+C721+C722+C725+C727+C733+C734</f>
        <v>1300000</v>
      </c>
      <c r="D719" s="1062">
        <f t="shared" si="146"/>
        <v>1300000</v>
      </c>
      <c r="E719" s="1062">
        <f t="shared" si="146"/>
        <v>1330000</v>
      </c>
      <c r="F719" s="1445">
        <f t="shared" si="146"/>
        <v>1057881.33</v>
      </c>
      <c r="G719" s="1488">
        <f t="shared" si="146"/>
        <v>893114.03</v>
      </c>
      <c r="H719" s="1480">
        <f t="shared" si="146"/>
        <v>666880.58000000007</v>
      </c>
      <c r="I719" s="1408">
        <f>I720+I721+I722+I725+I727+I733+I734</f>
        <v>1297000</v>
      </c>
      <c r="J719" s="1408">
        <f t="shared" si="146"/>
        <v>1297000</v>
      </c>
      <c r="K719" s="1354">
        <f t="shared" si="146"/>
        <v>1297000</v>
      </c>
    </row>
    <row r="720" spans="1:12" x14ac:dyDescent="0.2">
      <c r="A720" s="745">
        <v>3613</v>
      </c>
      <c r="B720" s="921" t="s">
        <v>1778</v>
      </c>
      <c r="C720" s="885">
        <v>3000</v>
      </c>
      <c r="D720" s="138">
        <v>3000</v>
      </c>
      <c r="E720" s="439">
        <v>3000</v>
      </c>
      <c r="F720" s="439">
        <v>3171.6</v>
      </c>
      <c r="G720" s="2041">
        <v>3171.6</v>
      </c>
      <c r="H720" s="699">
        <v>0</v>
      </c>
      <c r="I720" s="1089">
        <v>7000</v>
      </c>
      <c r="J720" s="1139">
        <v>7000</v>
      </c>
      <c r="K720" s="1139">
        <v>7000</v>
      </c>
    </row>
    <row r="721" spans="1:12" s="289" customFormat="1" ht="15.75" x14ac:dyDescent="0.25">
      <c r="A721" s="745">
        <v>3632</v>
      </c>
      <c r="B721" s="921" t="s">
        <v>1407</v>
      </c>
      <c r="C721" s="885">
        <v>200000</v>
      </c>
      <c r="D721" s="138">
        <v>200000</v>
      </c>
      <c r="E721" s="439">
        <v>250000</v>
      </c>
      <c r="F721" s="439">
        <v>250000</v>
      </c>
      <c r="G721" s="1262">
        <v>213474.25</v>
      </c>
      <c r="H721" s="699">
        <v>145206.25</v>
      </c>
      <c r="I721" s="1089">
        <v>270000</v>
      </c>
      <c r="J721" s="1139">
        <v>270000</v>
      </c>
      <c r="K721" s="1139">
        <v>270000</v>
      </c>
    </row>
    <row r="722" spans="1:12" s="289" customFormat="1" ht="12.75" customHeight="1" x14ac:dyDescent="0.25">
      <c r="A722" s="745">
        <v>4329</v>
      </c>
      <c r="B722" s="921" t="s">
        <v>745</v>
      </c>
      <c r="C722" s="718">
        <f>SUM(C723:C724)</f>
        <v>258000</v>
      </c>
      <c r="D722" s="138">
        <f t="shared" ref="D722:K722" si="147">SUM(D723:D724)</f>
        <v>258000</v>
      </c>
      <c r="E722" s="138">
        <f t="shared" si="147"/>
        <v>258000</v>
      </c>
      <c r="F722" s="439">
        <f t="shared" si="147"/>
        <v>218800</v>
      </c>
      <c r="G722" s="138">
        <f t="shared" si="147"/>
        <v>218241.1</v>
      </c>
      <c r="H722" s="699">
        <f t="shared" si="147"/>
        <v>216620.6</v>
      </c>
      <c r="I722" s="718">
        <f t="shared" si="147"/>
        <v>258000</v>
      </c>
      <c r="J722" s="884">
        <f t="shared" si="147"/>
        <v>258000</v>
      </c>
      <c r="K722" s="884">
        <f t="shared" si="147"/>
        <v>258000</v>
      </c>
    </row>
    <row r="723" spans="1:12" s="116" customFormat="1" x14ac:dyDescent="0.2">
      <c r="A723" s="745"/>
      <c r="B723" s="923" t="s">
        <v>1111</v>
      </c>
      <c r="C723" s="886">
        <v>8000</v>
      </c>
      <c r="D723" s="127">
        <v>8000</v>
      </c>
      <c r="E723" s="228">
        <v>8000</v>
      </c>
      <c r="F723" s="228">
        <v>8000</v>
      </c>
      <c r="G723" s="1263">
        <v>7441.1</v>
      </c>
      <c r="H723" s="457">
        <v>5820.6</v>
      </c>
      <c r="I723" s="1090">
        <v>8000</v>
      </c>
      <c r="J723" s="1094">
        <v>8000</v>
      </c>
      <c r="K723" s="1094">
        <v>8000</v>
      </c>
    </row>
    <row r="724" spans="1:12" s="116" customFormat="1" x14ac:dyDescent="0.2">
      <c r="A724" s="745"/>
      <c r="B724" s="923" t="s">
        <v>1221</v>
      </c>
      <c r="C724" s="886">
        <v>250000</v>
      </c>
      <c r="D724" s="127">
        <v>250000</v>
      </c>
      <c r="E724" s="228">
        <v>250000</v>
      </c>
      <c r="F724" s="228">
        <v>210800</v>
      </c>
      <c r="G724" s="1263">
        <v>210800</v>
      </c>
      <c r="H724" s="457">
        <v>210800</v>
      </c>
      <c r="I724" s="1090">
        <v>250000</v>
      </c>
      <c r="J724" s="1094">
        <v>250000</v>
      </c>
      <c r="K724" s="1094">
        <v>250000</v>
      </c>
    </row>
    <row r="725" spans="1:12" x14ac:dyDescent="0.2">
      <c r="A725" s="745">
        <v>4349</v>
      </c>
      <c r="B725" s="921" t="s">
        <v>753</v>
      </c>
      <c r="C725" s="718">
        <f>SUM(C726:C726)</f>
        <v>300000</v>
      </c>
      <c r="D725" s="138">
        <f t="shared" ref="D725:K725" si="148">SUM(D726:D726)</f>
        <v>300000</v>
      </c>
      <c r="E725" s="138">
        <f t="shared" si="148"/>
        <v>300000</v>
      </c>
      <c r="F725" s="439">
        <f t="shared" si="148"/>
        <v>150000</v>
      </c>
      <c r="G725" s="138">
        <f t="shared" si="148"/>
        <v>116640.46</v>
      </c>
      <c r="H725" s="699">
        <f t="shared" si="148"/>
        <v>6274.9</v>
      </c>
      <c r="I725" s="718">
        <f t="shared" si="148"/>
        <v>300000</v>
      </c>
      <c r="J725" s="884">
        <f t="shared" si="148"/>
        <v>300000</v>
      </c>
      <c r="K725" s="884">
        <f t="shared" si="148"/>
        <v>300000</v>
      </c>
    </row>
    <row r="726" spans="1:12" x14ac:dyDescent="0.2">
      <c r="A726" s="801"/>
      <c r="B726" s="922" t="s">
        <v>1222</v>
      </c>
      <c r="C726" s="886">
        <v>300000</v>
      </c>
      <c r="D726" s="127">
        <v>300000</v>
      </c>
      <c r="E726" s="228">
        <v>300000</v>
      </c>
      <c r="F726" s="228">
        <v>150000</v>
      </c>
      <c r="G726" s="1263">
        <v>116640.46</v>
      </c>
      <c r="H726" s="457">
        <v>6274.9</v>
      </c>
      <c r="I726" s="1090">
        <v>300000</v>
      </c>
      <c r="J726" s="1317">
        <v>300000</v>
      </c>
      <c r="K726" s="1317">
        <v>300000</v>
      </c>
    </row>
    <row r="727" spans="1:12" s="116" customFormat="1" x14ac:dyDescent="0.2">
      <c r="A727" s="745">
        <v>4379</v>
      </c>
      <c r="B727" s="921" t="s">
        <v>760</v>
      </c>
      <c r="C727" s="718">
        <f t="shared" ref="C727:K727" si="149">SUM(C728:C732)</f>
        <v>434000</v>
      </c>
      <c r="D727" s="138">
        <f t="shared" si="149"/>
        <v>484000</v>
      </c>
      <c r="E727" s="138">
        <f t="shared" si="149"/>
        <v>514000</v>
      </c>
      <c r="F727" s="439">
        <f t="shared" si="149"/>
        <v>433443.73</v>
      </c>
      <c r="G727" s="138">
        <f t="shared" si="149"/>
        <v>339120.62</v>
      </c>
      <c r="H727" s="699">
        <f t="shared" si="149"/>
        <v>296312.83</v>
      </c>
      <c r="I727" s="718">
        <f t="shared" si="149"/>
        <v>359000</v>
      </c>
      <c r="J727" s="884">
        <f t="shared" si="149"/>
        <v>359000</v>
      </c>
      <c r="K727" s="884">
        <f t="shared" si="149"/>
        <v>359000</v>
      </c>
    </row>
    <row r="728" spans="1:12" x14ac:dyDescent="0.2">
      <c r="A728" s="801"/>
      <c r="B728" s="922" t="s">
        <v>1108</v>
      </c>
      <c r="C728" s="886">
        <v>209000</v>
      </c>
      <c r="D728" s="127">
        <v>209000</v>
      </c>
      <c r="E728" s="228">
        <v>239000</v>
      </c>
      <c r="F728" s="228">
        <v>230000</v>
      </c>
      <c r="G728" s="1263">
        <v>166771.25</v>
      </c>
      <c r="H728" s="457">
        <v>136196.29999999999</v>
      </c>
      <c r="I728" s="1090">
        <v>229000</v>
      </c>
      <c r="J728" s="1276">
        <v>229000</v>
      </c>
      <c r="K728" s="1273">
        <v>229000</v>
      </c>
    </row>
    <row r="729" spans="1:12" s="517" customFormat="1" x14ac:dyDescent="0.2">
      <c r="A729" s="801"/>
      <c r="B729" s="922" t="s">
        <v>1071</v>
      </c>
      <c r="C729" s="886">
        <v>62000</v>
      </c>
      <c r="D729" s="127">
        <v>62000</v>
      </c>
      <c r="E729" s="228">
        <v>62000</v>
      </c>
      <c r="F729" s="228">
        <v>50000</v>
      </c>
      <c r="G729" s="1263">
        <v>41100.29</v>
      </c>
      <c r="H729" s="457">
        <v>34267.449999999997</v>
      </c>
      <c r="I729" s="1090">
        <v>65000</v>
      </c>
      <c r="J729" s="1191">
        <v>65000</v>
      </c>
      <c r="K729" s="1273">
        <v>65000</v>
      </c>
    </row>
    <row r="730" spans="1:12" x14ac:dyDescent="0.2">
      <c r="A730" s="801"/>
      <c r="B730" s="922" t="s">
        <v>1072</v>
      </c>
      <c r="C730" s="886">
        <v>53000</v>
      </c>
      <c r="D730" s="127">
        <v>53000</v>
      </c>
      <c r="E730" s="228">
        <v>53000</v>
      </c>
      <c r="F730" s="228">
        <v>48000</v>
      </c>
      <c r="G730" s="1263">
        <v>35805.35</v>
      </c>
      <c r="H730" s="457">
        <v>30405.35</v>
      </c>
      <c r="I730" s="1090">
        <v>55000</v>
      </c>
      <c r="J730" s="1191">
        <v>55000</v>
      </c>
      <c r="K730" s="1273">
        <v>55000</v>
      </c>
    </row>
    <row r="731" spans="1:12" s="116" customFormat="1" x14ac:dyDescent="0.2">
      <c r="A731" s="801"/>
      <c r="B731" s="922" t="s">
        <v>1073</v>
      </c>
      <c r="C731" s="886">
        <v>10000</v>
      </c>
      <c r="D731" s="127">
        <v>10000</v>
      </c>
      <c r="E731" s="228">
        <v>10000</v>
      </c>
      <c r="F731" s="228">
        <v>10000</v>
      </c>
      <c r="G731" s="1263">
        <v>0</v>
      </c>
      <c r="H731" s="457">
        <v>0</v>
      </c>
      <c r="I731" s="1090">
        <v>10000</v>
      </c>
      <c r="J731" s="1276">
        <v>10000</v>
      </c>
      <c r="K731" s="1273">
        <v>10000</v>
      </c>
    </row>
    <row r="732" spans="1:12" s="116" customFormat="1" x14ac:dyDescent="0.2">
      <c r="A732" s="801"/>
      <c r="B732" s="922" t="s">
        <v>1109</v>
      </c>
      <c r="C732" s="886">
        <v>100000</v>
      </c>
      <c r="D732" s="127">
        <v>150000</v>
      </c>
      <c r="E732" s="228">
        <v>150000</v>
      </c>
      <c r="F732" s="228">
        <v>95443.73</v>
      </c>
      <c r="G732" s="1263">
        <v>95443.73</v>
      </c>
      <c r="H732" s="457">
        <v>95443.73</v>
      </c>
      <c r="I732" s="1090">
        <v>0</v>
      </c>
      <c r="J732" s="1276">
        <v>0</v>
      </c>
      <c r="K732" s="1273">
        <v>0</v>
      </c>
    </row>
    <row r="733" spans="1:12" x14ac:dyDescent="0.2">
      <c r="A733" s="745">
        <v>4399</v>
      </c>
      <c r="B733" s="921" t="s">
        <v>1408</v>
      </c>
      <c r="C733" s="885">
        <v>5000</v>
      </c>
      <c r="D733" s="138">
        <v>5000</v>
      </c>
      <c r="E733" s="439">
        <v>5000</v>
      </c>
      <c r="F733" s="439">
        <v>2466</v>
      </c>
      <c r="G733" s="1262">
        <v>2466</v>
      </c>
      <c r="H733" s="699">
        <v>2466</v>
      </c>
      <c r="I733" s="1089">
        <v>3000</v>
      </c>
      <c r="J733" s="884">
        <v>3000</v>
      </c>
      <c r="K733" s="1066">
        <v>3000</v>
      </c>
    </row>
    <row r="734" spans="1:12" ht="13.5" thickBot="1" x14ac:dyDescent="0.25">
      <c r="A734" s="1008">
        <v>6409</v>
      </c>
      <c r="B734" s="981" t="s">
        <v>1110</v>
      </c>
      <c r="C734" s="740">
        <v>100000</v>
      </c>
      <c r="D734" s="442">
        <v>50000</v>
      </c>
      <c r="E734" s="443">
        <v>0</v>
      </c>
      <c r="F734" s="443">
        <v>0</v>
      </c>
      <c r="G734" s="2042">
        <v>0</v>
      </c>
      <c r="H734" s="916">
        <v>0</v>
      </c>
      <c r="I734" s="740">
        <v>100000</v>
      </c>
      <c r="J734" s="1141">
        <v>100000</v>
      </c>
      <c r="K734" s="1067">
        <v>100000</v>
      </c>
    </row>
    <row r="735" spans="1:12" ht="16.5" thickBot="1" x14ac:dyDescent="0.3">
      <c r="A735" s="937"/>
      <c r="B735" s="958" t="s">
        <v>767</v>
      </c>
      <c r="C735" s="1055">
        <f>C736</f>
        <v>14623250</v>
      </c>
      <c r="D735" s="449">
        <f t="shared" ref="D735:K735" si="150">D736</f>
        <v>14623250</v>
      </c>
      <c r="E735" s="1446">
        <f t="shared" si="150"/>
        <v>12692694.890000001</v>
      </c>
      <c r="F735" s="1446">
        <f t="shared" si="150"/>
        <v>12252695.780000001</v>
      </c>
      <c r="G735" s="2043">
        <f t="shared" si="150"/>
        <v>12252695.780000001</v>
      </c>
      <c r="H735" s="1456">
        <f t="shared" si="150"/>
        <v>12165760.890000001</v>
      </c>
      <c r="I735" s="1390">
        <f t="shared" si="150"/>
        <v>15709123</v>
      </c>
      <c r="J735" s="1322">
        <f t="shared" si="150"/>
        <v>16070123</v>
      </c>
      <c r="K735" s="1322">
        <f t="shared" si="150"/>
        <v>16070123</v>
      </c>
    </row>
    <row r="736" spans="1:12" x14ac:dyDescent="0.2">
      <c r="A736" s="1007"/>
      <c r="B736" s="956" t="s">
        <v>768</v>
      </c>
      <c r="C736" s="718">
        <f>SUM(C737:C748)</f>
        <v>14623250</v>
      </c>
      <c r="D736" s="138">
        <f>SUM(D737:D748)</f>
        <v>14623250</v>
      </c>
      <c r="E736" s="439">
        <f>SUM(E737:E748)</f>
        <v>12692694.890000001</v>
      </c>
      <c r="F736" s="439">
        <f>SUM(F737:F748)</f>
        <v>12252695.780000001</v>
      </c>
      <c r="G736" s="138">
        <f>SUM(G737:G748)</f>
        <v>12252695.780000001</v>
      </c>
      <c r="H736" s="699">
        <f t="shared" ref="H736:K736" si="151">SUM(H737:H748)</f>
        <v>12165760.890000001</v>
      </c>
      <c r="I736" s="1262">
        <f t="shared" si="151"/>
        <v>15709123</v>
      </c>
      <c r="J736" s="752">
        <f t="shared" si="151"/>
        <v>16070123</v>
      </c>
      <c r="K736" s="884">
        <f t="shared" si="151"/>
        <v>16070123</v>
      </c>
      <c r="L736" s="881"/>
    </row>
    <row r="737" spans="1:12" s="116" customFormat="1" x14ac:dyDescent="0.2">
      <c r="A737" s="1007"/>
      <c r="B737" s="922" t="s">
        <v>769</v>
      </c>
      <c r="C737" s="886">
        <v>420000</v>
      </c>
      <c r="D737" s="127">
        <v>263000</v>
      </c>
      <c r="E737" s="1116">
        <v>263000</v>
      </c>
      <c r="F737" s="1116">
        <v>221700</v>
      </c>
      <c r="G737" s="1090">
        <v>221700</v>
      </c>
      <c r="H737" s="1119">
        <v>221700</v>
      </c>
      <c r="I737" s="1090">
        <v>129000</v>
      </c>
      <c r="J737" s="1191">
        <v>420000</v>
      </c>
      <c r="K737" s="1355">
        <v>420000</v>
      </c>
    </row>
    <row r="738" spans="1:12" x14ac:dyDescent="0.2">
      <c r="A738" s="1007"/>
      <c r="B738" s="922" t="s">
        <v>770</v>
      </c>
      <c r="C738" s="886">
        <v>170000</v>
      </c>
      <c r="D738" s="127">
        <v>170000</v>
      </c>
      <c r="E738" s="228">
        <v>170000</v>
      </c>
      <c r="F738" s="228">
        <v>149500</v>
      </c>
      <c r="G738" s="733">
        <v>149500</v>
      </c>
      <c r="H738" s="457">
        <v>147010</v>
      </c>
      <c r="I738" s="1090">
        <v>200000</v>
      </c>
      <c r="J738" s="1191">
        <v>200000</v>
      </c>
      <c r="K738" s="1274">
        <v>200000</v>
      </c>
    </row>
    <row r="739" spans="1:12" x14ac:dyDescent="0.2">
      <c r="A739" s="1007"/>
      <c r="B739" s="922" t="s">
        <v>1450</v>
      </c>
      <c r="C739" s="886">
        <v>8008175</v>
      </c>
      <c r="D739" s="127">
        <v>8008175</v>
      </c>
      <c r="E739" s="228">
        <v>8008175</v>
      </c>
      <c r="F739" s="228">
        <v>7781900</v>
      </c>
      <c r="G739" s="733">
        <v>7781900</v>
      </c>
      <c r="H739" s="457">
        <v>7781900</v>
      </c>
      <c r="I739" s="1090">
        <v>9749028</v>
      </c>
      <c r="J739" s="1191">
        <v>9749028</v>
      </c>
      <c r="K739" s="1273">
        <v>9749028</v>
      </c>
    </row>
    <row r="740" spans="1:12" x14ac:dyDescent="0.2">
      <c r="A740" s="1007"/>
      <c r="B740" s="922" t="s">
        <v>1451</v>
      </c>
      <c r="C740" s="886">
        <v>1102075</v>
      </c>
      <c r="D740" s="127">
        <v>1102075</v>
      </c>
      <c r="E740" s="228">
        <v>1102075</v>
      </c>
      <c r="F740" s="228">
        <v>1096000</v>
      </c>
      <c r="G740" s="733">
        <v>1096000</v>
      </c>
      <c r="H740" s="457">
        <v>1096000</v>
      </c>
      <c r="I740" s="1090">
        <v>1853095</v>
      </c>
      <c r="J740" s="1304">
        <v>1853095</v>
      </c>
      <c r="K740" s="1274">
        <v>1853095</v>
      </c>
    </row>
    <row r="741" spans="1:12" x14ac:dyDescent="0.2">
      <c r="A741" s="1007"/>
      <c r="B741" s="922" t="s">
        <v>773</v>
      </c>
      <c r="C741" s="886">
        <v>200000</v>
      </c>
      <c r="D741" s="127">
        <v>151094</v>
      </c>
      <c r="E741" s="228">
        <v>151094</v>
      </c>
      <c r="F741" s="228">
        <v>135000</v>
      </c>
      <c r="G741" s="733">
        <v>135000</v>
      </c>
      <c r="H741" s="457">
        <v>135000</v>
      </c>
      <c r="I741" s="1090">
        <v>135000</v>
      </c>
      <c r="J741" s="1191">
        <v>200000</v>
      </c>
      <c r="K741" s="1273">
        <v>200000</v>
      </c>
    </row>
    <row r="742" spans="1:12" x14ac:dyDescent="0.2">
      <c r="A742" s="1007"/>
      <c r="B742" s="922" t="s">
        <v>774</v>
      </c>
      <c r="C742" s="886">
        <v>220000</v>
      </c>
      <c r="D742" s="127">
        <v>220000</v>
      </c>
      <c r="E742" s="228">
        <v>220000</v>
      </c>
      <c r="F742" s="228">
        <v>210000</v>
      </c>
      <c r="G742" s="733">
        <v>210000</v>
      </c>
      <c r="H742" s="457">
        <v>210000</v>
      </c>
      <c r="I742" s="1090">
        <v>235000</v>
      </c>
      <c r="J742" s="1191">
        <v>240000</v>
      </c>
      <c r="K742" s="1273">
        <v>240000</v>
      </c>
    </row>
    <row r="743" spans="1:12" x14ac:dyDescent="0.2">
      <c r="A743" s="1007"/>
      <c r="B743" s="922" t="s">
        <v>1112</v>
      </c>
      <c r="C743" s="886">
        <v>2000000</v>
      </c>
      <c r="D743" s="127">
        <v>2000000</v>
      </c>
      <c r="E743" s="228">
        <v>2000</v>
      </c>
      <c r="F743" s="228">
        <v>0</v>
      </c>
      <c r="G743" s="733">
        <v>0</v>
      </c>
      <c r="H743" s="457">
        <v>0</v>
      </c>
      <c r="I743" s="1090">
        <v>1000000</v>
      </c>
      <c r="J743" s="1191">
        <v>1000000</v>
      </c>
      <c r="K743" s="1273">
        <v>1000000</v>
      </c>
    </row>
    <row r="744" spans="1:12" x14ac:dyDescent="0.2">
      <c r="A744" s="745"/>
      <c r="B744" s="922" t="s">
        <v>775</v>
      </c>
      <c r="C744" s="886">
        <v>150000</v>
      </c>
      <c r="D744" s="127">
        <v>150000</v>
      </c>
      <c r="E744" s="228">
        <v>150000</v>
      </c>
      <c r="F744" s="228">
        <v>67444.89</v>
      </c>
      <c r="G744" s="733">
        <v>67444.89</v>
      </c>
      <c r="H744" s="457">
        <v>50444.89</v>
      </c>
      <c r="I744" s="1090">
        <v>50000</v>
      </c>
      <c r="J744" s="1304">
        <v>50000</v>
      </c>
      <c r="K744" s="1273">
        <v>50000</v>
      </c>
    </row>
    <row r="745" spans="1:12" ht="24.75" customHeight="1" x14ac:dyDescent="0.2">
      <c r="A745" s="745"/>
      <c r="B745" s="982" t="s">
        <v>1950</v>
      </c>
      <c r="C745" s="886">
        <v>0</v>
      </c>
      <c r="D745" s="419">
        <v>0</v>
      </c>
      <c r="E745" s="407">
        <v>0</v>
      </c>
      <c r="F745" s="228">
        <v>0</v>
      </c>
      <c r="G745" s="733">
        <v>0</v>
      </c>
      <c r="H745" s="457">
        <v>0</v>
      </c>
      <c r="I745" s="1090">
        <v>0</v>
      </c>
      <c r="J745" s="1191"/>
      <c r="K745" s="1355"/>
    </row>
    <row r="746" spans="1:12" ht="24.75" customHeight="1" x14ac:dyDescent="0.2">
      <c r="A746" s="745"/>
      <c r="B746" s="982" t="s">
        <v>1113</v>
      </c>
      <c r="C746" s="886">
        <v>2310000</v>
      </c>
      <c r="D746" s="419">
        <v>2310000</v>
      </c>
      <c r="E746" s="407">
        <v>2310000</v>
      </c>
      <c r="F746" s="228">
        <v>2274800</v>
      </c>
      <c r="G746" s="733">
        <v>2274800</v>
      </c>
      <c r="H746" s="457">
        <v>2274800</v>
      </c>
      <c r="I746" s="1090">
        <v>2310000</v>
      </c>
      <c r="J746" s="1276">
        <v>2310000</v>
      </c>
      <c r="K746" s="1179">
        <v>2310000</v>
      </c>
    </row>
    <row r="747" spans="1:12" x14ac:dyDescent="0.2">
      <c r="A747" s="745"/>
      <c r="B747" s="922" t="s">
        <v>776</v>
      </c>
      <c r="C747" s="886">
        <v>0</v>
      </c>
      <c r="D747" s="127">
        <v>205906</v>
      </c>
      <c r="E747" s="228">
        <v>273350.89</v>
      </c>
      <c r="F747" s="733">
        <v>273350.89</v>
      </c>
      <c r="G747" s="733">
        <v>273350.89</v>
      </c>
      <c r="H747" s="457">
        <v>205906</v>
      </c>
      <c r="I747" s="1090">
        <v>0</v>
      </c>
      <c r="J747" s="1304">
        <v>0</v>
      </c>
      <c r="K747" s="1273">
        <v>0</v>
      </c>
    </row>
    <row r="748" spans="1:12" x14ac:dyDescent="0.2">
      <c r="A748" s="745"/>
      <c r="B748" s="922" t="s">
        <v>1218</v>
      </c>
      <c r="C748" s="886">
        <v>43000</v>
      </c>
      <c r="D748" s="127">
        <v>43000</v>
      </c>
      <c r="E748" s="228">
        <v>43000</v>
      </c>
      <c r="F748" s="228">
        <v>43000</v>
      </c>
      <c r="G748" s="733">
        <v>43000</v>
      </c>
      <c r="H748" s="457">
        <v>43000</v>
      </c>
      <c r="I748" s="1090">
        <v>48000</v>
      </c>
      <c r="J748" s="1304">
        <v>48000</v>
      </c>
      <c r="K748" s="1273">
        <v>48000</v>
      </c>
    </row>
    <row r="749" spans="1:12" ht="13.5" thickBot="1" x14ac:dyDescent="0.25">
      <c r="A749" s="1008"/>
      <c r="B749" s="915"/>
      <c r="C749" s="735"/>
      <c r="D749" s="164"/>
      <c r="E749" s="707"/>
      <c r="F749" s="707"/>
      <c r="G749" s="735"/>
      <c r="H749" s="33"/>
      <c r="I749" s="735"/>
      <c r="J749" s="1304"/>
      <c r="K749" s="1274"/>
    </row>
    <row r="750" spans="1:12" ht="21" thickBot="1" x14ac:dyDescent="0.25">
      <c r="A750" s="1020"/>
      <c r="B750" s="983" t="s">
        <v>777</v>
      </c>
      <c r="C750" s="876">
        <f>C751</f>
        <v>18717400</v>
      </c>
      <c r="D750" s="874">
        <f t="shared" ref="D750:K750" si="152">D751</f>
        <v>24729128</v>
      </c>
      <c r="E750" s="876">
        <f t="shared" si="152"/>
        <v>24729128</v>
      </c>
      <c r="F750" s="875">
        <f t="shared" si="152"/>
        <v>24729128</v>
      </c>
      <c r="G750" s="876">
        <f t="shared" si="152"/>
        <v>12910386.02</v>
      </c>
      <c r="H750" s="1241">
        <f t="shared" si="152"/>
        <v>9232784.7300000004</v>
      </c>
      <c r="I750" s="876">
        <f t="shared" si="152"/>
        <v>19471500</v>
      </c>
      <c r="J750" s="1356">
        <f t="shared" si="152"/>
        <v>19471500</v>
      </c>
      <c r="K750" s="1356">
        <f t="shared" si="152"/>
        <v>19471500</v>
      </c>
    </row>
    <row r="751" spans="1:12" x14ac:dyDescent="0.2">
      <c r="A751" s="1008">
        <v>4351</v>
      </c>
      <c r="B751" s="984" t="s">
        <v>778</v>
      </c>
      <c r="C751" s="948">
        <f>SUM(C752:C755)</f>
        <v>18717400</v>
      </c>
      <c r="D751" s="1247">
        <f t="shared" ref="D751:K751" si="153">SUM(D752:D755)</f>
        <v>24729128</v>
      </c>
      <c r="E751" s="2164">
        <f t="shared" si="153"/>
        <v>24729128</v>
      </c>
      <c r="F751" s="2135">
        <f t="shared" si="153"/>
        <v>24729128</v>
      </c>
      <c r="G751" s="1481">
        <f t="shared" si="153"/>
        <v>12910386.02</v>
      </c>
      <c r="H751" s="1481">
        <f t="shared" si="153"/>
        <v>9232784.7300000004</v>
      </c>
      <c r="I751" s="1232">
        <f t="shared" si="153"/>
        <v>19471500</v>
      </c>
      <c r="J751" s="1409">
        <f t="shared" si="153"/>
        <v>19471500</v>
      </c>
      <c r="K751" s="884">
        <f t="shared" si="153"/>
        <v>19471500</v>
      </c>
    </row>
    <row r="752" spans="1:12" ht="60.75" x14ac:dyDescent="0.2">
      <c r="A752" s="801"/>
      <c r="B752" s="980" t="s">
        <v>1460</v>
      </c>
      <c r="C752" s="886">
        <v>8129900</v>
      </c>
      <c r="D752" s="1088">
        <v>9417234</v>
      </c>
      <c r="E752" s="2026">
        <f>2569628+8728394+14606+3000</f>
        <v>11315628</v>
      </c>
      <c r="F752" s="1119">
        <v>9417234</v>
      </c>
      <c r="G752" s="1090">
        <f>1151583.38+4285821+5637.11+779</f>
        <v>5443820.4900000002</v>
      </c>
      <c r="H752" s="457">
        <v>4322960.01</v>
      </c>
      <c r="I752" s="1263">
        <v>8205000</v>
      </c>
      <c r="J752" s="1410">
        <v>8205000</v>
      </c>
      <c r="K752" s="1179">
        <v>8205000</v>
      </c>
      <c r="L752" s="881"/>
    </row>
    <row r="753" spans="1:12" ht="48.75" x14ac:dyDescent="0.2">
      <c r="A753" s="801"/>
      <c r="B753" s="980" t="s">
        <v>1459</v>
      </c>
      <c r="C753" s="886">
        <v>2171000</v>
      </c>
      <c r="D753" s="1088">
        <v>2911000</v>
      </c>
      <c r="E753" s="2026">
        <f>927000+1984000</f>
        <v>2911000</v>
      </c>
      <c r="F753" s="457">
        <f>D753</f>
        <v>2911000</v>
      </c>
      <c r="G753" s="733">
        <f>364652+1021043</f>
        <v>1385695</v>
      </c>
      <c r="H753" s="457">
        <v>1103011.8500000001</v>
      </c>
      <c r="I753" s="1263">
        <v>2224000</v>
      </c>
      <c r="J753" s="1276">
        <v>2224000</v>
      </c>
      <c r="K753" s="1357">
        <v>2224000</v>
      </c>
      <c r="L753" s="881"/>
    </row>
    <row r="754" spans="1:12" ht="36.75" x14ac:dyDescent="0.2">
      <c r="A754" s="745"/>
      <c r="B754" s="980" t="s">
        <v>1461</v>
      </c>
      <c r="C754" s="886">
        <v>6516500</v>
      </c>
      <c r="D754" s="1088">
        <v>10500894</v>
      </c>
      <c r="E754" s="2026">
        <f>1631500+6971000</f>
        <v>8602500</v>
      </c>
      <c r="F754" s="457">
        <f>D754</f>
        <v>10500894</v>
      </c>
      <c r="G754" s="733">
        <f>811857.34+3358343</f>
        <v>4170200.34</v>
      </c>
      <c r="H754" s="457">
        <v>3268885.87</v>
      </c>
      <c r="I754" s="1263">
        <v>6642500</v>
      </c>
      <c r="J754" s="1276">
        <v>6642500</v>
      </c>
      <c r="K754" s="1358">
        <v>6642500</v>
      </c>
      <c r="L754" s="881"/>
    </row>
    <row r="755" spans="1:12" x14ac:dyDescent="0.2">
      <c r="A755" s="1008"/>
      <c r="B755" s="985" t="s">
        <v>1462</v>
      </c>
      <c r="C755" s="825">
        <v>1900000</v>
      </c>
      <c r="D755" s="1249">
        <v>1900000</v>
      </c>
      <c r="E755" s="734">
        <v>1900000</v>
      </c>
      <c r="F755" s="705">
        <v>1900000</v>
      </c>
      <c r="G755" s="708">
        <v>1910670.19</v>
      </c>
      <c r="H755" s="705">
        <v>537927</v>
      </c>
      <c r="I755" s="1264">
        <v>2400000</v>
      </c>
      <c r="J755" s="1276">
        <v>2400000</v>
      </c>
      <c r="K755" s="1357">
        <v>2400000</v>
      </c>
      <c r="L755" s="881"/>
    </row>
    <row r="756" spans="1:12" ht="13.5" thickBot="1" x14ac:dyDescent="0.25">
      <c r="A756" s="949"/>
      <c r="B756" s="962"/>
      <c r="C756" s="949"/>
      <c r="D756" s="1248"/>
      <c r="E756" s="2165"/>
      <c r="F756" s="1482"/>
      <c r="G756" s="1528"/>
      <c r="H756" s="1482"/>
      <c r="I756" s="1265"/>
      <c r="J756" s="1411"/>
      <c r="K756" s="1273"/>
    </row>
    <row r="757" spans="1:12" s="12" customFormat="1" ht="21" thickBot="1" x14ac:dyDescent="0.35">
      <c r="A757" s="937"/>
      <c r="B757" s="954" t="s">
        <v>50</v>
      </c>
      <c r="C757" s="1267">
        <f t="shared" ref="C757:I757" si="154">SUM(C758,C759,C760,C761,C762,C763,C764,C765,C769,C770,C771,C772,C777,C778)</f>
        <v>87547000</v>
      </c>
      <c r="D757" s="1267">
        <f t="shared" si="154"/>
        <v>91341835.549999997</v>
      </c>
      <c r="E757" s="2163">
        <f t="shared" si="154"/>
        <v>92991835.549999997</v>
      </c>
      <c r="F757" s="1267">
        <f t="shared" si="154"/>
        <v>91041835.549999997</v>
      </c>
      <c r="G757" s="1267">
        <f t="shared" si="154"/>
        <v>73107335.950000003</v>
      </c>
      <c r="H757" s="1267">
        <f t="shared" si="154"/>
        <v>57046750.100000001</v>
      </c>
      <c r="I757" s="1267">
        <f t="shared" si="154"/>
        <v>67229000</v>
      </c>
      <c r="J757" s="1267">
        <f t="shared" ref="J757:K757" si="155">SUM(J758,J759,J760,J761,J762,J763,J764,J765,J770,J771,J772,J777,J778)</f>
        <v>65579000</v>
      </c>
      <c r="K757" s="1356">
        <f t="shared" si="155"/>
        <v>0</v>
      </c>
    </row>
    <row r="758" spans="1:12" x14ac:dyDescent="0.2">
      <c r="A758" s="938">
        <v>1014</v>
      </c>
      <c r="B758" s="956" t="s">
        <v>782</v>
      </c>
      <c r="C758" s="885">
        <v>530000</v>
      </c>
      <c r="D758" s="227">
        <v>530000</v>
      </c>
      <c r="E758" s="1091">
        <v>530000</v>
      </c>
      <c r="F758" s="1091">
        <v>530000</v>
      </c>
      <c r="G758" s="1089">
        <v>280375</v>
      </c>
      <c r="H758" s="1093">
        <v>173807</v>
      </c>
      <c r="I758" s="1089">
        <v>500000</v>
      </c>
      <c r="J758" s="1139">
        <v>500000</v>
      </c>
      <c r="K758" s="1319"/>
    </row>
    <row r="759" spans="1:12" x14ac:dyDescent="0.2">
      <c r="A759" s="745">
        <v>1031</v>
      </c>
      <c r="B759" s="921" t="s">
        <v>1216</v>
      </c>
      <c r="C759" s="885">
        <v>651000</v>
      </c>
      <c r="D759" s="138">
        <v>651000</v>
      </c>
      <c r="E759" s="439">
        <v>651000</v>
      </c>
      <c r="F759" s="439">
        <v>651000</v>
      </c>
      <c r="G759" s="718">
        <v>218487.74</v>
      </c>
      <c r="H759" s="699">
        <v>174721.05</v>
      </c>
      <c r="I759" s="1089">
        <v>650000</v>
      </c>
      <c r="J759" s="1139">
        <v>650000</v>
      </c>
      <c r="K759" s="1139"/>
    </row>
    <row r="760" spans="1:12" x14ac:dyDescent="0.2">
      <c r="A760" s="745">
        <v>1036</v>
      </c>
      <c r="B760" s="921" t="s">
        <v>784</v>
      </c>
      <c r="C760" s="885">
        <v>120000</v>
      </c>
      <c r="D760" s="138">
        <v>120000</v>
      </c>
      <c r="E760" s="439">
        <v>120000</v>
      </c>
      <c r="F760" s="439">
        <v>120000</v>
      </c>
      <c r="G760" s="718">
        <v>99416</v>
      </c>
      <c r="H760" s="457">
        <v>74562</v>
      </c>
      <c r="I760" s="1089">
        <v>155000</v>
      </c>
      <c r="J760" s="1139">
        <v>155000</v>
      </c>
      <c r="K760" s="1139"/>
    </row>
    <row r="761" spans="1:12" s="289" customFormat="1" ht="12.75" customHeight="1" x14ac:dyDescent="0.25">
      <c r="A761" s="745">
        <v>1037</v>
      </c>
      <c r="B761" s="921" t="s">
        <v>1217</v>
      </c>
      <c r="C761" s="885">
        <v>21000</v>
      </c>
      <c r="D761" s="138">
        <v>21000</v>
      </c>
      <c r="E761" s="439">
        <v>21000</v>
      </c>
      <c r="F761" s="439">
        <v>21000</v>
      </c>
      <c r="G761" s="1486">
        <v>20100</v>
      </c>
      <c r="H761" s="406">
        <v>14100</v>
      </c>
      <c r="I761" s="1089">
        <v>25000</v>
      </c>
      <c r="J761" s="1139">
        <v>25000</v>
      </c>
      <c r="K761" s="1139"/>
    </row>
    <row r="762" spans="1:12" s="116" customFormat="1" x14ac:dyDescent="0.2">
      <c r="A762" s="745">
        <v>1039</v>
      </c>
      <c r="B762" s="921" t="s">
        <v>786</v>
      </c>
      <c r="C762" s="885">
        <v>260000</v>
      </c>
      <c r="D762" s="138">
        <v>0</v>
      </c>
      <c r="E762" s="439">
        <v>0</v>
      </c>
      <c r="F762" s="439">
        <v>0</v>
      </c>
      <c r="G762" s="718">
        <v>0</v>
      </c>
      <c r="H762" s="705">
        <v>0</v>
      </c>
      <c r="I762" s="1089">
        <v>260000</v>
      </c>
      <c r="J762" s="1139">
        <v>260000</v>
      </c>
      <c r="K762" s="1139"/>
    </row>
    <row r="763" spans="1:12" s="116" customFormat="1" x14ac:dyDescent="0.2">
      <c r="A763" s="745">
        <v>2369</v>
      </c>
      <c r="B763" s="921" t="s">
        <v>1409</v>
      </c>
      <c r="C763" s="885">
        <v>370000</v>
      </c>
      <c r="D763" s="138">
        <v>370000</v>
      </c>
      <c r="E763" s="439">
        <v>370000</v>
      </c>
      <c r="F763" s="439">
        <v>370000</v>
      </c>
      <c r="G763" s="1089">
        <v>25436.62</v>
      </c>
      <c r="H763" s="1119">
        <v>25436.62</v>
      </c>
      <c r="I763" s="1089">
        <v>370000</v>
      </c>
      <c r="J763" s="1139">
        <v>370000</v>
      </c>
      <c r="K763" s="1139"/>
    </row>
    <row r="764" spans="1:12" s="116" customFormat="1" x14ac:dyDescent="0.2">
      <c r="A764" s="745">
        <v>3721</v>
      </c>
      <c r="B764" s="921" t="s">
        <v>1410</v>
      </c>
      <c r="C764" s="885">
        <v>50000</v>
      </c>
      <c r="D764" s="138">
        <v>50000</v>
      </c>
      <c r="E764" s="439">
        <v>50000</v>
      </c>
      <c r="F764" s="439">
        <v>50000</v>
      </c>
      <c r="G764" s="718">
        <v>42000</v>
      </c>
      <c r="H764" s="699">
        <v>33600</v>
      </c>
      <c r="I764" s="1089">
        <v>50000</v>
      </c>
      <c r="J764" s="1139">
        <v>50000</v>
      </c>
      <c r="K764" s="1139"/>
    </row>
    <row r="765" spans="1:12" s="116" customFormat="1" x14ac:dyDescent="0.2">
      <c r="A765" s="745">
        <v>3722</v>
      </c>
      <c r="B765" s="921" t="s">
        <v>789</v>
      </c>
      <c r="C765" s="718">
        <f>SUM(C766:C768)</f>
        <v>37150000</v>
      </c>
      <c r="D765" s="138">
        <v>40813880</v>
      </c>
      <c r="E765" s="439">
        <v>40813880</v>
      </c>
      <c r="F765" s="439">
        <v>40813880</v>
      </c>
      <c r="G765" s="718">
        <v>30943763.510000002</v>
      </c>
      <c r="H765" s="699">
        <v>25250819.559999999</v>
      </c>
      <c r="I765" s="718">
        <f>SUM(I766:I768)</f>
        <v>37945000</v>
      </c>
      <c r="J765" s="884">
        <v>37945000</v>
      </c>
      <c r="K765" s="884"/>
    </row>
    <row r="766" spans="1:12" s="116" customFormat="1" x14ac:dyDescent="0.2">
      <c r="A766" s="745"/>
      <c r="B766" s="923" t="s">
        <v>790</v>
      </c>
      <c r="C766" s="886">
        <v>30600000</v>
      </c>
      <c r="D766" s="127">
        <v>30600000</v>
      </c>
      <c r="E766" s="228">
        <v>30600000</v>
      </c>
      <c r="F766" s="228">
        <v>30600000</v>
      </c>
      <c r="G766" s="733">
        <v>25500000</v>
      </c>
      <c r="H766" s="457">
        <v>20400000</v>
      </c>
      <c r="I766" s="1090">
        <v>31150000</v>
      </c>
      <c r="J766" s="1094">
        <v>31150000</v>
      </c>
      <c r="K766" s="1094"/>
    </row>
    <row r="767" spans="1:12" s="116" customFormat="1" x14ac:dyDescent="0.2">
      <c r="A767" s="745"/>
      <c r="B767" s="923" t="s">
        <v>791</v>
      </c>
      <c r="C767" s="886">
        <v>3050000</v>
      </c>
      <c r="D767" s="127">
        <v>3050000</v>
      </c>
      <c r="E767" s="228">
        <v>3050000</v>
      </c>
      <c r="F767" s="228">
        <v>3050000</v>
      </c>
      <c r="G767" s="733">
        <v>1779883.51</v>
      </c>
      <c r="H767" s="457">
        <v>1186939.56</v>
      </c>
      <c r="I767" s="1090">
        <v>2545000</v>
      </c>
      <c r="J767" s="1094">
        <v>2545000</v>
      </c>
      <c r="K767" s="1094"/>
    </row>
    <row r="768" spans="1:12" s="116" customFormat="1" x14ac:dyDescent="0.2">
      <c r="A768" s="745"/>
      <c r="B768" s="924" t="s">
        <v>1544</v>
      </c>
      <c r="C768" s="886">
        <v>3500000</v>
      </c>
      <c r="D768" s="127">
        <v>7163880</v>
      </c>
      <c r="E768" s="228">
        <v>7163880</v>
      </c>
      <c r="F768" s="228">
        <v>7163880</v>
      </c>
      <c r="G768" s="733">
        <v>3663880</v>
      </c>
      <c r="H768" s="457">
        <v>3663880</v>
      </c>
      <c r="I768" s="1090">
        <v>4250000</v>
      </c>
      <c r="J768" s="1094">
        <v>4250000</v>
      </c>
      <c r="K768" s="1094"/>
    </row>
    <row r="769" spans="1:258" s="116" customFormat="1" x14ac:dyDescent="0.2">
      <c r="A769" s="745">
        <v>3726</v>
      </c>
      <c r="B769" s="1636" t="s">
        <v>1840</v>
      </c>
      <c r="C769" s="1261">
        <v>0</v>
      </c>
      <c r="D769" s="1551"/>
      <c r="E769" s="1183">
        <v>1650000</v>
      </c>
      <c r="F769" s="1183">
        <v>0</v>
      </c>
      <c r="G769" s="1052">
        <v>0</v>
      </c>
      <c r="H769" s="1045">
        <v>0</v>
      </c>
      <c r="I769" s="1261">
        <v>1650000</v>
      </c>
      <c r="J769" s="1094"/>
      <c r="K769" s="1094"/>
    </row>
    <row r="770" spans="1:258" s="116" customFormat="1" x14ac:dyDescent="0.2">
      <c r="A770" s="745">
        <v>3733</v>
      </c>
      <c r="B770" s="921" t="s">
        <v>1411</v>
      </c>
      <c r="C770" s="885">
        <v>65000</v>
      </c>
      <c r="D770" s="138">
        <v>65000</v>
      </c>
      <c r="E770" s="439">
        <v>65000</v>
      </c>
      <c r="F770" s="439">
        <v>65000</v>
      </c>
      <c r="G770" s="718">
        <v>0</v>
      </c>
      <c r="H770" s="699">
        <v>0</v>
      </c>
      <c r="I770" s="1089">
        <v>65000</v>
      </c>
      <c r="J770" s="1089">
        <v>65000</v>
      </c>
      <c r="K770" s="1139"/>
    </row>
    <row r="771" spans="1:258" s="116" customFormat="1" x14ac:dyDescent="0.2">
      <c r="A771" s="745">
        <v>3742</v>
      </c>
      <c r="B771" s="790" t="s">
        <v>1412</v>
      </c>
      <c r="C771" s="885">
        <v>100000</v>
      </c>
      <c r="D771" s="138">
        <v>0</v>
      </c>
      <c r="E771" s="748">
        <v>0</v>
      </c>
      <c r="F771" s="748">
        <v>0</v>
      </c>
      <c r="G771" s="1486">
        <v>0</v>
      </c>
      <c r="H771" s="1138">
        <v>0</v>
      </c>
      <c r="I771" s="1089">
        <v>100000</v>
      </c>
      <c r="J771" s="1139">
        <v>100000</v>
      </c>
      <c r="K771" s="1139"/>
    </row>
    <row r="772" spans="1:258" s="116" customFormat="1" x14ac:dyDescent="0.2">
      <c r="A772" s="745">
        <v>3745</v>
      </c>
      <c r="B772" s="921" t="s">
        <v>796</v>
      </c>
      <c r="C772" s="718">
        <f>SUM(C773:C776)</f>
        <v>47785000</v>
      </c>
      <c r="D772" s="138">
        <v>47866550.549999997</v>
      </c>
      <c r="E772" s="439">
        <v>47866550.549999997</v>
      </c>
      <c r="F772" s="439">
        <v>47866550.549999997</v>
      </c>
      <c r="G772" s="718">
        <v>41402703.079999998</v>
      </c>
      <c r="H772" s="699">
        <v>31231649.870000001</v>
      </c>
      <c r="I772" s="718">
        <f>SUM(I773:I776)</f>
        <v>25144000</v>
      </c>
      <c r="J772" s="718">
        <f>SUM(J773:J776)</f>
        <v>25144000</v>
      </c>
      <c r="K772" s="884"/>
    </row>
    <row r="773" spans="1:258" s="116" customFormat="1" x14ac:dyDescent="0.2">
      <c r="A773" s="745"/>
      <c r="B773" s="923" t="s">
        <v>1074</v>
      </c>
      <c r="C773" s="886">
        <v>250000</v>
      </c>
      <c r="D773" s="162">
        <v>250000</v>
      </c>
      <c r="E773" s="1116">
        <v>250000</v>
      </c>
      <c r="F773" s="1116">
        <v>250000</v>
      </c>
      <c r="G773" s="1090">
        <v>242736</v>
      </c>
      <c r="H773" s="1119">
        <v>99840</v>
      </c>
      <c r="I773" s="1090">
        <v>260000</v>
      </c>
      <c r="J773" s="1094">
        <v>260000</v>
      </c>
      <c r="K773" s="1094"/>
    </row>
    <row r="774" spans="1:258" s="116" customFormat="1" x14ac:dyDescent="0.2">
      <c r="A774" s="801"/>
      <c r="B774" s="923" t="s">
        <v>798</v>
      </c>
      <c r="C774" s="886">
        <v>19450000</v>
      </c>
      <c r="D774" s="127">
        <v>19450000</v>
      </c>
      <c r="E774" s="1116">
        <v>19450000</v>
      </c>
      <c r="F774" s="1116">
        <v>19450000</v>
      </c>
      <c r="G774" s="1090">
        <v>16208330</v>
      </c>
      <c r="H774" s="1119">
        <v>12966664</v>
      </c>
      <c r="I774" s="1090">
        <v>19300000</v>
      </c>
      <c r="J774" s="1094">
        <v>19300000</v>
      </c>
      <c r="K774" s="1094"/>
    </row>
    <row r="775" spans="1:258" s="116" customFormat="1" x14ac:dyDescent="0.2">
      <c r="A775" s="801"/>
      <c r="B775" s="923" t="s">
        <v>799</v>
      </c>
      <c r="C775" s="886">
        <v>2150000</v>
      </c>
      <c r="D775" s="127">
        <v>2231550.5499999998</v>
      </c>
      <c r="E775" s="228">
        <v>2231550.5499999998</v>
      </c>
      <c r="F775" s="228">
        <v>2231550.5499999998</v>
      </c>
      <c r="G775" s="733">
        <v>935423.63</v>
      </c>
      <c r="H775" s="457">
        <v>694126.61</v>
      </c>
      <c r="I775" s="1090">
        <v>2834000</v>
      </c>
      <c r="J775" s="1094">
        <v>2834000</v>
      </c>
      <c r="K775" s="1094"/>
    </row>
    <row r="776" spans="1:258" s="116" customFormat="1" x14ac:dyDescent="0.2">
      <c r="A776" s="745"/>
      <c r="B776" s="924" t="s">
        <v>1543</v>
      </c>
      <c r="C776" s="886">
        <v>25935000</v>
      </c>
      <c r="D776" s="127">
        <v>25935000</v>
      </c>
      <c r="E776" s="1116">
        <v>25935000</v>
      </c>
      <c r="F776" s="1116">
        <v>25935000</v>
      </c>
      <c r="G776" s="1090">
        <v>24016213.449999999</v>
      </c>
      <c r="H776" s="1119">
        <v>17471019.260000002</v>
      </c>
      <c r="I776" s="1090">
        <v>2750000</v>
      </c>
      <c r="J776" s="1094">
        <v>2750000</v>
      </c>
      <c r="K776" s="1094"/>
    </row>
    <row r="777" spans="1:258" ht="13.5" thickBot="1" x14ac:dyDescent="0.25">
      <c r="A777" s="745">
        <v>3792</v>
      </c>
      <c r="B777" s="921" t="s">
        <v>801</v>
      </c>
      <c r="C777" s="885">
        <v>145000</v>
      </c>
      <c r="D777" s="138">
        <v>554405</v>
      </c>
      <c r="E777" s="439">
        <v>554405</v>
      </c>
      <c r="F777" s="439">
        <v>554405</v>
      </c>
      <c r="G777" s="1486">
        <v>75054</v>
      </c>
      <c r="H777" s="699">
        <v>68054</v>
      </c>
      <c r="I777" s="1089">
        <v>215000</v>
      </c>
      <c r="J777" s="1271">
        <v>215000</v>
      </c>
      <c r="K777" s="1304"/>
    </row>
    <row r="778" spans="1:258" ht="16.5" thickBot="1" x14ac:dyDescent="0.3">
      <c r="A778" s="939"/>
      <c r="B778" s="986" t="s">
        <v>1075</v>
      </c>
      <c r="C778" s="1063">
        <f t="shared" ref="C778:I778" si="156">SUM(C779:C780)</f>
        <v>300000</v>
      </c>
      <c r="D778" s="731">
        <f t="shared" si="156"/>
        <v>300000</v>
      </c>
      <c r="E778" s="1063">
        <f t="shared" si="156"/>
        <v>300000</v>
      </c>
      <c r="F778" s="1447">
        <f t="shared" si="156"/>
        <v>0</v>
      </c>
      <c r="G778" s="1484">
        <f t="shared" si="156"/>
        <v>0</v>
      </c>
      <c r="H778" s="1483">
        <f t="shared" si="156"/>
        <v>0</v>
      </c>
      <c r="I778" s="1412">
        <f t="shared" si="156"/>
        <v>100000</v>
      </c>
      <c r="J778" s="1413">
        <f>SUM(J779)</f>
        <v>100000</v>
      </c>
      <c r="K778" s="1359"/>
      <c r="L778" s="843"/>
    </row>
    <row r="779" spans="1:258" ht="15" x14ac:dyDescent="0.2">
      <c r="A779" s="819" t="s">
        <v>1100</v>
      </c>
      <c r="B779" s="791" t="s">
        <v>1421</v>
      </c>
      <c r="C779" s="732">
        <v>150000</v>
      </c>
      <c r="D779" s="1024">
        <v>150000</v>
      </c>
      <c r="E779" s="1023">
        <v>150000</v>
      </c>
      <c r="F779" s="1024">
        <v>0</v>
      </c>
      <c r="G779" s="1023">
        <v>0</v>
      </c>
      <c r="H779" s="1464">
        <v>0</v>
      </c>
      <c r="I779" s="732">
        <v>100000</v>
      </c>
      <c r="J779" s="1293">
        <v>100000</v>
      </c>
      <c r="K779" s="1360"/>
      <c r="L779" s="843"/>
    </row>
    <row r="780" spans="1:258" ht="15.75" thickBot="1" x14ac:dyDescent="0.25">
      <c r="A780" s="820" t="s">
        <v>1101</v>
      </c>
      <c r="B780" s="792" t="s">
        <v>1420</v>
      </c>
      <c r="C780" s="779">
        <v>150000</v>
      </c>
      <c r="D780" s="1192">
        <v>150000</v>
      </c>
      <c r="E780" s="779">
        <v>150000</v>
      </c>
      <c r="F780" s="1242">
        <v>0</v>
      </c>
      <c r="G780" s="779">
        <v>0</v>
      </c>
      <c r="H780" s="1192">
        <v>0</v>
      </c>
      <c r="I780" s="779">
        <v>0</v>
      </c>
      <c r="J780" s="1414">
        <v>0</v>
      </c>
      <c r="K780" s="1361"/>
      <c r="L780" s="843"/>
    </row>
    <row r="781" spans="1:258" ht="15.75" thickBot="1" x14ac:dyDescent="0.25">
      <c r="A781" s="949"/>
      <c r="B781" s="793"/>
      <c r="C781" s="735"/>
      <c r="D781" s="444"/>
      <c r="E781" s="443"/>
      <c r="F781" s="707"/>
      <c r="G781" s="735"/>
      <c r="H781" s="33"/>
      <c r="I781" s="735"/>
      <c r="J781" s="1304"/>
      <c r="K781" s="1362"/>
      <c r="L781" s="887"/>
    </row>
    <row r="782" spans="1:258" ht="21" thickBot="1" x14ac:dyDescent="0.25">
      <c r="A782" s="2092"/>
      <c r="B782" s="972" t="s">
        <v>803</v>
      </c>
      <c r="C782" s="2093">
        <f t="shared" ref="C782:I782" si="157">SUM(C783,C784,C814,C850,C903,C911,C912,C916)</f>
        <v>151698000</v>
      </c>
      <c r="D782" s="2093">
        <f t="shared" si="157"/>
        <v>145988425.38</v>
      </c>
      <c r="E782" s="2093">
        <f>SUM(E783,E784,E814,E850,E903,E911,E912,E916)</f>
        <v>138947425.38</v>
      </c>
      <c r="F782" s="2093">
        <f t="shared" si="157"/>
        <v>117609224.17</v>
      </c>
      <c r="G782" s="2093">
        <f t="shared" si="157"/>
        <v>92868596.789999992</v>
      </c>
      <c r="H782" s="2094">
        <f t="shared" si="157"/>
        <v>75242083.200000003</v>
      </c>
      <c r="I782" s="2093">
        <f t="shared" si="157"/>
        <v>136758000</v>
      </c>
      <c r="J782" s="1266">
        <f t="shared" ref="J782:K782" si="158">SUM(J783,J784,J814,J850,J903,J911,J912,J916)</f>
        <v>0</v>
      </c>
      <c r="K782" s="1363">
        <f t="shared" si="158"/>
        <v>0</v>
      </c>
      <c r="L782" s="895"/>
      <c r="M782" s="887"/>
      <c r="N782" s="843"/>
      <c r="O782"/>
      <c r="P782"/>
      <c r="Q782"/>
      <c r="R782"/>
      <c r="S782"/>
      <c r="T782"/>
      <c r="U782"/>
      <c r="V782"/>
      <c r="W782"/>
      <c r="X782"/>
      <c r="Y782"/>
      <c r="Z782"/>
      <c r="AA782"/>
      <c r="AB782"/>
      <c r="AC782"/>
      <c r="AD782"/>
      <c r="AE782"/>
      <c r="AF782"/>
      <c r="AG782"/>
      <c r="AH782"/>
      <c r="AI782"/>
      <c r="AJ782"/>
      <c r="AK782"/>
      <c r="AL782"/>
      <c r="AM782"/>
      <c r="AN782"/>
      <c r="AO782"/>
      <c r="AP782"/>
      <c r="AQ782"/>
      <c r="AR782"/>
      <c r="AS782"/>
      <c r="AT782"/>
      <c r="AU782"/>
      <c r="AV782"/>
      <c r="AW782"/>
      <c r="AX782"/>
      <c r="AY782"/>
      <c r="AZ782"/>
      <c r="BA782"/>
      <c r="BB782"/>
      <c r="BC782"/>
      <c r="BD782"/>
      <c r="BE782"/>
      <c r="BF782"/>
      <c r="BG782"/>
      <c r="BH782"/>
      <c r="BI782"/>
      <c r="BJ782"/>
      <c r="BK782"/>
      <c r="BL782"/>
      <c r="BM782"/>
      <c r="BN782"/>
      <c r="BO782"/>
      <c r="BP782"/>
      <c r="BQ782"/>
      <c r="BR782"/>
      <c r="BS782"/>
      <c r="BT782"/>
      <c r="BU782"/>
      <c r="BV782"/>
      <c r="BW782"/>
      <c r="BX782"/>
      <c r="BY782"/>
      <c r="BZ782"/>
      <c r="CA782"/>
      <c r="CB782"/>
      <c r="CC782"/>
      <c r="CD782"/>
      <c r="CE782"/>
      <c r="CF782"/>
      <c r="CG782"/>
      <c r="CH782"/>
      <c r="CI782"/>
      <c r="CJ782"/>
      <c r="CK782"/>
      <c r="CL782"/>
      <c r="CM782"/>
      <c r="CN782"/>
      <c r="CO782"/>
      <c r="CP782"/>
      <c r="CQ782"/>
      <c r="CR782"/>
      <c r="CS782"/>
      <c r="CT782"/>
      <c r="CU782"/>
      <c r="CV782"/>
      <c r="CW782"/>
      <c r="CX782"/>
      <c r="CY782"/>
      <c r="CZ782"/>
      <c r="DA782"/>
      <c r="DB782"/>
      <c r="DC782"/>
      <c r="DD782"/>
      <c r="DE782"/>
      <c r="DF782"/>
      <c r="DG782"/>
      <c r="DH782"/>
      <c r="DI782"/>
      <c r="DJ782"/>
      <c r="DK782"/>
      <c r="DL782"/>
      <c r="DM782"/>
      <c r="DN782"/>
      <c r="DO782"/>
      <c r="DP782"/>
      <c r="DQ782"/>
      <c r="DR782"/>
      <c r="DS782"/>
      <c r="DT782"/>
      <c r="DU782"/>
      <c r="DV782"/>
      <c r="DW782"/>
      <c r="DX782"/>
      <c r="DY782"/>
      <c r="DZ782"/>
      <c r="EA782"/>
      <c r="EB782"/>
      <c r="EC782"/>
      <c r="ED782"/>
      <c r="EE782"/>
      <c r="EF782"/>
      <c r="EG782"/>
      <c r="EH782"/>
      <c r="EI782"/>
      <c r="EJ782"/>
      <c r="EK782"/>
      <c r="EL782"/>
      <c r="EM782"/>
      <c r="EN782"/>
      <c r="EO782"/>
      <c r="EP782"/>
      <c r="EQ782"/>
      <c r="ER782"/>
      <c r="ES782"/>
      <c r="ET782"/>
      <c r="EU782"/>
      <c r="EV782"/>
      <c r="EW782"/>
      <c r="EX782"/>
      <c r="EY782"/>
      <c r="EZ782"/>
      <c r="FA782"/>
      <c r="FB782"/>
      <c r="FC782"/>
      <c r="FD782"/>
      <c r="FE782"/>
      <c r="FF782"/>
      <c r="FG782"/>
      <c r="FH782"/>
      <c r="FI782"/>
      <c r="FJ782"/>
      <c r="FK782"/>
      <c r="FL782"/>
      <c r="FM782"/>
      <c r="FN782"/>
      <c r="FO782"/>
      <c r="FP782"/>
      <c r="FQ782"/>
      <c r="FR782"/>
      <c r="FS782"/>
      <c r="FT782"/>
      <c r="FU782"/>
      <c r="FV782"/>
      <c r="FW782"/>
      <c r="FX782"/>
      <c r="FY782"/>
      <c r="FZ782"/>
      <c r="GA782"/>
      <c r="GB782"/>
      <c r="GC782"/>
      <c r="GD782"/>
      <c r="GE782"/>
      <c r="GF782"/>
      <c r="GG782"/>
      <c r="GH782"/>
      <c r="GI782"/>
      <c r="GJ782"/>
      <c r="GK782"/>
      <c r="GL782"/>
      <c r="GM782"/>
      <c r="GN782"/>
      <c r="GO782"/>
      <c r="GP782"/>
      <c r="GQ782"/>
      <c r="GR782"/>
      <c r="GS782"/>
      <c r="GT782"/>
      <c r="GU782"/>
      <c r="GV782"/>
      <c r="GW782"/>
      <c r="GX782"/>
      <c r="GY782"/>
      <c r="GZ782"/>
      <c r="HA782"/>
      <c r="HB782"/>
      <c r="HC782"/>
      <c r="HD782"/>
      <c r="HE782"/>
      <c r="HF782"/>
      <c r="HG782"/>
      <c r="HH782"/>
      <c r="HI782"/>
      <c r="HJ782"/>
      <c r="HK782"/>
      <c r="HL782"/>
      <c r="HM782"/>
      <c r="HN782"/>
      <c r="HO782"/>
      <c r="HP782"/>
      <c r="HQ782"/>
      <c r="HR782"/>
      <c r="HS782"/>
      <c r="HT782"/>
      <c r="HU782"/>
      <c r="HV782"/>
      <c r="HW782"/>
      <c r="HX782"/>
      <c r="HY782"/>
      <c r="HZ782"/>
      <c r="IA782"/>
      <c r="IB782"/>
      <c r="IC782"/>
      <c r="ID782"/>
      <c r="IE782"/>
      <c r="IF782"/>
      <c r="IG782"/>
      <c r="IH782"/>
      <c r="II782"/>
      <c r="IJ782"/>
      <c r="IK782"/>
      <c r="IL782"/>
      <c r="IM782"/>
      <c r="IN782"/>
      <c r="IO782"/>
      <c r="IP782"/>
      <c r="IQ782"/>
      <c r="IR782"/>
      <c r="IS782"/>
      <c r="IT782"/>
      <c r="IU782"/>
      <c r="IV782"/>
      <c r="IW782"/>
      <c r="IX782"/>
    </row>
    <row r="783" spans="1:258" ht="12.75" customHeight="1" x14ac:dyDescent="0.2">
      <c r="A783" s="2070">
        <v>3122</v>
      </c>
      <c r="B783" s="2071" t="s">
        <v>1114</v>
      </c>
      <c r="C783" s="1089">
        <v>403000</v>
      </c>
      <c r="D783" s="1089">
        <v>403000</v>
      </c>
      <c r="E783" s="1087">
        <v>412000</v>
      </c>
      <c r="F783" s="732">
        <v>313071.37</v>
      </c>
      <c r="G783" s="732">
        <v>313071.37</v>
      </c>
      <c r="H783" s="1093">
        <v>313071.37</v>
      </c>
      <c r="I783" s="1089">
        <v>403000</v>
      </c>
      <c r="J783" s="1415"/>
      <c r="K783" s="1364"/>
      <c r="L783" s="848"/>
      <c r="M783" s="887"/>
      <c r="N783" s="843"/>
      <c r="O783"/>
      <c r="P783"/>
      <c r="Q783"/>
      <c r="R783"/>
      <c r="S783"/>
      <c r="T783"/>
      <c r="U783"/>
      <c r="V783"/>
      <c r="W783"/>
      <c r="X783"/>
      <c r="Y783"/>
      <c r="Z783"/>
      <c r="AA783"/>
      <c r="AB783"/>
      <c r="AC783"/>
      <c r="AD783"/>
      <c r="AE783"/>
      <c r="AF783"/>
      <c r="AG783"/>
      <c r="AH783"/>
      <c r="AI783"/>
      <c r="AJ783"/>
      <c r="AK783"/>
      <c r="AL783"/>
      <c r="AM783"/>
      <c r="AN783"/>
      <c r="AO783"/>
      <c r="AP783"/>
      <c r="AQ783"/>
      <c r="AR783"/>
      <c r="AS783"/>
      <c r="AT783"/>
      <c r="AU783"/>
      <c r="AV783"/>
      <c r="AW783"/>
      <c r="AX783"/>
      <c r="AY783"/>
      <c r="AZ783"/>
      <c r="BA783"/>
      <c r="BB783"/>
      <c r="BC783"/>
      <c r="BD783"/>
      <c r="BE783"/>
      <c r="BF783"/>
      <c r="BG783"/>
      <c r="BH783"/>
      <c r="BI783"/>
      <c r="BJ783"/>
      <c r="BK783"/>
      <c r="BL783"/>
      <c r="BM783"/>
      <c r="BN783"/>
      <c r="BO783"/>
      <c r="BP783"/>
      <c r="BQ783"/>
      <c r="BR783"/>
      <c r="BS783"/>
      <c r="BT783"/>
      <c r="BU783"/>
      <c r="BV783"/>
      <c r="BW783"/>
      <c r="BX783"/>
      <c r="BY783"/>
      <c r="BZ783"/>
      <c r="CA783"/>
      <c r="CB783"/>
      <c r="CC783"/>
      <c r="CD783"/>
      <c r="CE783"/>
      <c r="CF783"/>
      <c r="CG783"/>
      <c r="CH783"/>
      <c r="CI783"/>
      <c r="CJ783"/>
      <c r="CK783"/>
      <c r="CL783"/>
      <c r="CM783"/>
      <c r="CN783"/>
      <c r="CO783"/>
      <c r="CP783"/>
      <c r="CQ783"/>
      <c r="CR783"/>
      <c r="CS783"/>
      <c r="CT783"/>
      <c r="CU783"/>
      <c r="CV783"/>
      <c r="CW783"/>
      <c r="CX783"/>
      <c r="CY783"/>
      <c r="CZ783"/>
      <c r="DA783"/>
      <c r="DB783"/>
      <c r="DC783"/>
      <c r="DD783"/>
      <c r="DE783"/>
      <c r="DF783"/>
      <c r="DG783"/>
      <c r="DH783"/>
      <c r="DI783"/>
      <c r="DJ783"/>
      <c r="DK783"/>
      <c r="DL783"/>
      <c r="DM783"/>
      <c r="DN783"/>
      <c r="DO783"/>
      <c r="DP783"/>
      <c r="DQ783"/>
      <c r="DR783"/>
      <c r="DS783"/>
      <c r="DT783"/>
      <c r="DU783"/>
      <c r="DV783"/>
      <c r="DW783"/>
      <c r="DX783"/>
      <c r="DY783"/>
      <c r="DZ783"/>
      <c r="EA783"/>
      <c r="EB783"/>
      <c r="EC783"/>
      <c r="ED783"/>
      <c r="EE783"/>
      <c r="EF783"/>
      <c r="EG783"/>
      <c r="EH783"/>
      <c r="EI783"/>
      <c r="EJ783"/>
      <c r="EK783"/>
      <c r="EL783"/>
      <c r="EM783"/>
      <c r="EN783"/>
      <c r="EO783"/>
      <c r="EP783"/>
      <c r="EQ783"/>
      <c r="ER783"/>
      <c r="ES783"/>
      <c r="ET783"/>
      <c r="EU783"/>
      <c r="EV783"/>
      <c r="EW783"/>
      <c r="EX783"/>
      <c r="EY783"/>
      <c r="EZ783"/>
      <c r="FA783"/>
      <c r="FB783"/>
      <c r="FC783"/>
      <c r="FD783"/>
      <c r="FE783"/>
      <c r="FF783"/>
      <c r="FG783"/>
      <c r="FH783"/>
      <c r="FI783"/>
      <c r="FJ783"/>
      <c r="FK783"/>
      <c r="FL783"/>
      <c r="FM783"/>
      <c r="FN783"/>
      <c r="FO783"/>
      <c r="FP783"/>
      <c r="FQ783"/>
      <c r="FR783"/>
      <c r="FS783"/>
      <c r="FT783"/>
      <c r="FU783"/>
      <c r="FV783"/>
      <c r="FW783"/>
      <c r="FX783"/>
      <c r="FY783"/>
      <c r="FZ783"/>
      <c r="GA783"/>
      <c r="GB783"/>
      <c r="GC783"/>
      <c r="GD783"/>
      <c r="GE783"/>
      <c r="GF783"/>
      <c r="GG783"/>
      <c r="GH783"/>
      <c r="GI783"/>
      <c r="GJ783"/>
      <c r="GK783"/>
      <c r="GL783"/>
      <c r="GM783"/>
      <c r="GN783"/>
      <c r="GO783"/>
      <c r="GP783"/>
      <c r="GQ783"/>
      <c r="GR783"/>
      <c r="GS783"/>
      <c r="GT783"/>
      <c r="GU783"/>
      <c r="GV783"/>
      <c r="GW783"/>
      <c r="GX783"/>
      <c r="GY783"/>
      <c r="GZ783"/>
      <c r="HA783"/>
      <c r="HB783"/>
      <c r="HC783"/>
      <c r="HD783"/>
      <c r="HE783"/>
      <c r="HF783"/>
      <c r="HG783"/>
      <c r="HH783"/>
      <c r="HI783"/>
      <c r="HJ783"/>
      <c r="HK783"/>
      <c r="HL783"/>
      <c r="HM783"/>
      <c r="HN783"/>
      <c r="HO783"/>
      <c r="HP783"/>
      <c r="HQ783"/>
      <c r="HR783"/>
      <c r="HS783"/>
      <c r="HT783"/>
      <c r="HU783"/>
      <c r="HV783"/>
      <c r="HW783"/>
      <c r="HX783"/>
      <c r="HY783"/>
      <c r="HZ783"/>
      <c r="IA783"/>
      <c r="IB783"/>
      <c r="IC783"/>
      <c r="ID783"/>
      <c r="IE783"/>
      <c r="IF783"/>
      <c r="IG783"/>
      <c r="IH783"/>
      <c r="II783"/>
      <c r="IJ783"/>
      <c r="IK783"/>
      <c r="IL783"/>
      <c r="IM783"/>
      <c r="IN783"/>
      <c r="IO783"/>
      <c r="IP783"/>
      <c r="IQ783"/>
      <c r="IR783"/>
      <c r="IS783"/>
      <c r="IT783"/>
      <c r="IU783"/>
      <c r="IV783"/>
      <c r="IW783"/>
      <c r="IX783"/>
    </row>
    <row r="784" spans="1:258" ht="12.75" customHeight="1" x14ac:dyDescent="0.2">
      <c r="A784" s="851">
        <v>3412</v>
      </c>
      <c r="B784" s="931" t="s">
        <v>805</v>
      </c>
      <c r="C784" s="718">
        <f t="shared" ref="C784:I784" si="159">C785+C802</f>
        <v>55320000</v>
      </c>
      <c r="D784" s="718">
        <f t="shared" si="159"/>
        <v>56177352.380000003</v>
      </c>
      <c r="E784" s="897">
        <f t="shared" si="159"/>
        <v>56177352.380000003</v>
      </c>
      <c r="F784" s="718">
        <f t="shared" si="159"/>
        <v>54533388.089999996</v>
      </c>
      <c r="G784" s="718">
        <f>G785+G802</f>
        <v>46352953.600000001</v>
      </c>
      <c r="H784" s="699">
        <f t="shared" si="159"/>
        <v>38656388.089999996</v>
      </c>
      <c r="I784" s="718">
        <f t="shared" si="159"/>
        <v>50505000</v>
      </c>
      <c r="J784" s="718">
        <f t="shared" ref="J784:K784" si="160">J785+J806</f>
        <v>0</v>
      </c>
      <c r="K784" s="884">
        <f t="shared" si="160"/>
        <v>0</v>
      </c>
      <c r="L784" s="848"/>
      <c r="M784" s="887"/>
      <c r="N784" s="843"/>
      <c r="O784"/>
      <c r="P784"/>
      <c r="Q784"/>
      <c r="R784"/>
      <c r="S784"/>
      <c r="T784"/>
      <c r="U784"/>
      <c r="V784"/>
      <c r="W784"/>
      <c r="X784"/>
      <c r="Y784"/>
      <c r="Z784"/>
      <c r="AA784"/>
      <c r="AB784"/>
      <c r="AC784"/>
      <c r="AD784"/>
      <c r="AE784"/>
      <c r="AF784"/>
      <c r="AG784"/>
      <c r="AH784"/>
      <c r="AI784"/>
      <c r="AJ784"/>
      <c r="AK784"/>
      <c r="AL784"/>
      <c r="AM784"/>
      <c r="AN784"/>
      <c r="AO784"/>
      <c r="AP784"/>
      <c r="AQ784"/>
      <c r="AR784"/>
      <c r="AS784"/>
      <c r="AT784"/>
      <c r="AU784"/>
      <c r="AV784"/>
      <c r="AW784"/>
      <c r="AX784"/>
      <c r="AY784"/>
      <c r="AZ784"/>
      <c r="BA784"/>
      <c r="BB784"/>
      <c r="BC784"/>
      <c r="BD784"/>
      <c r="BE784"/>
      <c r="BF784"/>
      <c r="BG784"/>
      <c r="BH784"/>
      <c r="BI784"/>
      <c r="BJ784"/>
      <c r="BK784"/>
      <c r="BL784"/>
      <c r="BM784"/>
      <c r="BN784"/>
      <c r="BO784"/>
      <c r="BP784"/>
      <c r="BQ784"/>
      <c r="BR784"/>
      <c r="BS784"/>
      <c r="BT784"/>
      <c r="BU784"/>
      <c r="BV784"/>
      <c r="BW784"/>
      <c r="BX784"/>
      <c r="BY784"/>
      <c r="BZ784"/>
      <c r="CA784"/>
      <c r="CB784"/>
      <c r="CC784"/>
      <c r="CD784"/>
      <c r="CE784"/>
      <c r="CF784"/>
      <c r="CG784"/>
      <c r="CH784"/>
      <c r="CI784"/>
      <c r="CJ784"/>
      <c r="CK784"/>
      <c r="CL784"/>
      <c r="CM784"/>
      <c r="CN784"/>
      <c r="CO784"/>
      <c r="CP784"/>
      <c r="CQ784"/>
      <c r="CR784"/>
      <c r="CS784"/>
      <c r="CT784"/>
      <c r="CU784"/>
      <c r="CV784"/>
      <c r="CW784"/>
      <c r="CX784"/>
      <c r="CY784"/>
      <c r="CZ784"/>
      <c r="DA784"/>
      <c r="DB784"/>
      <c r="DC784"/>
      <c r="DD784"/>
      <c r="DE784"/>
      <c r="DF784"/>
      <c r="DG784"/>
      <c r="DH784"/>
      <c r="DI784"/>
      <c r="DJ784"/>
      <c r="DK784"/>
      <c r="DL784"/>
      <c r="DM784"/>
      <c r="DN784"/>
      <c r="DO784"/>
      <c r="DP784"/>
      <c r="DQ784"/>
      <c r="DR784"/>
      <c r="DS784"/>
      <c r="DT784"/>
      <c r="DU784"/>
      <c r="DV784"/>
      <c r="DW784"/>
      <c r="DX784"/>
      <c r="DY784"/>
      <c r="DZ784"/>
      <c r="EA784"/>
      <c r="EB784"/>
      <c r="EC784"/>
      <c r="ED784"/>
      <c r="EE784"/>
      <c r="EF784"/>
      <c r="EG784"/>
      <c r="EH784"/>
      <c r="EI784"/>
      <c r="EJ784"/>
      <c r="EK784"/>
      <c r="EL784"/>
      <c r="EM784"/>
      <c r="EN784"/>
      <c r="EO784"/>
      <c r="EP784"/>
      <c r="EQ784"/>
      <c r="ER784"/>
      <c r="ES784"/>
      <c r="ET784"/>
      <c r="EU784"/>
      <c r="EV784"/>
      <c r="EW784"/>
      <c r="EX784"/>
      <c r="EY784"/>
      <c r="EZ784"/>
      <c r="FA784"/>
      <c r="FB784"/>
      <c r="FC784"/>
      <c r="FD784"/>
      <c r="FE784"/>
      <c r="FF784"/>
      <c r="FG784"/>
      <c r="FH784"/>
      <c r="FI784"/>
      <c r="FJ784"/>
      <c r="FK784"/>
      <c r="FL784"/>
      <c r="FM784"/>
      <c r="FN784"/>
      <c r="FO784"/>
      <c r="FP784"/>
      <c r="FQ784"/>
      <c r="FR784"/>
      <c r="FS784"/>
      <c r="FT784"/>
      <c r="FU784"/>
      <c r="FV784"/>
      <c r="FW784"/>
      <c r="FX784"/>
      <c r="FY784"/>
      <c r="FZ784"/>
      <c r="GA784"/>
      <c r="GB784"/>
      <c r="GC784"/>
      <c r="GD784"/>
      <c r="GE784"/>
      <c r="GF784"/>
      <c r="GG784"/>
      <c r="GH784"/>
      <c r="GI784"/>
      <c r="GJ784"/>
      <c r="GK784"/>
      <c r="GL784"/>
      <c r="GM784"/>
      <c r="GN784"/>
      <c r="GO784"/>
      <c r="GP784"/>
      <c r="GQ784"/>
      <c r="GR784"/>
      <c r="GS784"/>
      <c r="GT784"/>
      <c r="GU784"/>
      <c r="GV784"/>
      <c r="GW784"/>
      <c r="GX784"/>
      <c r="GY784"/>
      <c r="GZ784"/>
      <c r="HA784"/>
      <c r="HB784"/>
      <c r="HC784"/>
      <c r="HD784"/>
      <c r="HE784"/>
      <c r="HF784"/>
      <c r="HG784"/>
      <c r="HH784"/>
      <c r="HI784"/>
      <c r="HJ784"/>
      <c r="HK784"/>
      <c r="HL784"/>
      <c r="HM784"/>
      <c r="HN784"/>
      <c r="HO784"/>
      <c r="HP784"/>
      <c r="HQ784"/>
      <c r="HR784"/>
      <c r="HS784"/>
      <c r="HT784"/>
      <c r="HU784"/>
      <c r="HV784"/>
      <c r="HW784"/>
      <c r="HX784"/>
      <c r="HY784"/>
      <c r="HZ784"/>
      <c r="IA784"/>
      <c r="IB784"/>
      <c r="IC784"/>
      <c r="ID784"/>
      <c r="IE784"/>
      <c r="IF784"/>
      <c r="IG784"/>
      <c r="IH784"/>
      <c r="II784"/>
      <c r="IJ784"/>
      <c r="IK784"/>
      <c r="IL784"/>
      <c r="IM784"/>
      <c r="IN784"/>
      <c r="IO784"/>
      <c r="IP784"/>
      <c r="IQ784"/>
      <c r="IR784"/>
      <c r="IS784"/>
      <c r="IT784"/>
      <c r="IU784"/>
      <c r="IV784"/>
      <c r="IW784"/>
      <c r="IX784"/>
    </row>
    <row r="785" spans="1:259" ht="12.75" customHeight="1" x14ac:dyDescent="0.2">
      <c r="A785" s="851"/>
      <c r="B785" s="987" t="s">
        <v>1115</v>
      </c>
      <c r="C785" s="718">
        <f t="shared" ref="C785:I785" si="161">C786+C790+C798</f>
        <v>33650000</v>
      </c>
      <c r="D785" s="718">
        <f t="shared" si="161"/>
        <v>36194197.810000002</v>
      </c>
      <c r="E785" s="897">
        <f t="shared" si="161"/>
        <v>36194197.810000002</v>
      </c>
      <c r="F785" s="718">
        <f t="shared" si="161"/>
        <v>36064660.469999999</v>
      </c>
      <c r="G785" s="718">
        <f>G786+G790+G798</f>
        <v>30297660.469999999</v>
      </c>
      <c r="H785" s="699">
        <f t="shared" si="161"/>
        <v>25037660.469999999</v>
      </c>
      <c r="I785" s="718">
        <f t="shared" si="161"/>
        <v>35690000</v>
      </c>
      <c r="J785" s="1081"/>
      <c r="K785" s="1364">
        <f>K786+K790+K801</f>
        <v>0</v>
      </c>
      <c r="L785" s="848"/>
      <c r="M785" s="887"/>
      <c r="N785" s="843"/>
      <c r="O785"/>
      <c r="P785"/>
      <c r="Q785"/>
      <c r="R785"/>
      <c r="S785"/>
      <c r="T785"/>
      <c r="U785"/>
      <c r="V785"/>
      <c r="W785"/>
      <c r="X785"/>
      <c r="Y785"/>
      <c r="Z785"/>
      <c r="AA785"/>
      <c r="AB785"/>
      <c r="AC785"/>
      <c r="AD785"/>
      <c r="AE785"/>
      <c r="AF785"/>
      <c r="AG785"/>
      <c r="AH785"/>
      <c r="AI785"/>
      <c r="AJ785"/>
      <c r="AK785"/>
      <c r="AL785"/>
      <c r="AM785"/>
      <c r="AN785"/>
      <c r="AO785"/>
      <c r="AP785"/>
      <c r="AQ785"/>
      <c r="AR785"/>
      <c r="AS785"/>
      <c r="AT785"/>
      <c r="AU785"/>
      <c r="AV785"/>
      <c r="AW785"/>
      <c r="AX785"/>
      <c r="AY785"/>
      <c r="AZ785"/>
      <c r="BA785"/>
      <c r="BB785"/>
      <c r="BC785"/>
      <c r="BD785"/>
      <c r="BE785"/>
      <c r="BF785"/>
      <c r="BG785"/>
      <c r="BH785"/>
      <c r="BI785"/>
      <c r="BJ785"/>
      <c r="BK785"/>
      <c r="BL785"/>
      <c r="BM785"/>
      <c r="BN785"/>
      <c r="BO785"/>
      <c r="BP785"/>
      <c r="BQ785"/>
      <c r="BR785"/>
      <c r="BS785"/>
      <c r="BT785"/>
      <c r="BU785"/>
      <c r="BV785"/>
      <c r="BW785"/>
      <c r="BX785"/>
      <c r="BY785"/>
      <c r="BZ785"/>
      <c r="CA785"/>
      <c r="CB785"/>
      <c r="CC785"/>
      <c r="CD785"/>
      <c r="CE785"/>
      <c r="CF785"/>
      <c r="CG785"/>
      <c r="CH785"/>
      <c r="CI785"/>
      <c r="CJ785"/>
      <c r="CK785"/>
      <c r="CL785"/>
      <c r="CM785"/>
      <c r="CN785"/>
      <c r="CO785"/>
      <c r="CP785"/>
      <c r="CQ785"/>
      <c r="CR785"/>
      <c r="CS785"/>
      <c r="CT785"/>
      <c r="CU785"/>
      <c r="CV785"/>
      <c r="CW785"/>
      <c r="CX785"/>
      <c r="CY785"/>
      <c r="CZ785"/>
      <c r="DA785"/>
      <c r="DB785"/>
      <c r="DC785"/>
      <c r="DD785"/>
      <c r="DE785"/>
      <c r="DF785"/>
      <c r="DG785"/>
      <c r="DH785"/>
      <c r="DI785"/>
      <c r="DJ785"/>
      <c r="DK785"/>
      <c r="DL785"/>
      <c r="DM785"/>
      <c r="DN785"/>
      <c r="DO785"/>
      <c r="DP785"/>
      <c r="DQ785"/>
      <c r="DR785"/>
      <c r="DS785"/>
      <c r="DT785"/>
      <c r="DU785"/>
      <c r="DV785"/>
      <c r="DW785"/>
      <c r="DX785"/>
      <c r="DY785"/>
      <c r="DZ785"/>
      <c r="EA785"/>
      <c r="EB785"/>
      <c r="EC785"/>
      <c r="ED785"/>
      <c r="EE785"/>
      <c r="EF785"/>
      <c r="EG785"/>
      <c r="EH785"/>
      <c r="EI785"/>
      <c r="EJ785"/>
      <c r="EK785"/>
      <c r="EL785"/>
      <c r="EM785"/>
      <c r="EN785"/>
      <c r="EO785"/>
      <c r="EP785"/>
      <c r="EQ785"/>
      <c r="ER785"/>
      <c r="ES785"/>
      <c r="ET785"/>
      <c r="EU785"/>
      <c r="EV785"/>
      <c r="EW785"/>
      <c r="EX785"/>
      <c r="EY785"/>
      <c r="EZ785"/>
      <c r="FA785"/>
      <c r="FB785"/>
      <c r="FC785"/>
      <c r="FD785"/>
      <c r="FE785"/>
      <c r="FF785"/>
      <c r="FG785"/>
      <c r="FH785"/>
      <c r="FI785"/>
      <c r="FJ785"/>
      <c r="FK785"/>
      <c r="FL785"/>
      <c r="FM785"/>
      <c r="FN785"/>
      <c r="FO785"/>
      <c r="FP785"/>
      <c r="FQ785"/>
      <c r="FR785"/>
      <c r="FS785"/>
      <c r="FT785"/>
      <c r="FU785"/>
      <c r="FV785"/>
      <c r="FW785"/>
      <c r="FX785"/>
      <c r="FY785"/>
      <c r="FZ785"/>
      <c r="GA785"/>
      <c r="GB785"/>
      <c r="GC785"/>
      <c r="GD785"/>
      <c r="GE785"/>
      <c r="GF785"/>
      <c r="GG785"/>
      <c r="GH785"/>
      <c r="GI785"/>
      <c r="GJ785"/>
      <c r="GK785"/>
      <c r="GL785"/>
      <c r="GM785"/>
      <c r="GN785"/>
      <c r="GO785"/>
      <c r="GP785"/>
      <c r="GQ785"/>
      <c r="GR785"/>
      <c r="GS785"/>
      <c r="GT785"/>
      <c r="GU785"/>
      <c r="GV785"/>
      <c r="GW785"/>
      <c r="GX785"/>
      <c r="GY785"/>
      <c r="GZ785"/>
      <c r="HA785"/>
      <c r="HB785"/>
      <c r="HC785"/>
      <c r="HD785"/>
      <c r="HE785"/>
      <c r="HF785"/>
      <c r="HG785"/>
      <c r="HH785"/>
      <c r="HI785"/>
      <c r="HJ785"/>
      <c r="HK785"/>
      <c r="HL785"/>
      <c r="HM785"/>
      <c r="HN785"/>
      <c r="HO785"/>
      <c r="HP785"/>
      <c r="HQ785"/>
      <c r="HR785"/>
      <c r="HS785"/>
      <c r="HT785"/>
      <c r="HU785"/>
      <c r="HV785"/>
      <c r="HW785"/>
      <c r="HX785"/>
      <c r="HY785"/>
      <c r="HZ785"/>
      <c r="IA785"/>
      <c r="IB785"/>
      <c r="IC785"/>
      <c r="ID785"/>
      <c r="IE785"/>
      <c r="IF785"/>
      <c r="IG785"/>
      <c r="IH785"/>
      <c r="II785"/>
      <c r="IJ785"/>
      <c r="IK785"/>
      <c r="IL785"/>
      <c r="IM785"/>
      <c r="IN785"/>
      <c r="IO785"/>
      <c r="IP785"/>
      <c r="IQ785"/>
      <c r="IR785"/>
      <c r="IS785"/>
      <c r="IT785"/>
      <c r="IU785"/>
      <c r="IV785"/>
      <c r="IW785"/>
      <c r="IX785"/>
    </row>
    <row r="786" spans="1:259" ht="12.75" customHeight="1" x14ac:dyDescent="0.2">
      <c r="A786" s="851"/>
      <c r="B786" s="926" t="s">
        <v>807</v>
      </c>
      <c r="C786" s="852">
        <f>SUM(C787:C789)</f>
        <v>1680000</v>
      </c>
      <c r="D786" s="852">
        <f>SUM(D787:D789)</f>
        <v>741374</v>
      </c>
      <c r="E786" s="1225">
        <f>SUM(E787:E789)</f>
        <v>741374</v>
      </c>
      <c r="F786" s="852">
        <f>F787+F788+F789</f>
        <v>689946.75</v>
      </c>
      <c r="G786" s="852">
        <f>G787+G788+G789</f>
        <v>689946.75</v>
      </c>
      <c r="H786" s="2095">
        <f>H787+H788+H789</f>
        <v>689946.75</v>
      </c>
      <c r="I786" s="852">
        <f>SUM(I787:I789)</f>
        <v>790000</v>
      </c>
      <c r="J786" s="852">
        <f t="shared" ref="J786:K786" si="162">J787+J788+J789</f>
        <v>0</v>
      </c>
      <c r="K786" s="1365">
        <f t="shared" si="162"/>
        <v>0</v>
      </c>
      <c r="L786" s="848"/>
      <c r="M786" s="887"/>
      <c r="N786" s="843"/>
      <c r="O786"/>
      <c r="P786"/>
      <c r="Q786"/>
      <c r="R786"/>
      <c r="S786"/>
      <c r="T786"/>
      <c r="U786"/>
      <c r="V786"/>
      <c r="W786"/>
      <c r="X786"/>
      <c r="Y786"/>
      <c r="Z786"/>
      <c r="AA786"/>
      <c r="AB786"/>
      <c r="AC786"/>
      <c r="AD786"/>
      <c r="AE786"/>
      <c r="AF786"/>
      <c r="AG786"/>
      <c r="AH786"/>
      <c r="AI786"/>
      <c r="AJ786"/>
      <c r="AK786"/>
      <c r="AL786"/>
      <c r="AM786"/>
      <c r="AN786"/>
      <c r="AO786"/>
      <c r="AP786"/>
      <c r="AQ786"/>
      <c r="AR786"/>
      <c r="AS786"/>
      <c r="AT786"/>
      <c r="AU786"/>
      <c r="AV786"/>
      <c r="AW786"/>
      <c r="AX786"/>
      <c r="AY786"/>
      <c r="AZ786"/>
      <c r="BA786"/>
      <c r="BB786"/>
      <c r="BC786"/>
      <c r="BD786"/>
      <c r="BE786"/>
      <c r="BF786"/>
      <c r="BG786"/>
      <c r="BH786"/>
      <c r="BI786"/>
      <c r="BJ786"/>
      <c r="BK786"/>
      <c r="BL786"/>
      <c r="BM786"/>
      <c r="BN786"/>
      <c r="BO786"/>
      <c r="BP786"/>
      <c r="BQ786"/>
      <c r="BR786"/>
      <c r="BS786"/>
      <c r="BT786"/>
      <c r="BU786"/>
      <c r="BV786"/>
      <c r="BW786"/>
      <c r="BX786"/>
      <c r="BY786"/>
      <c r="BZ786"/>
      <c r="CA786"/>
      <c r="CB786"/>
      <c r="CC786"/>
      <c r="CD786"/>
      <c r="CE786"/>
      <c r="CF786"/>
      <c r="CG786"/>
      <c r="CH786"/>
      <c r="CI786"/>
      <c r="CJ786"/>
      <c r="CK786"/>
      <c r="CL786"/>
      <c r="CM786"/>
      <c r="CN786"/>
      <c r="CO786"/>
      <c r="CP786"/>
      <c r="CQ786"/>
      <c r="CR786"/>
      <c r="CS786"/>
      <c r="CT786"/>
      <c r="CU786"/>
      <c r="CV786"/>
      <c r="CW786"/>
      <c r="CX786"/>
      <c r="CY786"/>
      <c r="CZ786"/>
      <c r="DA786"/>
      <c r="DB786"/>
      <c r="DC786"/>
      <c r="DD786"/>
      <c r="DE786"/>
      <c r="DF786"/>
      <c r="DG786"/>
      <c r="DH786"/>
      <c r="DI786"/>
      <c r="DJ786"/>
      <c r="DK786"/>
      <c r="DL786"/>
      <c r="DM786"/>
      <c r="DN786"/>
      <c r="DO786"/>
      <c r="DP786"/>
      <c r="DQ786"/>
      <c r="DR786"/>
      <c r="DS786"/>
      <c r="DT786"/>
      <c r="DU786"/>
      <c r="DV786"/>
      <c r="DW786"/>
      <c r="DX786"/>
      <c r="DY786"/>
      <c r="DZ786"/>
      <c r="EA786"/>
      <c r="EB786"/>
      <c r="EC786"/>
      <c r="ED786"/>
      <c r="EE786"/>
      <c r="EF786"/>
      <c r="EG786"/>
      <c r="EH786"/>
      <c r="EI786"/>
      <c r="EJ786"/>
      <c r="EK786"/>
      <c r="EL786"/>
      <c r="EM786"/>
      <c r="EN786"/>
      <c r="EO786"/>
      <c r="EP786"/>
      <c r="EQ786"/>
      <c r="ER786"/>
      <c r="ES786"/>
      <c r="ET786"/>
      <c r="EU786"/>
      <c r="EV786"/>
      <c r="EW786"/>
      <c r="EX786"/>
      <c r="EY786"/>
      <c r="EZ786"/>
      <c r="FA786"/>
      <c r="FB786"/>
      <c r="FC786"/>
      <c r="FD786"/>
      <c r="FE786"/>
      <c r="FF786"/>
      <c r="FG786"/>
      <c r="FH786"/>
      <c r="FI786"/>
      <c r="FJ786"/>
      <c r="FK786"/>
      <c r="FL786"/>
      <c r="FM786"/>
      <c r="FN786"/>
      <c r="FO786"/>
      <c r="FP786"/>
      <c r="FQ786"/>
      <c r="FR786"/>
      <c r="FS786"/>
      <c r="FT786"/>
      <c r="FU786"/>
      <c r="FV786"/>
      <c r="FW786"/>
      <c r="FX786"/>
      <c r="FY786"/>
      <c r="FZ786"/>
      <c r="GA786"/>
      <c r="GB786"/>
      <c r="GC786"/>
      <c r="GD786"/>
      <c r="GE786"/>
      <c r="GF786"/>
      <c r="GG786"/>
      <c r="GH786"/>
      <c r="GI786"/>
      <c r="GJ786"/>
      <c r="GK786"/>
      <c r="GL786"/>
      <c r="GM786"/>
      <c r="GN786"/>
      <c r="GO786"/>
      <c r="GP786"/>
      <c r="GQ786"/>
      <c r="GR786"/>
      <c r="GS786"/>
      <c r="GT786"/>
      <c r="GU786"/>
      <c r="GV786"/>
      <c r="GW786"/>
      <c r="GX786"/>
      <c r="GY786"/>
      <c r="GZ786"/>
      <c r="HA786"/>
      <c r="HB786"/>
      <c r="HC786"/>
      <c r="HD786"/>
      <c r="HE786"/>
      <c r="HF786"/>
      <c r="HG786"/>
      <c r="HH786"/>
      <c r="HI786"/>
      <c r="HJ786"/>
      <c r="HK786"/>
      <c r="HL786"/>
      <c r="HM786"/>
      <c r="HN786"/>
      <c r="HO786"/>
      <c r="HP786"/>
      <c r="HQ786"/>
      <c r="HR786"/>
      <c r="HS786"/>
      <c r="HT786"/>
      <c r="HU786"/>
      <c r="HV786"/>
      <c r="HW786"/>
      <c r="HX786"/>
      <c r="HY786"/>
      <c r="HZ786"/>
      <c r="IA786"/>
      <c r="IB786"/>
      <c r="IC786"/>
      <c r="ID786"/>
      <c r="IE786"/>
      <c r="IF786"/>
      <c r="IG786"/>
      <c r="IH786"/>
      <c r="II786"/>
      <c r="IJ786"/>
      <c r="IK786"/>
      <c r="IL786"/>
      <c r="IM786"/>
      <c r="IN786"/>
      <c r="IO786"/>
      <c r="IP786"/>
      <c r="IQ786"/>
      <c r="IR786"/>
      <c r="IS786"/>
      <c r="IT786"/>
      <c r="IU786"/>
      <c r="IV786"/>
      <c r="IW786"/>
      <c r="IX786"/>
    </row>
    <row r="787" spans="1:259" ht="12.75" customHeight="1" x14ac:dyDescent="0.2">
      <c r="A787" s="851"/>
      <c r="B787" s="988" t="s">
        <v>1116</v>
      </c>
      <c r="C787" s="733">
        <v>1500000</v>
      </c>
      <c r="D787" s="733">
        <f>1500000-431000-152880-400000</f>
        <v>516120</v>
      </c>
      <c r="E787" s="904">
        <v>516120</v>
      </c>
      <c r="F787" s="733">
        <v>511542.02</v>
      </c>
      <c r="G787" s="733">
        <v>511542.02</v>
      </c>
      <c r="H787" s="457">
        <v>511542.02</v>
      </c>
      <c r="I787" s="733">
        <v>0</v>
      </c>
      <c r="J787" s="733"/>
      <c r="K787" s="1276"/>
      <c r="L787" s="848"/>
      <c r="M787" s="887"/>
      <c r="N787" s="843"/>
      <c r="O787"/>
      <c r="P787"/>
      <c r="Q787"/>
      <c r="R787"/>
      <c r="S787"/>
      <c r="T787"/>
      <c r="U787"/>
      <c r="V787"/>
      <c r="W787"/>
      <c r="X787"/>
      <c r="Y787"/>
      <c r="Z787"/>
      <c r="AA787"/>
      <c r="AB787"/>
      <c r="AC787"/>
      <c r="AD787"/>
      <c r="AE787"/>
      <c r="AF787"/>
      <c r="AG787"/>
      <c r="AH787"/>
      <c r="AI787"/>
      <c r="AJ787"/>
      <c r="AK787"/>
      <c r="AL787"/>
      <c r="AM787"/>
      <c r="AN787"/>
      <c r="AO787"/>
      <c r="AP787"/>
      <c r="AQ787"/>
      <c r="AR787"/>
      <c r="AS787"/>
      <c r="AT787"/>
      <c r="AU787"/>
      <c r="AV787"/>
      <c r="AW787"/>
      <c r="AX787"/>
      <c r="AY787"/>
      <c r="AZ787"/>
      <c r="BA787"/>
      <c r="BB787"/>
      <c r="BC787"/>
      <c r="BD787"/>
      <c r="BE787"/>
      <c r="BF787"/>
      <c r="BG787"/>
      <c r="BH787"/>
      <c r="BI787"/>
      <c r="BJ787"/>
      <c r="BK787"/>
      <c r="BL787"/>
      <c r="BM787"/>
      <c r="BN787"/>
      <c r="BO787"/>
      <c r="BP787"/>
      <c r="BQ787"/>
      <c r="BR787"/>
      <c r="BS787"/>
      <c r="BT787"/>
      <c r="BU787"/>
      <c r="BV787"/>
      <c r="BW787"/>
      <c r="BX787"/>
      <c r="BY787"/>
      <c r="BZ787"/>
      <c r="CA787"/>
      <c r="CB787"/>
      <c r="CC787"/>
      <c r="CD787"/>
      <c r="CE787"/>
      <c r="CF787"/>
      <c r="CG787"/>
      <c r="CH787"/>
      <c r="CI787"/>
      <c r="CJ787"/>
      <c r="CK787"/>
      <c r="CL787"/>
      <c r="CM787"/>
      <c r="CN787"/>
      <c r="CO787"/>
      <c r="CP787"/>
      <c r="CQ787"/>
      <c r="CR787"/>
      <c r="CS787"/>
      <c r="CT787"/>
      <c r="CU787"/>
      <c r="CV787"/>
      <c r="CW787"/>
      <c r="CX787"/>
      <c r="CY787"/>
      <c r="CZ787"/>
      <c r="DA787"/>
      <c r="DB787"/>
      <c r="DC787"/>
      <c r="DD787"/>
      <c r="DE787"/>
      <c r="DF787"/>
      <c r="DG787"/>
      <c r="DH787"/>
      <c r="DI787"/>
      <c r="DJ787"/>
      <c r="DK787"/>
      <c r="DL787"/>
      <c r="DM787"/>
      <c r="DN787"/>
      <c r="DO787"/>
      <c r="DP787"/>
      <c r="DQ787"/>
      <c r="DR787"/>
      <c r="DS787"/>
      <c r="DT787"/>
      <c r="DU787"/>
      <c r="DV787"/>
      <c r="DW787"/>
      <c r="DX787"/>
      <c r="DY787"/>
      <c r="DZ787"/>
      <c r="EA787"/>
      <c r="EB787"/>
      <c r="EC787"/>
      <c r="ED787"/>
      <c r="EE787"/>
      <c r="EF787"/>
      <c r="EG787"/>
      <c r="EH787"/>
      <c r="EI787"/>
      <c r="EJ787"/>
      <c r="EK787"/>
      <c r="EL787"/>
      <c r="EM787"/>
      <c r="EN787"/>
      <c r="EO787"/>
      <c r="EP787"/>
      <c r="EQ787"/>
      <c r="ER787"/>
      <c r="ES787"/>
      <c r="ET787"/>
      <c r="EU787"/>
      <c r="EV787"/>
      <c r="EW787"/>
      <c r="EX787"/>
      <c r="EY787"/>
      <c r="EZ787"/>
      <c r="FA787"/>
      <c r="FB787"/>
      <c r="FC787"/>
      <c r="FD787"/>
      <c r="FE787"/>
      <c r="FF787"/>
      <c r="FG787"/>
      <c r="FH787"/>
      <c r="FI787"/>
      <c r="FJ787"/>
      <c r="FK787"/>
      <c r="FL787"/>
      <c r="FM787"/>
      <c r="FN787"/>
      <c r="FO787"/>
      <c r="FP787"/>
      <c r="FQ787"/>
      <c r="FR787"/>
      <c r="FS787"/>
      <c r="FT787"/>
      <c r="FU787"/>
      <c r="FV787"/>
      <c r="FW787"/>
      <c r="FX787"/>
      <c r="FY787"/>
      <c r="FZ787"/>
      <c r="GA787"/>
      <c r="GB787"/>
      <c r="GC787"/>
      <c r="GD787"/>
      <c r="GE787"/>
      <c r="GF787"/>
      <c r="GG787"/>
      <c r="GH787"/>
      <c r="GI787"/>
      <c r="GJ787"/>
      <c r="GK787"/>
      <c r="GL787"/>
      <c r="GM787"/>
      <c r="GN787"/>
      <c r="GO787"/>
      <c r="GP787"/>
      <c r="GQ787"/>
      <c r="GR787"/>
      <c r="GS787"/>
      <c r="GT787"/>
      <c r="GU787"/>
      <c r="GV787"/>
      <c r="GW787"/>
      <c r="GX787"/>
      <c r="GY787"/>
      <c r="GZ787"/>
      <c r="HA787"/>
      <c r="HB787"/>
      <c r="HC787"/>
      <c r="HD787"/>
      <c r="HE787"/>
      <c r="HF787"/>
      <c r="HG787"/>
      <c r="HH787"/>
      <c r="HI787"/>
      <c r="HJ787"/>
      <c r="HK787"/>
      <c r="HL787"/>
      <c r="HM787"/>
      <c r="HN787"/>
      <c r="HO787"/>
      <c r="HP787"/>
      <c r="HQ787"/>
      <c r="HR787"/>
      <c r="HS787"/>
      <c r="HT787"/>
      <c r="HU787"/>
      <c r="HV787"/>
      <c r="HW787"/>
      <c r="HX787"/>
      <c r="HY787"/>
      <c r="HZ787"/>
      <c r="IA787"/>
      <c r="IB787"/>
      <c r="IC787"/>
      <c r="ID787"/>
      <c r="IE787"/>
      <c r="IF787"/>
      <c r="IG787"/>
      <c r="IH787"/>
      <c r="II787"/>
      <c r="IJ787"/>
      <c r="IK787"/>
      <c r="IL787"/>
      <c r="IM787"/>
      <c r="IN787"/>
      <c r="IO787"/>
      <c r="IP787"/>
      <c r="IQ787"/>
      <c r="IR787"/>
      <c r="IS787"/>
      <c r="IT787"/>
      <c r="IU787"/>
      <c r="IV787"/>
      <c r="IW787"/>
      <c r="IX787"/>
    </row>
    <row r="788" spans="1:259" ht="12.75" customHeight="1" x14ac:dyDescent="0.2">
      <c r="A788" s="851"/>
      <c r="B788" s="1791" t="s">
        <v>1463</v>
      </c>
      <c r="C788" s="1572">
        <v>0</v>
      </c>
      <c r="D788" s="733">
        <v>0</v>
      </c>
      <c r="E788" s="904">
        <v>0</v>
      </c>
      <c r="F788" s="733">
        <v>0</v>
      </c>
      <c r="G788" s="733">
        <v>0</v>
      </c>
      <c r="H788" s="1176">
        <v>0</v>
      </c>
      <c r="I788" s="1572">
        <v>790000</v>
      </c>
      <c r="J788" s="1416"/>
      <c r="K788" s="1364"/>
      <c r="L788" s="848"/>
      <c r="M788" s="887"/>
      <c r="N788" s="843"/>
      <c r="O788"/>
      <c r="P788"/>
      <c r="Q788"/>
      <c r="R788"/>
      <c r="S788"/>
      <c r="T788"/>
      <c r="U788"/>
      <c r="V788"/>
      <c r="W788"/>
      <c r="X788"/>
      <c r="Y788"/>
      <c r="Z788"/>
      <c r="AA788"/>
      <c r="AB788"/>
      <c r="AC788"/>
      <c r="AD788"/>
      <c r="AE788"/>
      <c r="AF788"/>
      <c r="AG788"/>
      <c r="AH788"/>
      <c r="AI788"/>
      <c r="AJ788"/>
      <c r="AK788"/>
      <c r="AL788"/>
      <c r="AM788"/>
      <c r="AN788"/>
      <c r="AO788"/>
      <c r="AP788"/>
      <c r="AQ788"/>
      <c r="AR788"/>
      <c r="AS788"/>
      <c r="AT788"/>
      <c r="AU788"/>
      <c r="AV788"/>
      <c r="AW788"/>
      <c r="AX788"/>
      <c r="AY788"/>
      <c r="AZ788"/>
      <c r="BA788"/>
      <c r="BB788"/>
      <c r="BC788"/>
      <c r="BD788"/>
      <c r="BE788"/>
      <c r="BF788"/>
      <c r="BG788"/>
      <c r="BH788"/>
      <c r="BI788"/>
      <c r="BJ788"/>
      <c r="BK788"/>
      <c r="BL788"/>
      <c r="BM788"/>
      <c r="BN788"/>
      <c r="BO788"/>
      <c r="BP788"/>
      <c r="BQ788"/>
      <c r="BR788"/>
      <c r="BS788"/>
      <c r="BT788"/>
      <c r="BU788"/>
      <c r="BV788"/>
      <c r="BW788"/>
      <c r="BX788"/>
      <c r="BY788"/>
      <c r="BZ788"/>
      <c r="CA788"/>
      <c r="CB788"/>
      <c r="CC788"/>
      <c r="CD788"/>
      <c r="CE788"/>
      <c r="CF788"/>
      <c r="CG788"/>
      <c r="CH788"/>
      <c r="CI788"/>
      <c r="CJ788"/>
      <c r="CK788"/>
      <c r="CL788"/>
      <c r="CM788"/>
      <c r="CN788"/>
      <c r="CO788"/>
      <c r="CP788"/>
      <c r="CQ788"/>
      <c r="CR788"/>
      <c r="CS788"/>
      <c r="CT788"/>
      <c r="CU788"/>
      <c r="CV788"/>
      <c r="CW788"/>
      <c r="CX788"/>
      <c r="CY788"/>
      <c r="CZ788"/>
      <c r="DA788"/>
      <c r="DB788"/>
      <c r="DC788"/>
      <c r="DD788"/>
      <c r="DE788"/>
      <c r="DF788"/>
      <c r="DG788"/>
      <c r="DH788"/>
      <c r="DI788"/>
      <c r="DJ788"/>
      <c r="DK788"/>
      <c r="DL788"/>
      <c r="DM788"/>
      <c r="DN788"/>
      <c r="DO788"/>
      <c r="DP788"/>
      <c r="DQ788"/>
      <c r="DR788"/>
      <c r="DS788"/>
      <c r="DT788"/>
      <c r="DU788"/>
      <c r="DV788"/>
      <c r="DW788"/>
      <c r="DX788"/>
      <c r="DY788"/>
      <c r="DZ788"/>
      <c r="EA788"/>
      <c r="EB788"/>
      <c r="EC788"/>
      <c r="ED788"/>
      <c r="EE788"/>
      <c r="EF788"/>
      <c r="EG788"/>
      <c r="EH788"/>
      <c r="EI788"/>
      <c r="EJ788"/>
      <c r="EK788"/>
      <c r="EL788"/>
      <c r="EM788"/>
      <c r="EN788"/>
      <c r="EO788"/>
      <c r="EP788"/>
      <c r="EQ788"/>
      <c r="ER788"/>
      <c r="ES788"/>
      <c r="ET788"/>
      <c r="EU788"/>
      <c r="EV788"/>
      <c r="EW788"/>
      <c r="EX788"/>
      <c r="EY788"/>
      <c r="EZ788"/>
      <c r="FA788"/>
      <c r="FB788"/>
      <c r="FC788"/>
      <c r="FD788"/>
      <c r="FE788"/>
      <c r="FF788"/>
      <c r="FG788"/>
      <c r="FH788"/>
      <c r="FI788"/>
      <c r="FJ788"/>
      <c r="FK788"/>
      <c r="FL788"/>
      <c r="FM788"/>
      <c r="FN788"/>
      <c r="FO788"/>
      <c r="FP788"/>
      <c r="FQ788"/>
      <c r="FR788"/>
      <c r="FS788"/>
      <c r="FT788"/>
      <c r="FU788"/>
      <c r="FV788"/>
      <c r="FW788"/>
      <c r="FX788"/>
      <c r="FY788"/>
      <c r="FZ788"/>
      <c r="GA788"/>
      <c r="GB788"/>
      <c r="GC788"/>
      <c r="GD788"/>
      <c r="GE788"/>
      <c r="GF788"/>
      <c r="GG788"/>
      <c r="GH788"/>
      <c r="GI788"/>
      <c r="GJ788"/>
      <c r="GK788"/>
      <c r="GL788"/>
      <c r="GM788"/>
      <c r="GN788"/>
      <c r="GO788"/>
      <c r="GP788"/>
      <c r="GQ788"/>
      <c r="GR788"/>
      <c r="GS788"/>
      <c r="GT788"/>
      <c r="GU788"/>
      <c r="GV788"/>
      <c r="GW788"/>
      <c r="GX788"/>
      <c r="GY788"/>
      <c r="GZ788"/>
      <c r="HA788"/>
      <c r="HB788"/>
      <c r="HC788"/>
      <c r="HD788"/>
      <c r="HE788"/>
      <c r="HF788"/>
      <c r="HG788"/>
      <c r="HH788"/>
      <c r="HI788"/>
      <c r="HJ788"/>
      <c r="HK788"/>
      <c r="HL788"/>
      <c r="HM788"/>
      <c r="HN788"/>
      <c r="HO788"/>
      <c r="HP788"/>
      <c r="HQ788"/>
      <c r="HR788"/>
      <c r="HS788"/>
      <c r="HT788"/>
      <c r="HU788"/>
      <c r="HV788"/>
      <c r="HW788"/>
      <c r="HX788"/>
      <c r="HY788"/>
      <c r="HZ788"/>
      <c r="IA788"/>
      <c r="IB788"/>
      <c r="IC788"/>
      <c r="ID788"/>
      <c r="IE788"/>
      <c r="IF788"/>
      <c r="IG788"/>
      <c r="IH788"/>
      <c r="II788"/>
      <c r="IJ788"/>
      <c r="IK788"/>
      <c r="IL788"/>
      <c r="IM788"/>
      <c r="IN788"/>
      <c r="IO788"/>
      <c r="IP788"/>
      <c r="IQ788"/>
      <c r="IR788"/>
      <c r="IS788"/>
      <c r="IT788"/>
      <c r="IU788"/>
      <c r="IV788"/>
      <c r="IW788"/>
      <c r="IX788"/>
    </row>
    <row r="789" spans="1:259" ht="25.5" x14ac:dyDescent="0.2">
      <c r="A789" s="851"/>
      <c r="B789" s="1791" t="s">
        <v>1464</v>
      </c>
      <c r="C789" s="1572">
        <v>180000</v>
      </c>
      <c r="D789" s="733">
        <f>180000+45254</f>
        <v>225254</v>
      </c>
      <c r="E789" s="904">
        <v>225254</v>
      </c>
      <c r="F789" s="733">
        <v>178404.73</v>
      </c>
      <c r="G789" s="733">
        <v>178404.73</v>
      </c>
      <c r="H789" s="1176">
        <v>178404.73</v>
      </c>
      <c r="I789" s="1572">
        <v>0</v>
      </c>
      <c r="J789" s="733"/>
      <c r="K789" s="1276"/>
      <c r="L789" s="1076"/>
      <c r="M789" s="887"/>
      <c r="N789" s="843"/>
      <c r="O789"/>
      <c r="P789"/>
      <c r="Q789"/>
      <c r="R789"/>
      <c r="S789"/>
      <c r="T789"/>
      <c r="U789"/>
      <c r="V789"/>
      <c r="W789"/>
      <c r="X789"/>
      <c r="Y789"/>
      <c r="Z789"/>
      <c r="AA789"/>
      <c r="AB789"/>
      <c r="AC789"/>
      <c r="AD789"/>
      <c r="AE789"/>
      <c r="AF789"/>
      <c r="AG789"/>
      <c r="AH789"/>
      <c r="AI789"/>
      <c r="AJ789"/>
      <c r="AK789"/>
      <c r="AL789"/>
      <c r="AM789"/>
      <c r="AN789"/>
      <c r="AO789"/>
      <c r="AP789"/>
      <c r="AQ789"/>
      <c r="AR789"/>
      <c r="AS789"/>
      <c r="AT789"/>
      <c r="AU789"/>
      <c r="AV789"/>
      <c r="AW789"/>
      <c r="AX789"/>
      <c r="AY789"/>
      <c r="AZ789"/>
      <c r="BA789"/>
      <c r="BB789"/>
      <c r="BC789"/>
      <c r="BD789"/>
      <c r="BE789"/>
      <c r="BF789"/>
      <c r="BG789"/>
      <c r="BH789"/>
      <c r="BI789"/>
      <c r="BJ789"/>
      <c r="BK789"/>
      <c r="BL789"/>
      <c r="BM789"/>
      <c r="BN789"/>
      <c r="BO789"/>
      <c r="BP789"/>
      <c r="BQ789"/>
      <c r="BR789"/>
      <c r="BS789"/>
      <c r="BT789"/>
      <c r="BU789"/>
      <c r="BV789"/>
      <c r="BW789"/>
      <c r="BX789"/>
      <c r="BY789"/>
      <c r="BZ789"/>
      <c r="CA789"/>
      <c r="CB789"/>
      <c r="CC789"/>
      <c r="CD789"/>
      <c r="CE789"/>
      <c r="CF789"/>
      <c r="CG789"/>
      <c r="CH789"/>
      <c r="CI789"/>
      <c r="CJ789"/>
      <c r="CK789"/>
      <c r="CL789"/>
      <c r="CM789"/>
      <c r="CN789"/>
      <c r="CO789"/>
      <c r="CP789"/>
      <c r="CQ789"/>
      <c r="CR789"/>
      <c r="CS789"/>
      <c r="CT789"/>
      <c r="CU789"/>
      <c r="CV789"/>
      <c r="CW789"/>
      <c r="CX789"/>
      <c r="CY789"/>
      <c r="CZ789"/>
      <c r="DA789"/>
      <c r="DB789"/>
      <c r="DC789"/>
      <c r="DD789"/>
      <c r="DE789"/>
      <c r="DF789"/>
      <c r="DG789"/>
      <c r="DH789"/>
      <c r="DI789"/>
      <c r="DJ789"/>
      <c r="DK789"/>
      <c r="DL789"/>
      <c r="DM789"/>
      <c r="DN789"/>
      <c r="DO789"/>
      <c r="DP789"/>
      <c r="DQ789"/>
      <c r="DR789"/>
      <c r="DS789"/>
      <c r="DT789"/>
      <c r="DU789"/>
      <c r="DV789"/>
      <c r="DW789"/>
      <c r="DX789"/>
      <c r="DY789"/>
      <c r="DZ789"/>
      <c r="EA789"/>
      <c r="EB789"/>
      <c r="EC789"/>
      <c r="ED789"/>
      <c r="EE789"/>
      <c r="EF789"/>
      <c r="EG789"/>
      <c r="EH789"/>
      <c r="EI789"/>
      <c r="EJ789"/>
      <c r="EK789"/>
      <c r="EL789"/>
      <c r="EM789"/>
      <c r="EN789"/>
      <c r="EO789"/>
      <c r="EP789"/>
      <c r="EQ789"/>
      <c r="ER789"/>
      <c r="ES789"/>
      <c r="ET789"/>
      <c r="EU789"/>
      <c r="EV789"/>
      <c r="EW789"/>
      <c r="EX789"/>
      <c r="EY789"/>
      <c r="EZ789"/>
      <c r="FA789"/>
      <c r="FB789"/>
      <c r="FC789"/>
      <c r="FD789"/>
      <c r="FE789"/>
      <c r="FF789"/>
      <c r="FG789"/>
      <c r="FH789"/>
      <c r="FI789"/>
      <c r="FJ789"/>
      <c r="FK789"/>
      <c r="FL789"/>
      <c r="FM789"/>
      <c r="FN789"/>
      <c r="FO789"/>
      <c r="FP789"/>
      <c r="FQ789"/>
      <c r="FR789"/>
      <c r="FS789"/>
      <c r="FT789"/>
      <c r="FU789"/>
      <c r="FV789"/>
      <c r="FW789"/>
      <c r="FX789"/>
      <c r="FY789"/>
      <c r="FZ789"/>
      <c r="GA789"/>
      <c r="GB789"/>
      <c r="GC789"/>
      <c r="GD789"/>
      <c r="GE789"/>
      <c r="GF789"/>
      <c r="GG789"/>
      <c r="GH789"/>
      <c r="GI789"/>
      <c r="GJ789"/>
      <c r="GK789"/>
      <c r="GL789"/>
      <c r="GM789"/>
      <c r="GN789"/>
      <c r="GO789"/>
      <c r="GP789"/>
      <c r="GQ789"/>
      <c r="GR789"/>
      <c r="GS789"/>
      <c r="GT789"/>
      <c r="GU789"/>
      <c r="GV789"/>
      <c r="GW789"/>
      <c r="GX789"/>
      <c r="GY789"/>
      <c r="GZ789"/>
      <c r="HA789"/>
      <c r="HB789"/>
      <c r="HC789"/>
      <c r="HD789"/>
      <c r="HE789"/>
      <c r="HF789"/>
      <c r="HG789"/>
      <c r="HH789"/>
      <c r="HI789"/>
      <c r="HJ789"/>
      <c r="HK789"/>
      <c r="HL789"/>
      <c r="HM789"/>
      <c r="HN789"/>
      <c r="HO789"/>
      <c r="HP789"/>
      <c r="HQ789"/>
      <c r="HR789"/>
      <c r="HS789"/>
      <c r="HT789"/>
      <c r="HU789"/>
      <c r="HV789"/>
      <c r="HW789"/>
      <c r="HX789"/>
      <c r="HY789"/>
      <c r="HZ789"/>
      <c r="IA789"/>
      <c r="IB789"/>
      <c r="IC789"/>
      <c r="ID789"/>
      <c r="IE789"/>
      <c r="IF789"/>
      <c r="IG789"/>
      <c r="IH789"/>
      <c r="II789"/>
      <c r="IJ789"/>
      <c r="IK789"/>
      <c r="IL789"/>
      <c r="IM789"/>
      <c r="IN789"/>
      <c r="IO789"/>
      <c r="IP789"/>
      <c r="IQ789"/>
      <c r="IR789"/>
      <c r="IS789"/>
      <c r="IT789"/>
      <c r="IU789"/>
      <c r="IV789"/>
      <c r="IW789"/>
      <c r="IX789"/>
    </row>
    <row r="790" spans="1:259" s="703" customFormat="1" ht="12.75" customHeight="1" x14ac:dyDescent="0.25">
      <c r="A790" s="851"/>
      <c r="B790" s="1792" t="s">
        <v>829</v>
      </c>
      <c r="C790" s="1793">
        <f t="shared" ref="C790:I790" si="163">SUM(C791:C797)</f>
        <v>1900000</v>
      </c>
      <c r="D790" s="996">
        <f t="shared" si="163"/>
        <v>200000</v>
      </c>
      <c r="E790" s="2098">
        <f t="shared" si="163"/>
        <v>200000</v>
      </c>
      <c r="F790" s="996">
        <f t="shared" si="163"/>
        <v>173630.16</v>
      </c>
      <c r="G790" s="996">
        <f t="shared" si="163"/>
        <v>173630.16</v>
      </c>
      <c r="H790" s="2096">
        <f t="shared" si="163"/>
        <v>173630.16</v>
      </c>
      <c r="I790" s="1793">
        <f t="shared" si="163"/>
        <v>150000</v>
      </c>
      <c r="J790" s="996">
        <f t="shared" ref="J790:K790" si="164">SUM(J791:J795)</f>
        <v>0</v>
      </c>
      <c r="K790" s="1366">
        <f t="shared" si="164"/>
        <v>0</v>
      </c>
      <c r="L790" s="1077"/>
      <c r="M790" s="887"/>
      <c r="N790" s="844"/>
      <c r="IY790" s="704"/>
    </row>
    <row r="791" spans="1:259" ht="12.75" customHeight="1" x14ac:dyDescent="0.2">
      <c r="A791" s="851"/>
      <c r="B791" s="1553" t="s">
        <v>1117</v>
      </c>
      <c r="C791" s="1572">
        <v>150000</v>
      </c>
      <c r="D791" s="733">
        <f>150000-150000</f>
        <v>0</v>
      </c>
      <c r="E791" s="904">
        <f>150000-150000</f>
        <v>0</v>
      </c>
      <c r="F791" s="733">
        <v>0</v>
      </c>
      <c r="G791" s="733">
        <v>0</v>
      </c>
      <c r="H791" s="1176">
        <v>0</v>
      </c>
      <c r="I791" s="1572">
        <v>150000</v>
      </c>
      <c r="J791" s="733"/>
      <c r="K791" s="1276"/>
      <c r="L791" s="848"/>
      <c r="M791" s="887"/>
      <c r="N791" s="843"/>
      <c r="O791"/>
      <c r="P791"/>
      <c r="Q791"/>
      <c r="R791"/>
      <c r="S791"/>
      <c r="T791"/>
      <c r="U791"/>
      <c r="V791"/>
      <c r="W791"/>
      <c r="X791"/>
      <c r="Y791"/>
      <c r="Z791"/>
      <c r="AA791"/>
      <c r="AB791"/>
      <c r="AC791"/>
      <c r="AD791"/>
      <c r="AE791"/>
      <c r="AF791"/>
      <c r="AG791"/>
      <c r="AH791"/>
      <c r="AI791"/>
      <c r="AJ791"/>
      <c r="AK791"/>
      <c r="AL791"/>
      <c r="AM791"/>
      <c r="AN791"/>
      <c r="AO791"/>
      <c r="AP791"/>
      <c r="AQ791"/>
      <c r="AR791"/>
      <c r="AS791"/>
      <c r="AT791"/>
      <c r="AU791"/>
      <c r="AV791"/>
      <c r="AW791"/>
      <c r="AX791"/>
      <c r="AY791"/>
      <c r="AZ791"/>
      <c r="BA791"/>
      <c r="BB791"/>
      <c r="BC791"/>
      <c r="BD791"/>
      <c r="BE791"/>
      <c r="BF791"/>
      <c r="BG791"/>
      <c r="BH791"/>
      <c r="BI791"/>
      <c r="BJ791"/>
      <c r="BK791"/>
      <c r="BL791"/>
      <c r="BM791"/>
      <c r="BN791"/>
      <c r="BO791"/>
      <c r="BP791"/>
      <c r="BQ791"/>
      <c r="BR791"/>
      <c r="BS791"/>
      <c r="BT791"/>
      <c r="BU791"/>
      <c r="BV791"/>
      <c r="BW791"/>
      <c r="BX791"/>
      <c r="BY791"/>
      <c r="BZ791"/>
      <c r="CA791"/>
      <c r="CB791"/>
      <c r="CC791"/>
      <c r="CD791"/>
      <c r="CE791"/>
      <c r="CF791"/>
      <c r="CG791"/>
      <c r="CH791"/>
      <c r="CI791"/>
      <c r="CJ791"/>
      <c r="CK791"/>
      <c r="CL791"/>
      <c r="CM791"/>
      <c r="CN791"/>
      <c r="CO791"/>
      <c r="CP791"/>
      <c r="CQ791"/>
      <c r="CR791"/>
      <c r="CS791"/>
      <c r="CT791"/>
      <c r="CU791"/>
      <c r="CV791"/>
      <c r="CW791"/>
      <c r="CX791"/>
      <c r="CY791"/>
      <c r="CZ791"/>
      <c r="DA791"/>
      <c r="DB791"/>
      <c r="DC791"/>
      <c r="DD791"/>
      <c r="DE791"/>
      <c r="DF791"/>
      <c r="DG791"/>
      <c r="DH791"/>
      <c r="DI791"/>
      <c r="DJ791"/>
      <c r="DK791"/>
      <c r="DL791"/>
      <c r="DM791"/>
      <c r="DN791"/>
      <c r="DO791"/>
      <c r="DP791"/>
      <c r="DQ791"/>
      <c r="DR791"/>
      <c r="DS791"/>
      <c r="DT791"/>
      <c r="DU791"/>
      <c r="DV791"/>
      <c r="DW791"/>
      <c r="DX791"/>
      <c r="DY791"/>
      <c r="DZ791"/>
      <c r="EA791"/>
      <c r="EB791"/>
      <c r="EC791"/>
      <c r="ED791"/>
      <c r="EE791"/>
      <c r="EF791"/>
      <c r="EG791"/>
      <c r="EH791"/>
      <c r="EI791"/>
      <c r="EJ791"/>
      <c r="EK791"/>
      <c r="EL791"/>
      <c r="EM791"/>
      <c r="EN791"/>
      <c r="EO791"/>
      <c r="EP791"/>
      <c r="EQ791"/>
      <c r="ER791"/>
      <c r="ES791"/>
      <c r="ET791"/>
      <c r="EU791"/>
      <c r="EV791"/>
      <c r="EW791"/>
      <c r="EX791"/>
      <c r="EY791"/>
      <c r="EZ791"/>
      <c r="FA791"/>
      <c r="FB791"/>
      <c r="FC791"/>
      <c r="FD791"/>
      <c r="FE791"/>
      <c r="FF791"/>
      <c r="FG791"/>
      <c r="FH791"/>
      <c r="FI791"/>
      <c r="FJ791"/>
      <c r="FK791"/>
      <c r="FL791"/>
      <c r="FM791"/>
      <c r="FN791"/>
      <c r="FO791"/>
      <c r="FP791"/>
      <c r="FQ791"/>
      <c r="FR791"/>
      <c r="FS791"/>
      <c r="FT791"/>
      <c r="FU791"/>
      <c r="FV791"/>
      <c r="FW791"/>
      <c r="FX791"/>
      <c r="FY791"/>
      <c r="FZ791"/>
      <c r="GA791"/>
      <c r="GB791"/>
      <c r="GC791"/>
      <c r="GD791"/>
      <c r="GE791"/>
      <c r="GF791"/>
      <c r="GG791"/>
      <c r="GH791"/>
      <c r="GI791"/>
      <c r="GJ791"/>
      <c r="GK791"/>
      <c r="GL791"/>
      <c r="GM791"/>
      <c r="GN791"/>
      <c r="GO791"/>
      <c r="GP791"/>
      <c r="GQ791"/>
      <c r="GR791"/>
      <c r="GS791"/>
      <c r="GT791"/>
      <c r="GU791"/>
      <c r="GV791"/>
      <c r="GW791"/>
      <c r="GX791"/>
      <c r="GY791"/>
      <c r="GZ791"/>
      <c r="HA791"/>
      <c r="HB791"/>
      <c r="HC791"/>
      <c r="HD791"/>
      <c r="HE791"/>
      <c r="HF791"/>
      <c r="HG791"/>
      <c r="HH791"/>
      <c r="HI791"/>
      <c r="HJ791"/>
      <c r="HK791"/>
      <c r="HL791"/>
      <c r="HM791"/>
      <c r="HN791"/>
      <c r="HO791"/>
      <c r="HP791"/>
      <c r="HQ791"/>
      <c r="HR791"/>
      <c r="HS791"/>
      <c r="HT791"/>
      <c r="HU791"/>
      <c r="HV791"/>
      <c r="HW791"/>
      <c r="HX791"/>
      <c r="HY791"/>
      <c r="HZ791"/>
      <c r="IA791"/>
      <c r="IB791"/>
      <c r="IC791"/>
      <c r="ID791"/>
      <c r="IE791"/>
      <c r="IF791"/>
      <c r="IG791"/>
      <c r="IH791"/>
      <c r="II791"/>
      <c r="IJ791"/>
      <c r="IK791"/>
      <c r="IL791"/>
      <c r="IM791"/>
      <c r="IN791"/>
      <c r="IO791"/>
      <c r="IP791"/>
      <c r="IQ791"/>
      <c r="IR791"/>
      <c r="IS791"/>
      <c r="IT791"/>
      <c r="IU791"/>
      <c r="IV791"/>
      <c r="IW791"/>
      <c r="IX791"/>
    </row>
    <row r="792" spans="1:259" ht="12.75" customHeight="1" x14ac:dyDescent="0.2">
      <c r="A792" s="851"/>
      <c r="B792" s="1794" t="s">
        <v>1714</v>
      </c>
      <c r="C792" s="1572">
        <v>100000</v>
      </c>
      <c r="D792" s="733">
        <v>0</v>
      </c>
      <c r="E792" s="904">
        <v>0</v>
      </c>
      <c r="F792" s="733">
        <v>0</v>
      </c>
      <c r="G792" s="733">
        <v>0</v>
      </c>
      <c r="H792" s="1176">
        <v>0</v>
      </c>
      <c r="I792" s="1572">
        <v>0</v>
      </c>
      <c r="J792" s="735"/>
      <c r="K792" s="1317"/>
      <c r="L792" s="848"/>
      <c r="M792" s="887"/>
      <c r="N792" s="843"/>
      <c r="O792"/>
      <c r="P792"/>
      <c r="Q792"/>
      <c r="R792"/>
      <c r="S792"/>
      <c r="T792"/>
      <c r="U792"/>
      <c r="V792"/>
      <c r="W792"/>
      <c r="X792"/>
      <c r="Y792"/>
      <c r="Z792"/>
      <c r="AA792"/>
      <c r="AB792"/>
      <c r="AC792"/>
      <c r="AD792"/>
      <c r="AE792"/>
      <c r="AF792"/>
      <c r="AG792"/>
      <c r="AH792"/>
      <c r="AI792"/>
      <c r="AJ792"/>
      <c r="AK792"/>
      <c r="AL792"/>
      <c r="AM792"/>
      <c r="AN792"/>
      <c r="AO792"/>
      <c r="AP792"/>
      <c r="AQ792"/>
      <c r="AR792"/>
      <c r="AS792"/>
      <c r="AT792"/>
      <c r="AU792"/>
      <c r="AV792"/>
      <c r="AW792"/>
      <c r="AX792"/>
      <c r="AY792"/>
      <c r="AZ792"/>
      <c r="BA792"/>
      <c r="BB792"/>
      <c r="BC792"/>
      <c r="BD792"/>
      <c r="BE792"/>
      <c r="BF792"/>
      <c r="BG792"/>
      <c r="BH792"/>
      <c r="BI792"/>
      <c r="BJ792"/>
      <c r="BK792"/>
      <c r="BL792"/>
      <c r="BM792"/>
      <c r="BN792"/>
      <c r="BO792"/>
      <c r="BP792"/>
      <c r="BQ792"/>
      <c r="BR792"/>
      <c r="BS792"/>
      <c r="BT792"/>
      <c r="BU792"/>
      <c r="BV792"/>
      <c r="BW792"/>
      <c r="BX792"/>
      <c r="BY792"/>
      <c r="BZ792"/>
      <c r="CA792"/>
      <c r="CB792"/>
      <c r="CC792"/>
      <c r="CD792"/>
      <c r="CE792"/>
      <c r="CF792"/>
      <c r="CG792"/>
      <c r="CH792"/>
      <c r="CI792"/>
      <c r="CJ792"/>
      <c r="CK792"/>
      <c r="CL792"/>
      <c r="CM792"/>
      <c r="CN792"/>
      <c r="CO792"/>
      <c r="CP792"/>
      <c r="CQ792"/>
      <c r="CR792"/>
      <c r="CS792"/>
      <c r="CT792"/>
      <c r="CU792"/>
      <c r="CV792"/>
      <c r="CW792"/>
      <c r="CX792"/>
      <c r="CY792"/>
      <c r="CZ792"/>
      <c r="DA792"/>
      <c r="DB792"/>
      <c r="DC792"/>
      <c r="DD792"/>
      <c r="DE792"/>
      <c r="DF792"/>
      <c r="DG792"/>
      <c r="DH792"/>
      <c r="DI792"/>
      <c r="DJ792"/>
      <c r="DK792"/>
      <c r="DL792"/>
      <c r="DM792"/>
      <c r="DN792"/>
      <c r="DO792"/>
      <c r="DP792"/>
      <c r="DQ792"/>
      <c r="DR792"/>
      <c r="DS792"/>
      <c r="DT792"/>
      <c r="DU792"/>
      <c r="DV792"/>
      <c r="DW792"/>
      <c r="DX792"/>
      <c r="DY792"/>
      <c r="DZ792"/>
      <c r="EA792"/>
      <c r="EB792"/>
      <c r="EC792"/>
      <c r="ED792"/>
      <c r="EE792"/>
      <c r="EF792"/>
      <c r="EG792"/>
      <c r="EH792"/>
      <c r="EI792"/>
      <c r="EJ792"/>
      <c r="EK792"/>
      <c r="EL792"/>
      <c r="EM792"/>
      <c r="EN792"/>
      <c r="EO792"/>
      <c r="EP792"/>
      <c r="EQ792"/>
      <c r="ER792"/>
      <c r="ES792"/>
      <c r="ET792"/>
      <c r="EU792"/>
      <c r="EV792"/>
      <c r="EW792"/>
      <c r="EX792"/>
      <c r="EY792"/>
      <c r="EZ792"/>
      <c r="FA792"/>
      <c r="FB792"/>
      <c r="FC792"/>
      <c r="FD792"/>
      <c r="FE792"/>
      <c r="FF792"/>
      <c r="FG792"/>
      <c r="FH792"/>
      <c r="FI792"/>
      <c r="FJ792"/>
      <c r="FK792"/>
      <c r="FL792"/>
      <c r="FM792"/>
      <c r="FN792"/>
      <c r="FO792"/>
      <c r="FP792"/>
      <c r="FQ792"/>
      <c r="FR792"/>
      <c r="FS792"/>
      <c r="FT792"/>
      <c r="FU792"/>
      <c r="FV792"/>
      <c r="FW792"/>
      <c r="FX792"/>
      <c r="FY792"/>
      <c r="FZ792"/>
      <c r="GA792"/>
      <c r="GB792"/>
      <c r="GC792"/>
      <c r="GD792"/>
      <c r="GE792"/>
      <c r="GF792"/>
      <c r="GG792"/>
      <c r="GH792"/>
      <c r="GI792"/>
      <c r="GJ792"/>
      <c r="GK792"/>
      <c r="GL792"/>
      <c r="GM792"/>
      <c r="GN792"/>
      <c r="GO792"/>
      <c r="GP792"/>
      <c r="GQ792"/>
      <c r="GR792"/>
      <c r="GS792"/>
      <c r="GT792"/>
      <c r="GU792"/>
      <c r="GV792"/>
      <c r="GW792"/>
      <c r="GX792"/>
      <c r="GY792"/>
      <c r="GZ792"/>
      <c r="HA792"/>
      <c r="HB792"/>
      <c r="HC792"/>
      <c r="HD792"/>
      <c r="HE792"/>
      <c r="HF792"/>
      <c r="HG792"/>
      <c r="HH792"/>
      <c r="HI792"/>
      <c r="HJ792"/>
      <c r="HK792"/>
      <c r="HL792"/>
      <c r="HM792"/>
      <c r="HN792"/>
      <c r="HO792"/>
      <c r="HP792"/>
      <c r="HQ792"/>
      <c r="HR792"/>
      <c r="HS792"/>
      <c r="HT792"/>
      <c r="HU792"/>
      <c r="HV792"/>
      <c r="HW792"/>
      <c r="HX792"/>
      <c r="HY792"/>
      <c r="HZ792"/>
      <c r="IA792"/>
      <c r="IB792"/>
      <c r="IC792"/>
      <c r="ID792"/>
      <c r="IE792"/>
      <c r="IF792"/>
      <c r="IG792"/>
      <c r="IH792"/>
      <c r="II792"/>
      <c r="IJ792"/>
      <c r="IK792"/>
      <c r="IL792"/>
      <c r="IM792"/>
      <c r="IN792"/>
      <c r="IO792"/>
      <c r="IP792"/>
      <c r="IQ792"/>
      <c r="IR792"/>
      <c r="IS792"/>
      <c r="IT792"/>
      <c r="IU792"/>
      <c r="IV792"/>
      <c r="IW792"/>
      <c r="IX792"/>
    </row>
    <row r="793" spans="1:259" ht="12.75" customHeight="1" x14ac:dyDescent="0.2">
      <c r="A793" s="851"/>
      <c r="B793" s="1794" t="s">
        <v>1118</v>
      </c>
      <c r="C793" s="1572">
        <v>350000</v>
      </c>
      <c r="D793" s="733">
        <f>350000-250000</f>
        <v>100000</v>
      </c>
      <c r="E793" s="904">
        <f>350000-250000</f>
        <v>100000</v>
      </c>
      <c r="F793" s="733">
        <v>75620.160000000003</v>
      </c>
      <c r="G793" s="733">
        <v>75620.160000000003</v>
      </c>
      <c r="H793" s="1176">
        <v>75620.160000000003</v>
      </c>
      <c r="I793" s="1572">
        <v>0</v>
      </c>
      <c r="J793" s="735"/>
      <c r="K793" s="1367"/>
      <c r="L793" s="848"/>
      <c r="M793" s="887"/>
      <c r="N793" s="843"/>
      <c r="O793"/>
      <c r="P793"/>
      <c r="Q793"/>
      <c r="R793"/>
      <c r="S793"/>
      <c r="T793"/>
      <c r="U793"/>
      <c r="V793"/>
      <c r="W793"/>
      <c r="X793"/>
      <c r="Y793"/>
      <c r="Z793"/>
      <c r="AA793"/>
      <c r="AB793"/>
      <c r="AC793"/>
      <c r="AD793"/>
      <c r="AE793"/>
      <c r="AF793"/>
      <c r="AG793"/>
      <c r="AH793"/>
      <c r="AI793"/>
      <c r="AJ793"/>
      <c r="AK793"/>
      <c r="AL793"/>
      <c r="AM793"/>
      <c r="AN793"/>
      <c r="AO793"/>
      <c r="AP793"/>
      <c r="AQ793"/>
      <c r="AR793"/>
      <c r="AS793"/>
      <c r="AT793"/>
      <c r="AU793"/>
      <c r="AV793"/>
      <c r="AW793"/>
      <c r="AX793"/>
      <c r="AY793"/>
      <c r="AZ793"/>
      <c r="BA793"/>
      <c r="BB793"/>
      <c r="BC793"/>
      <c r="BD793"/>
      <c r="BE793"/>
      <c r="BF793"/>
      <c r="BG793"/>
      <c r="BH793"/>
      <c r="BI793"/>
      <c r="BJ793"/>
      <c r="BK793"/>
      <c r="BL793"/>
      <c r="BM793"/>
      <c r="BN793"/>
      <c r="BO793"/>
      <c r="BP793"/>
      <c r="BQ793"/>
      <c r="BR793"/>
      <c r="BS793"/>
      <c r="BT793"/>
      <c r="BU793"/>
      <c r="BV793"/>
      <c r="BW793"/>
      <c r="BX793"/>
      <c r="BY793"/>
      <c r="BZ793"/>
      <c r="CA793"/>
      <c r="CB793"/>
      <c r="CC793"/>
      <c r="CD793"/>
      <c r="CE793"/>
      <c r="CF793"/>
      <c r="CG793"/>
      <c r="CH793"/>
      <c r="CI793"/>
      <c r="CJ793"/>
      <c r="CK793"/>
      <c r="CL793"/>
      <c r="CM793"/>
      <c r="CN793"/>
      <c r="CO793"/>
      <c r="CP793"/>
      <c r="CQ793"/>
      <c r="CR793"/>
      <c r="CS793"/>
      <c r="CT793"/>
      <c r="CU793"/>
      <c r="CV793"/>
      <c r="CW793"/>
      <c r="CX793"/>
      <c r="CY793"/>
      <c r="CZ793"/>
      <c r="DA793"/>
      <c r="DB793"/>
      <c r="DC793"/>
      <c r="DD793"/>
      <c r="DE793"/>
      <c r="DF793"/>
      <c r="DG793"/>
      <c r="DH793"/>
      <c r="DI793"/>
      <c r="DJ793"/>
      <c r="DK793"/>
      <c r="DL793"/>
      <c r="DM793"/>
      <c r="DN793"/>
      <c r="DO793"/>
      <c r="DP793"/>
      <c r="DQ793"/>
      <c r="DR793"/>
      <c r="DS793"/>
      <c r="DT793"/>
      <c r="DU793"/>
      <c r="DV793"/>
      <c r="DW793"/>
      <c r="DX793"/>
      <c r="DY793"/>
      <c r="DZ793"/>
      <c r="EA793"/>
      <c r="EB793"/>
      <c r="EC793"/>
      <c r="ED793"/>
      <c r="EE793"/>
      <c r="EF793"/>
      <c r="EG793"/>
      <c r="EH793"/>
      <c r="EI793"/>
      <c r="EJ793"/>
      <c r="EK793"/>
      <c r="EL793"/>
      <c r="EM793"/>
      <c r="EN793"/>
      <c r="EO793"/>
      <c r="EP793"/>
      <c r="EQ793"/>
      <c r="ER793"/>
      <c r="ES793"/>
      <c r="ET793"/>
      <c r="EU793"/>
      <c r="EV793"/>
      <c r="EW793"/>
      <c r="EX793"/>
      <c r="EY793"/>
      <c r="EZ793"/>
      <c r="FA793"/>
      <c r="FB793"/>
      <c r="FC793"/>
      <c r="FD793"/>
      <c r="FE793"/>
      <c r="FF793"/>
      <c r="FG793"/>
      <c r="FH793"/>
      <c r="FI793"/>
      <c r="FJ793"/>
      <c r="FK793"/>
      <c r="FL793"/>
      <c r="FM793"/>
      <c r="FN793"/>
      <c r="FO793"/>
      <c r="FP793"/>
      <c r="FQ793"/>
      <c r="FR793"/>
      <c r="FS793"/>
      <c r="FT793"/>
      <c r="FU793"/>
      <c r="FV793"/>
      <c r="FW793"/>
      <c r="FX793"/>
      <c r="FY793"/>
      <c r="FZ793"/>
      <c r="GA793"/>
      <c r="GB793"/>
      <c r="GC793"/>
      <c r="GD793"/>
      <c r="GE793"/>
      <c r="GF793"/>
      <c r="GG793"/>
      <c r="GH793"/>
      <c r="GI793"/>
      <c r="GJ793"/>
      <c r="GK793"/>
      <c r="GL793"/>
      <c r="GM793"/>
      <c r="GN793"/>
      <c r="GO793"/>
      <c r="GP793"/>
      <c r="GQ793"/>
      <c r="GR793"/>
      <c r="GS793"/>
      <c r="GT793"/>
      <c r="GU793"/>
      <c r="GV793"/>
      <c r="GW793"/>
      <c r="GX793"/>
      <c r="GY793"/>
      <c r="GZ793"/>
      <c r="HA793"/>
      <c r="HB793"/>
      <c r="HC793"/>
      <c r="HD793"/>
      <c r="HE793"/>
      <c r="HF793"/>
      <c r="HG793"/>
      <c r="HH793"/>
      <c r="HI793"/>
      <c r="HJ793"/>
      <c r="HK793"/>
      <c r="HL793"/>
      <c r="HM793"/>
      <c r="HN793"/>
      <c r="HO793"/>
      <c r="HP793"/>
      <c r="HQ793"/>
      <c r="HR793"/>
      <c r="HS793"/>
      <c r="HT793"/>
      <c r="HU793"/>
      <c r="HV793"/>
      <c r="HW793"/>
      <c r="HX793"/>
      <c r="HY793"/>
      <c r="HZ793"/>
      <c r="IA793"/>
      <c r="IB793"/>
      <c r="IC793"/>
      <c r="ID793"/>
      <c r="IE793"/>
      <c r="IF793"/>
      <c r="IG793"/>
      <c r="IH793"/>
      <c r="II793"/>
      <c r="IJ793"/>
      <c r="IK793"/>
      <c r="IL793"/>
      <c r="IM793"/>
      <c r="IN793"/>
      <c r="IO793"/>
      <c r="IP793"/>
      <c r="IQ793"/>
      <c r="IR793"/>
      <c r="IS793"/>
      <c r="IT793"/>
      <c r="IU793"/>
      <c r="IV793"/>
      <c r="IW793"/>
      <c r="IX793"/>
    </row>
    <row r="794" spans="1:259" ht="12.75" customHeight="1" x14ac:dyDescent="0.2">
      <c r="A794" s="851"/>
      <c r="B794" s="1794" t="s">
        <v>1119</v>
      </c>
      <c r="C794" s="1572">
        <v>100000</v>
      </c>
      <c r="D794" s="733">
        <f>100000-100000</f>
        <v>0</v>
      </c>
      <c r="E794" s="904">
        <v>0</v>
      </c>
      <c r="F794" s="733">
        <v>0</v>
      </c>
      <c r="G794" s="733">
        <v>0</v>
      </c>
      <c r="H794" s="1176">
        <v>0</v>
      </c>
      <c r="I794" s="1572">
        <v>0</v>
      </c>
      <c r="J794" s="735"/>
      <c r="K794" s="1367"/>
      <c r="L794" s="848"/>
      <c r="M794" s="887"/>
      <c r="N794" s="843"/>
      <c r="O794"/>
      <c r="P794"/>
      <c r="Q794"/>
      <c r="R794"/>
      <c r="S794"/>
      <c r="T794"/>
      <c r="U794"/>
      <c r="V794"/>
      <c r="W794"/>
      <c r="X794"/>
      <c r="Y794"/>
      <c r="Z794"/>
      <c r="AA794"/>
      <c r="AB794"/>
      <c r="AC794"/>
      <c r="AD794"/>
      <c r="AE794"/>
      <c r="AF794"/>
      <c r="AG794"/>
      <c r="AH794"/>
      <c r="AI794"/>
      <c r="AJ794"/>
      <c r="AK794"/>
      <c r="AL794"/>
      <c r="AM794"/>
      <c r="AN794"/>
      <c r="AO794"/>
      <c r="AP794"/>
      <c r="AQ794"/>
      <c r="AR794"/>
      <c r="AS794"/>
      <c r="AT794"/>
      <c r="AU794"/>
      <c r="AV794"/>
      <c r="AW794"/>
      <c r="AX794"/>
      <c r="AY794"/>
      <c r="AZ794"/>
      <c r="BA794"/>
      <c r="BB794"/>
      <c r="BC794"/>
      <c r="BD794"/>
      <c r="BE794"/>
      <c r="BF794"/>
      <c r="BG794"/>
      <c r="BH794"/>
      <c r="BI794"/>
      <c r="BJ794"/>
      <c r="BK794"/>
      <c r="BL794"/>
      <c r="BM794"/>
      <c r="BN794"/>
      <c r="BO794"/>
      <c r="BP794"/>
      <c r="BQ794"/>
      <c r="BR794"/>
      <c r="BS794"/>
      <c r="BT794"/>
      <c r="BU794"/>
      <c r="BV794"/>
      <c r="BW794"/>
      <c r="BX794"/>
      <c r="BY794"/>
      <c r="BZ794"/>
      <c r="CA794"/>
      <c r="CB794"/>
      <c r="CC794"/>
      <c r="CD794"/>
      <c r="CE794"/>
      <c r="CF794"/>
      <c r="CG794"/>
      <c r="CH794"/>
      <c r="CI794"/>
      <c r="CJ794"/>
      <c r="CK794"/>
      <c r="CL794"/>
      <c r="CM794"/>
      <c r="CN794"/>
      <c r="CO794"/>
      <c r="CP794"/>
      <c r="CQ794"/>
      <c r="CR794"/>
      <c r="CS794"/>
      <c r="CT794"/>
      <c r="CU794"/>
      <c r="CV794"/>
      <c r="CW794"/>
      <c r="CX794"/>
      <c r="CY794"/>
      <c r="CZ794"/>
      <c r="DA794"/>
      <c r="DB794"/>
      <c r="DC794"/>
      <c r="DD794"/>
      <c r="DE794"/>
      <c r="DF794"/>
      <c r="DG794"/>
      <c r="DH794"/>
      <c r="DI794"/>
      <c r="DJ794"/>
      <c r="DK794"/>
      <c r="DL794"/>
      <c r="DM794"/>
      <c r="DN794"/>
      <c r="DO794"/>
      <c r="DP794"/>
      <c r="DQ794"/>
      <c r="DR794"/>
      <c r="DS794"/>
      <c r="DT794"/>
      <c r="DU794"/>
      <c r="DV794"/>
      <c r="DW794"/>
      <c r="DX794"/>
      <c r="DY794"/>
      <c r="DZ794"/>
      <c r="EA794"/>
      <c r="EB794"/>
      <c r="EC794"/>
      <c r="ED794"/>
      <c r="EE794"/>
      <c r="EF794"/>
      <c r="EG794"/>
      <c r="EH794"/>
      <c r="EI794"/>
      <c r="EJ794"/>
      <c r="EK794"/>
      <c r="EL794"/>
      <c r="EM794"/>
      <c r="EN794"/>
      <c r="EO794"/>
      <c r="EP794"/>
      <c r="EQ794"/>
      <c r="ER794"/>
      <c r="ES794"/>
      <c r="ET794"/>
      <c r="EU794"/>
      <c r="EV794"/>
      <c r="EW794"/>
      <c r="EX794"/>
      <c r="EY794"/>
      <c r="EZ794"/>
      <c r="FA794"/>
      <c r="FB794"/>
      <c r="FC794"/>
      <c r="FD794"/>
      <c r="FE794"/>
      <c r="FF794"/>
      <c r="FG794"/>
      <c r="FH794"/>
      <c r="FI794"/>
      <c r="FJ794"/>
      <c r="FK794"/>
      <c r="FL794"/>
      <c r="FM794"/>
      <c r="FN794"/>
      <c r="FO794"/>
      <c r="FP794"/>
      <c r="FQ794"/>
      <c r="FR794"/>
      <c r="FS794"/>
      <c r="FT794"/>
      <c r="FU794"/>
      <c r="FV794"/>
      <c r="FW794"/>
      <c r="FX794"/>
      <c r="FY794"/>
      <c r="FZ794"/>
      <c r="GA794"/>
      <c r="GB794"/>
      <c r="GC794"/>
      <c r="GD794"/>
      <c r="GE794"/>
      <c r="GF794"/>
      <c r="GG794"/>
      <c r="GH794"/>
      <c r="GI794"/>
      <c r="GJ794"/>
      <c r="GK794"/>
      <c r="GL794"/>
      <c r="GM794"/>
      <c r="GN794"/>
      <c r="GO794"/>
      <c r="GP794"/>
      <c r="GQ794"/>
      <c r="GR794"/>
      <c r="GS794"/>
      <c r="GT794"/>
      <c r="GU794"/>
      <c r="GV794"/>
      <c r="GW794"/>
      <c r="GX794"/>
      <c r="GY794"/>
      <c r="GZ794"/>
      <c r="HA794"/>
      <c r="HB794"/>
      <c r="HC794"/>
      <c r="HD794"/>
      <c r="HE794"/>
      <c r="HF794"/>
      <c r="HG794"/>
      <c r="HH794"/>
      <c r="HI794"/>
      <c r="HJ794"/>
      <c r="HK794"/>
      <c r="HL794"/>
      <c r="HM794"/>
      <c r="HN794"/>
      <c r="HO794"/>
      <c r="HP794"/>
      <c r="HQ794"/>
      <c r="HR794"/>
      <c r="HS794"/>
      <c r="HT794"/>
      <c r="HU794"/>
      <c r="HV794"/>
      <c r="HW794"/>
      <c r="HX794"/>
      <c r="HY794"/>
      <c r="HZ794"/>
      <c r="IA794"/>
      <c r="IB794"/>
      <c r="IC794"/>
      <c r="ID794"/>
      <c r="IE794"/>
      <c r="IF794"/>
      <c r="IG794"/>
      <c r="IH794"/>
      <c r="II794"/>
      <c r="IJ794"/>
      <c r="IK794"/>
      <c r="IL794"/>
      <c r="IM794"/>
      <c r="IN794"/>
      <c r="IO794"/>
      <c r="IP794"/>
      <c r="IQ794"/>
      <c r="IR794"/>
      <c r="IS794"/>
      <c r="IT794"/>
      <c r="IU794"/>
      <c r="IV794"/>
      <c r="IW794"/>
      <c r="IX794"/>
    </row>
    <row r="795" spans="1:259" ht="12.75" customHeight="1" x14ac:dyDescent="0.2">
      <c r="A795" s="851"/>
      <c r="B795" s="1794" t="s">
        <v>1120</v>
      </c>
      <c r="C795" s="1572">
        <v>100000</v>
      </c>
      <c r="D795" s="733">
        <v>100000</v>
      </c>
      <c r="E795" s="904">
        <v>100000</v>
      </c>
      <c r="F795" s="733">
        <v>98010</v>
      </c>
      <c r="G795" s="733">
        <v>98010</v>
      </c>
      <c r="H795" s="1176">
        <v>98010</v>
      </c>
      <c r="I795" s="1572">
        <v>0</v>
      </c>
      <c r="J795" s="735"/>
      <c r="K795" s="1367"/>
      <c r="L795" s="848"/>
      <c r="M795" s="887"/>
      <c r="N795" s="843"/>
      <c r="O795"/>
      <c r="P795"/>
      <c r="Q795"/>
      <c r="R795"/>
      <c r="S795"/>
      <c r="T795"/>
      <c r="U795"/>
      <c r="V795"/>
      <c r="W795"/>
      <c r="X795"/>
      <c r="Y795"/>
      <c r="Z795"/>
      <c r="AA795"/>
      <c r="AB795"/>
      <c r="AC795"/>
      <c r="AD795"/>
      <c r="AE795"/>
      <c r="AF795"/>
      <c r="AG795"/>
      <c r="AH795"/>
      <c r="AI795"/>
      <c r="AJ795"/>
      <c r="AK795"/>
      <c r="AL795"/>
      <c r="AM795"/>
      <c r="AN795"/>
      <c r="AO795"/>
      <c r="AP795"/>
      <c r="AQ795"/>
      <c r="AR795"/>
      <c r="AS795"/>
      <c r="AT795"/>
      <c r="AU795"/>
      <c r="AV795"/>
      <c r="AW795"/>
      <c r="AX795"/>
      <c r="AY795"/>
      <c r="AZ795"/>
      <c r="BA795"/>
      <c r="BB795"/>
      <c r="BC795"/>
      <c r="BD795"/>
      <c r="BE795"/>
      <c r="BF795"/>
      <c r="BG795"/>
      <c r="BH795"/>
      <c r="BI795"/>
      <c r="BJ795"/>
      <c r="BK795"/>
      <c r="BL795"/>
      <c r="BM795"/>
      <c r="BN795"/>
      <c r="BO795"/>
      <c r="BP795"/>
      <c r="BQ795"/>
      <c r="BR795"/>
      <c r="BS795"/>
      <c r="BT795"/>
      <c r="BU795"/>
      <c r="BV795"/>
      <c r="BW795"/>
      <c r="BX795"/>
      <c r="BY795"/>
      <c r="BZ795"/>
      <c r="CA795"/>
      <c r="CB795"/>
      <c r="CC795"/>
      <c r="CD795"/>
      <c r="CE795"/>
      <c r="CF795"/>
      <c r="CG795"/>
      <c r="CH795"/>
      <c r="CI795"/>
      <c r="CJ795"/>
      <c r="CK795"/>
      <c r="CL795"/>
      <c r="CM795"/>
      <c r="CN795"/>
      <c r="CO795"/>
      <c r="CP795"/>
      <c r="CQ795"/>
      <c r="CR795"/>
      <c r="CS795"/>
      <c r="CT795"/>
      <c r="CU795"/>
      <c r="CV795"/>
      <c r="CW795"/>
      <c r="CX795"/>
      <c r="CY795"/>
      <c r="CZ795"/>
      <c r="DA795"/>
      <c r="DB795"/>
      <c r="DC795"/>
      <c r="DD795"/>
      <c r="DE795"/>
      <c r="DF795"/>
      <c r="DG795"/>
      <c r="DH795"/>
      <c r="DI795"/>
      <c r="DJ795"/>
      <c r="DK795"/>
      <c r="DL795"/>
      <c r="DM795"/>
      <c r="DN795"/>
      <c r="DO795"/>
      <c r="DP795"/>
      <c r="DQ795"/>
      <c r="DR795"/>
      <c r="DS795"/>
      <c r="DT795"/>
      <c r="DU795"/>
      <c r="DV795"/>
      <c r="DW795"/>
      <c r="DX795"/>
      <c r="DY795"/>
      <c r="DZ795"/>
      <c r="EA795"/>
      <c r="EB795"/>
      <c r="EC795"/>
      <c r="ED795"/>
      <c r="EE795"/>
      <c r="EF795"/>
      <c r="EG795"/>
      <c r="EH795"/>
      <c r="EI795"/>
      <c r="EJ795"/>
      <c r="EK795"/>
      <c r="EL795"/>
      <c r="EM795"/>
      <c r="EN795"/>
      <c r="EO795"/>
      <c r="EP795"/>
      <c r="EQ795"/>
      <c r="ER795"/>
      <c r="ES795"/>
      <c r="ET795"/>
      <c r="EU795"/>
      <c r="EV795"/>
      <c r="EW795"/>
      <c r="EX795"/>
      <c r="EY795"/>
      <c r="EZ795"/>
      <c r="FA795"/>
      <c r="FB795"/>
      <c r="FC795"/>
      <c r="FD795"/>
      <c r="FE795"/>
      <c r="FF795"/>
      <c r="FG795"/>
      <c r="FH795"/>
      <c r="FI795"/>
      <c r="FJ795"/>
      <c r="FK795"/>
      <c r="FL795"/>
      <c r="FM795"/>
      <c r="FN795"/>
      <c r="FO795"/>
      <c r="FP795"/>
      <c r="FQ795"/>
      <c r="FR795"/>
      <c r="FS795"/>
      <c r="FT795"/>
      <c r="FU795"/>
      <c r="FV795"/>
      <c r="FW795"/>
      <c r="FX795"/>
      <c r="FY795"/>
      <c r="FZ795"/>
      <c r="GA795"/>
      <c r="GB795"/>
      <c r="GC795"/>
      <c r="GD795"/>
      <c r="GE795"/>
      <c r="GF795"/>
      <c r="GG795"/>
      <c r="GH795"/>
      <c r="GI795"/>
      <c r="GJ795"/>
      <c r="GK795"/>
      <c r="GL795"/>
      <c r="GM795"/>
      <c r="GN795"/>
      <c r="GO795"/>
      <c r="GP795"/>
      <c r="GQ795"/>
      <c r="GR795"/>
      <c r="GS795"/>
      <c r="GT795"/>
      <c r="GU795"/>
      <c r="GV795"/>
      <c r="GW795"/>
      <c r="GX795"/>
      <c r="GY795"/>
      <c r="GZ795"/>
      <c r="HA795"/>
      <c r="HB795"/>
      <c r="HC795"/>
      <c r="HD795"/>
      <c r="HE795"/>
      <c r="HF795"/>
      <c r="HG795"/>
      <c r="HH795"/>
      <c r="HI795"/>
      <c r="HJ795"/>
      <c r="HK795"/>
      <c r="HL795"/>
      <c r="HM795"/>
      <c r="HN795"/>
      <c r="HO795"/>
      <c r="HP795"/>
      <c r="HQ795"/>
      <c r="HR795"/>
      <c r="HS795"/>
      <c r="HT795"/>
      <c r="HU795"/>
      <c r="HV795"/>
      <c r="HW795"/>
      <c r="HX795"/>
      <c r="HY795"/>
      <c r="HZ795"/>
      <c r="IA795"/>
      <c r="IB795"/>
      <c r="IC795"/>
      <c r="ID795"/>
      <c r="IE795"/>
      <c r="IF795"/>
      <c r="IG795"/>
      <c r="IH795"/>
      <c r="II795"/>
      <c r="IJ795"/>
      <c r="IK795"/>
      <c r="IL795"/>
      <c r="IM795"/>
      <c r="IN795"/>
      <c r="IO795"/>
      <c r="IP795"/>
      <c r="IQ795"/>
      <c r="IR795"/>
      <c r="IS795"/>
      <c r="IT795"/>
      <c r="IU795"/>
      <c r="IV795"/>
      <c r="IW795"/>
      <c r="IX795"/>
    </row>
    <row r="796" spans="1:259" ht="12.75" customHeight="1" x14ac:dyDescent="0.2">
      <c r="A796" s="851"/>
      <c r="B796" s="1794" t="s">
        <v>1121</v>
      </c>
      <c r="C796" s="1572">
        <v>800000</v>
      </c>
      <c r="D796" s="733">
        <f>800000-800000</f>
        <v>0</v>
      </c>
      <c r="E796" s="904">
        <f>800000-800000</f>
        <v>0</v>
      </c>
      <c r="F796" s="733">
        <v>0</v>
      </c>
      <c r="G796" s="733">
        <v>0</v>
      </c>
      <c r="H796" s="1176">
        <v>0</v>
      </c>
      <c r="I796" s="1572">
        <v>0</v>
      </c>
      <c r="J796" s="1416"/>
      <c r="K796" s="1367"/>
      <c r="L796" s="848"/>
      <c r="M796" s="887"/>
      <c r="N796" s="843"/>
      <c r="O796"/>
      <c r="P796"/>
      <c r="Q796"/>
      <c r="R796"/>
      <c r="S796"/>
      <c r="T796"/>
      <c r="U796"/>
      <c r="V796"/>
      <c r="W796"/>
      <c r="X796"/>
      <c r="Y796"/>
      <c r="Z796"/>
      <c r="AA796"/>
      <c r="AB796"/>
      <c r="AC796"/>
      <c r="AD796"/>
      <c r="AE796"/>
      <c r="AF796"/>
      <c r="AG796"/>
      <c r="AH796"/>
      <c r="AI796"/>
      <c r="AJ796"/>
      <c r="AK796"/>
      <c r="AL796"/>
      <c r="AM796"/>
      <c r="AN796"/>
      <c r="AO796"/>
      <c r="AP796"/>
      <c r="AQ796"/>
      <c r="AR796"/>
      <c r="AS796"/>
      <c r="AT796"/>
      <c r="AU796"/>
      <c r="AV796"/>
      <c r="AW796"/>
      <c r="AX796"/>
      <c r="AY796"/>
      <c r="AZ796"/>
      <c r="BA796"/>
      <c r="BB796"/>
      <c r="BC796"/>
      <c r="BD796"/>
      <c r="BE796"/>
      <c r="BF796"/>
      <c r="BG796"/>
      <c r="BH796"/>
      <c r="BI796"/>
      <c r="BJ796"/>
      <c r="BK796"/>
      <c r="BL796"/>
      <c r="BM796"/>
      <c r="BN796"/>
      <c r="BO796"/>
      <c r="BP796"/>
      <c r="BQ796"/>
      <c r="BR796"/>
      <c r="BS796"/>
      <c r="BT796"/>
      <c r="BU796"/>
      <c r="BV796"/>
      <c r="BW796"/>
      <c r="BX796"/>
      <c r="BY796"/>
      <c r="BZ796"/>
      <c r="CA796"/>
      <c r="CB796"/>
      <c r="CC796"/>
      <c r="CD796"/>
      <c r="CE796"/>
      <c r="CF796"/>
      <c r="CG796"/>
      <c r="CH796"/>
      <c r="CI796"/>
      <c r="CJ796"/>
      <c r="CK796"/>
      <c r="CL796"/>
      <c r="CM796"/>
      <c r="CN796"/>
      <c r="CO796"/>
      <c r="CP796"/>
      <c r="CQ796"/>
      <c r="CR796"/>
      <c r="CS796"/>
      <c r="CT796"/>
      <c r="CU796"/>
      <c r="CV796"/>
      <c r="CW796"/>
      <c r="CX796"/>
      <c r="CY796"/>
      <c r="CZ796"/>
      <c r="DA796"/>
      <c r="DB796"/>
      <c r="DC796"/>
      <c r="DD796"/>
      <c r="DE796"/>
      <c r="DF796"/>
      <c r="DG796"/>
      <c r="DH796"/>
      <c r="DI796"/>
      <c r="DJ796"/>
      <c r="DK796"/>
      <c r="DL796"/>
      <c r="DM796"/>
      <c r="DN796"/>
      <c r="DO796"/>
      <c r="DP796"/>
      <c r="DQ796"/>
      <c r="DR796"/>
      <c r="DS796"/>
      <c r="DT796"/>
      <c r="DU796"/>
      <c r="DV796"/>
      <c r="DW796"/>
      <c r="DX796"/>
      <c r="DY796"/>
      <c r="DZ796"/>
      <c r="EA796"/>
      <c r="EB796"/>
      <c r="EC796"/>
      <c r="ED796"/>
      <c r="EE796"/>
      <c r="EF796"/>
      <c r="EG796"/>
      <c r="EH796"/>
      <c r="EI796"/>
      <c r="EJ796"/>
      <c r="EK796"/>
      <c r="EL796"/>
      <c r="EM796"/>
      <c r="EN796"/>
      <c r="EO796"/>
      <c r="EP796"/>
      <c r="EQ796"/>
      <c r="ER796"/>
      <c r="ES796"/>
      <c r="ET796"/>
      <c r="EU796"/>
      <c r="EV796"/>
      <c r="EW796"/>
      <c r="EX796"/>
      <c r="EY796"/>
      <c r="EZ796"/>
      <c r="FA796"/>
      <c r="FB796"/>
      <c r="FC796"/>
      <c r="FD796"/>
      <c r="FE796"/>
      <c r="FF796"/>
      <c r="FG796"/>
      <c r="FH796"/>
      <c r="FI796"/>
      <c r="FJ796"/>
      <c r="FK796"/>
      <c r="FL796"/>
      <c r="FM796"/>
      <c r="FN796"/>
      <c r="FO796"/>
      <c r="FP796"/>
      <c r="FQ796"/>
      <c r="FR796"/>
      <c r="FS796"/>
      <c r="FT796"/>
      <c r="FU796"/>
      <c r="FV796"/>
      <c r="FW796"/>
      <c r="FX796"/>
      <c r="FY796"/>
      <c r="FZ796"/>
      <c r="GA796"/>
      <c r="GB796"/>
      <c r="GC796"/>
      <c r="GD796"/>
      <c r="GE796"/>
      <c r="GF796"/>
      <c r="GG796"/>
      <c r="GH796"/>
      <c r="GI796"/>
      <c r="GJ796"/>
      <c r="GK796"/>
      <c r="GL796"/>
      <c r="GM796"/>
      <c r="GN796"/>
      <c r="GO796"/>
      <c r="GP796"/>
      <c r="GQ796"/>
      <c r="GR796"/>
      <c r="GS796"/>
      <c r="GT796"/>
      <c r="GU796"/>
      <c r="GV796"/>
      <c r="GW796"/>
      <c r="GX796"/>
      <c r="GY796"/>
      <c r="GZ796"/>
      <c r="HA796"/>
      <c r="HB796"/>
      <c r="HC796"/>
      <c r="HD796"/>
      <c r="HE796"/>
      <c r="HF796"/>
      <c r="HG796"/>
      <c r="HH796"/>
      <c r="HI796"/>
      <c r="HJ796"/>
      <c r="HK796"/>
      <c r="HL796"/>
      <c r="HM796"/>
      <c r="HN796"/>
      <c r="HO796"/>
      <c r="HP796"/>
      <c r="HQ796"/>
      <c r="HR796"/>
      <c r="HS796"/>
      <c r="HT796"/>
      <c r="HU796"/>
      <c r="HV796"/>
      <c r="HW796"/>
      <c r="HX796"/>
      <c r="HY796"/>
      <c r="HZ796"/>
      <c r="IA796"/>
      <c r="IB796"/>
      <c r="IC796"/>
      <c r="ID796"/>
      <c r="IE796"/>
      <c r="IF796"/>
      <c r="IG796"/>
      <c r="IH796"/>
      <c r="II796"/>
      <c r="IJ796"/>
      <c r="IK796"/>
      <c r="IL796"/>
      <c r="IM796"/>
      <c r="IN796"/>
      <c r="IO796"/>
      <c r="IP796"/>
      <c r="IQ796"/>
      <c r="IR796"/>
      <c r="IS796"/>
      <c r="IT796"/>
      <c r="IU796"/>
      <c r="IV796"/>
      <c r="IW796"/>
      <c r="IX796"/>
    </row>
    <row r="797" spans="1:259" ht="12.75" customHeight="1" x14ac:dyDescent="0.2">
      <c r="A797" s="851"/>
      <c r="B797" s="1794" t="s">
        <v>1122</v>
      </c>
      <c r="C797" s="1572">
        <v>300000</v>
      </c>
      <c r="D797" s="733">
        <f>300000-300000</f>
        <v>0</v>
      </c>
      <c r="E797" s="904">
        <f>300000-300000</f>
        <v>0</v>
      </c>
      <c r="F797" s="733">
        <v>0</v>
      </c>
      <c r="G797" s="733">
        <v>0</v>
      </c>
      <c r="H797" s="1176">
        <v>0</v>
      </c>
      <c r="I797" s="1572">
        <v>0</v>
      </c>
      <c r="J797" s="1416"/>
      <c r="K797" s="1367"/>
      <c r="L797" s="848"/>
      <c r="M797" s="887"/>
      <c r="N797" s="843"/>
      <c r="O797"/>
      <c r="P797"/>
      <c r="Q797"/>
      <c r="R797"/>
      <c r="S797"/>
      <c r="T797"/>
      <c r="U797"/>
      <c r="V797"/>
      <c r="W797"/>
      <c r="X797"/>
      <c r="Y797"/>
      <c r="Z797"/>
      <c r="AA797"/>
      <c r="AB797"/>
      <c r="AC797"/>
      <c r="AD797"/>
      <c r="AE797"/>
      <c r="AF797"/>
      <c r="AG797"/>
      <c r="AH797"/>
      <c r="AI797"/>
      <c r="AJ797"/>
      <c r="AK797"/>
      <c r="AL797"/>
      <c r="AM797"/>
      <c r="AN797"/>
      <c r="AO797"/>
      <c r="AP797"/>
      <c r="AQ797"/>
      <c r="AR797"/>
      <c r="AS797"/>
      <c r="AT797"/>
      <c r="AU797"/>
      <c r="AV797"/>
      <c r="AW797"/>
      <c r="AX797"/>
      <c r="AY797"/>
      <c r="AZ797"/>
      <c r="BA797"/>
      <c r="BB797"/>
      <c r="BC797"/>
      <c r="BD797"/>
      <c r="BE797"/>
      <c r="BF797"/>
      <c r="BG797"/>
      <c r="BH797"/>
      <c r="BI797"/>
      <c r="BJ797"/>
      <c r="BK797"/>
      <c r="BL797"/>
      <c r="BM797"/>
      <c r="BN797"/>
      <c r="BO797"/>
      <c r="BP797"/>
      <c r="BQ797"/>
      <c r="BR797"/>
      <c r="BS797"/>
      <c r="BT797"/>
      <c r="BU797"/>
      <c r="BV797"/>
      <c r="BW797"/>
      <c r="BX797"/>
      <c r="BY797"/>
      <c r="BZ797"/>
      <c r="CA797"/>
      <c r="CB797"/>
      <c r="CC797"/>
      <c r="CD797"/>
      <c r="CE797"/>
      <c r="CF797"/>
      <c r="CG797"/>
      <c r="CH797"/>
      <c r="CI797"/>
      <c r="CJ797"/>
      <c r="CK797"/>
      <c r="CL797"/>
      <c r="CM797"/>
      <c r="CN797"/>
      <c r="CO797"/>
      <c r="CP797"/>
      <c r="CQ797"/>
      <c r="CR797"/>
      <c r="CS797"/>
      <c r="CT797"/>
      <c r="CU797"/>
      <c r="CV797"/>
      <c r="CW797"/>
      <c r="CX797"/>
      <c r="CY797"/>
      <c r="CZ797"/>
      <c r="DA797"/>
      <c r="DB797"/>
      <c r="DC797"/>
      <c r="DD797"/>
      <c r="DE797"/>
      <c r="DF797"/>
      <c r="DG797"/>
      <c r="DH797"/>
      <c r="DI797"/>
      <c r="DJ797"/>
      <c r="DK797"/>
      <c r="DL797"/>
      <c r="DM797"/>
      <c r="DN797"/>
      <c r="DO797"/>
      <c r="DP797"/>
      <c r="DQ797"/>
      <c r="DR797"/>
      <c r="DS797"/>
      <c r="DT797"/>
      <c r="DU797"/>
      <c r="DV797"/>
      <c r="DW797"/>
      <c r="DX797"/>
      <c r="DY797"/>
      <c r="DZ797"/>
      <c r="EA797"/>
      <c r="EB797"/>
      <c r="EC797"/>
      <c r="ED797"/>
      <c r="EE797"/>
      <c r="EF797"/>
      <c r="EG797"/>
      <c r="EH797"/>
      <c r="EI797"/>
      <c r="EJ797"/>
      <c r="EK797"/>
      <c r="EL797"/>
      <c r="EM797"/>
      <c r="EN797"/>
      <c r="EO797"/>
      <c r="EP797"/>
      <c r="EQ797"/>
      <c r="ER797"/>
      <c r="ES797"/>
      <c r="ET797"/>
      <c r="EU797"/>
      <c r="EV797"/>
      <c r="EW797"/>
      <c r="EX797"/>
      <c r="EY797"/>
      <c r="EZ797"/>
      <c r="FA797"/>
      <c r="FB797"/>
      <c r="FC797"/>
      <c r="FD797"/>
      <c r="FE797"/>
      <c r="FF797"/>
      <c r="FG797"/>
      <c r="FH797"/>
      <c r="FI797"/>
      <c r="FJ797"/>
      <c r="FK797"/>
      <c r="FL797"/>
      <c r="FM797"/>
      <c r="FN797"/>
      <c r="FO797"/>
      <c r="FP797"/>
      <c r="FQ797"/>
      <c r="FR797"/>
      <c r="FS797"/>
      <c r="FT797"/>
      <c r="FU797"/>
      <c r="FV797"/>
      <c r="FW797"/>
      <c r="FX797"/>
      <c r="FY797"/>
      <c r="FZ797"/>
      <c r="GA797"/>
      <c r="GB797"/>
      <c r="GC797"/>
      <c r="GD797"/>
      <c r="GE797"/>
      <c r="GF797"/>
      <c r="GG797"/>
      <c r="GH797"/>
      <c r="GI797"/>
      <c r="GJ797"/>
      <c r="GK797"/>
      <c r="GL797"/>
      <c r="GM797"/>
      <c r="GN797"/>
      <c r="GO797"/>
      <c r="GP797"/>
      <c r="GQ797"/>
      <c r="GR797"/>
      <c r="GS797"/>
      <c r="GT797"/>
      <c r="GU797"/>
      <c r="GV797"/>
      <c r="GW797"/>
      <c r="GX797"/>
      <c r="GY797"/>
      <c r="GZ797"/>
      <c r="HA797"/>
      <c r="HB797"/>
      <c r="HC797"/>
      <c r="HD797"/>
      <c r="HE797"/>
      <c r="HF797"/>
      <c r="HG797"/>
      <c r="HH797"/>
      <c r="HI797"/>
      <c r="HJ797"/>
      <c r="HK797"/>
      <c r="HL797"/>
      <c r="HM797"/>
      <c r="HN797"/>
      <c r="HO797"/>
      <c r="HP797"/>
      <c r="HQ797"/>
      <c r="HR797"/>
      <c r="HS797"/>
      <c r="HT797"/>
      <c r="HU797"/>
      <c r="HV797"/>
      <c r="HW797"/>
      <c r="HX797"/>
      <c r="HY797"/>
      <c r="HZ797"/>
      <c r="IA797"/>
      <c r="IB797"/>
      <c r="IC797"/>
      <c r="ID797"/>
      <c r="IE797"/>
      <c r="IF797"/>
      <c r="IG797"/>
      <c r="IH797"/>
      <c r="II797"/>
      <c r="IJ797"/>
      <c r="IK797"/>
      <c r="IL797"/>
      <c r="IM797"/>
      <c r="IN797"/>
      <c r="IO797"/>
      <c r="IP797"/>
      <c r="IQ797"/>
      <c r="IR797"/>
      <c r="IS797"/>
      <c r="IT797"/>
      <c r="IU797"/>
      <c r="IV797"/>
      <c r="IW797"/>
      <c r="IX797"/>
    </row>
    <row r="798" spans="1:259" ht="12.75" customHeight="1" x14ac:dyDescent="0.2">
      <c r="A798" s="851"/>
      <c r="B798" s="1795" t="s">
        <v>819</v>
      </c>
      <c r="C798" s="1796">
        <f t="shared" ref="C798:I798" si="165">SUM(C799:C801)</f>
        <v>30070000</v>
      </c>
      <c r="D798" s="852">
        <f t="shared" si="165"/>
        <v>35252823.810000002</v>
      </c>
      <c r="E798" s="1225">
        <f t="shared" si="165"/>
        <v>35252823.810000002</v>
      </c>
      <c r="F798" s="852">
        <f t="shared" si="165"/>
        <v>35201083.560000002</v>
      </c>
      <c r="G798" s="852">
        <f t="shared" si="165"/>
        <v>29434083.559999999</v>
      </c>
      <c r="H798" s="1797">
        <f t="shared" si="165"/>
        <v>24174083.559999999</v>
      </c>
      <c r="I798" s="1796">
        <f t="shared" si="165"/>
        <v>34750000</v>
      </c>
      <c r="J798" s="1416"/>
      <c r="K798" s="1367"/>
      <c r="L798" s="848"/>
      <c r="M798" s="887"/>
      <c r="N798" s="843"/>
      <c r="O798"/>
      <c r="P798"/>
      <c r="Q798"/>
      <c r="R798"/>
      <c r="S798"/>
      <c r="T798"/>
      <c r="U798"/>
      <c r="V798"/>
      <c r="W798"/>
      <c r="X798"/>
      <c r="Y798"/>
      <c r="Z798"/>
      <c r="AA798"/>
      <c r="AB798"/>
      <c r="AC798"/>
      <c r="AD798"/>
      <c r="AE798"/>
      <c r="AF798"/>
      <c r="AG798"/>
      <c r="AH798"/>
      <c r="AI798"/>
      <c r="AJ798"/>
      <c r="AK798"/>
      <c r="AL798"/>
      <c r="AM798"/>
      <c r="AN798"/>
      <c r="AO798"/>
      <c r="AP798"/>
      <c r="AQ798"/>
      <c r="AR798"/>
      <c r="AS798"/>
      <c r="AT798"/>
      <c r="AU798"/>
      <c r="AV798"/>
      <c r="AW798"/>
      <c r="AX798"/>
      <c r="AY798"/>
      <c r="AZ798"/>
      <c r="BA798"/>
      <c r="BB798"/>
      <c r="BC798"/>
      <c r="BD798"/>
      <c r="BE798"/>
      <c r="BF798"/>
      <c r="BG798"/>
      <c r="BH798"/>
      <c r="BI798"/>
      <c r="BJ798"/>
      <c r="BK798"/>
      <c r="BL798"/>
      <c r="BM798"/>
      <c r="BN798"/>
      <c r="BO798"/>
      <c r="BP798"/>
      <c r="BQ798"/>
      <c r="BR798"/>
      <c r="BS798"/>
      <c r="BT798"/>
      <c r="BU798"/>
      <c r="BV798"/>
      <c r="BW798"/>
      <c r="BX798"/>
      <c r="BY798"/>
      <c r="BZ798"/>
      <c r="CA798"/>
      <c r="CB798"/>
      <c r="CC798"/>
      <c r="CD798"/>
      <c r="CE798"/>
      <c r="CF798"/>
      <c r="CG798"/>
      <c r="CH798"/>
      <c r="CI798"/>
      <c r="CJ798"/>
      <c r="CK798"/>
      <c r="CL798"/>
      <c r="CM798"/>
      <c r="CN798"/>
      <c r="CO798"/>
      <c r="CP798"/>
      <c r="CQ798"/>
      <c r="CR798"/>
      <c r="CS798"/>
      <c r="CT798"/>
      <c r="CU798"/>
      <c r="CV798"/>
      <c r="CW798"/>
      <c r="CX798"/>
      <c r="CY798"/>
      <c r="CZ798"/>
      <c r="DA798"/>
      <c r="DB798"/>
      <c r="DC798"/>
      <c r="DD798"/>
      <c r="DE798"/>
      <c r="DF798"/>
      <c r="DG798"/>
      <c r="DH798"/>
      <c r="DI798"/>
      <c r="DJ798"/>
      <c r="DK798"/>
      <c r="DL798"/>
      <c r="DM798"/>
      <c r="DN798"/>
      <c r="DO798"/>
      <c r="DP798"/>
      <c r="DQ798"/>
      <c r="DR798"/>
      <c r="DS798"/>
      <c r="DT798"/>
      <c r="DU798"/>
      <c r="DV798"/>
      <c r="DW798"/>
      <c r="DX798"/>
      <c r="DY798"/>
      <c r="DZ798"/>
      <c r="EA798"/>
      <c r="EB798"/>
      <c r="EC798"/>
      <c r="ED798"/>
      <c r="EE798"/>
      <c r="EF798"/>
      <c r="EG798"/>
      <c r="EH798"/>
      <c r="EI798"/>
      <c r="EJ798"/>
      <c r="EK798"/>
      <c r="EL798"/>
      <c r="EM798"/>
      <c r="EN798"/>
      <c r="EO798"/>
      <c r="EP798"/>
      <c r="EQ798"/>
      <c r="ER798"/>
      <c r="ES798"/>
      <c r="ET798"/>
      <c r="EU798"/>
      <c r="EV798"/>
      <c r="EW798"/>
      <c r="EX798"/>
      <c r="EY798"/>
      <c r="EZ798"/>
      <c r="FA798"/>
      <c r="FB798"/>
      <c r="FC798"/>
      <c r="FD798"/>
      <c r="FE798"/>
      <c r="FF798"/>
      <c r="FG798"/>
      <c r="FH798"/>
      <c r="FI798"/>
      <c r="FJ798"/>
      <c r="FK798"/>
      <c r="FL798"/>
      <c r="FM798"/>
      <c r="FN798"/>
      <c r="FO798"/>
      <c r="FP798"/>
      <c r="FQ798"/>
      <c r="FR798"/>
      <c r="FS798"/>
      <c r="FT798"/>
      <c r="FU798"/>
      <c r="FV798"/>
      <c r="FW798"/>
      <c r="FX798"/>
      <c r="FY798"/>
      <c r="FZ798"/>
      <c r="GA798"/>
      <c r="GB798"/>
      <c r="GC798"/>
      <c r="GD798"/>
      <c r="GE798"/>
      <c r="GF798"/>
      <c r="GG798"/>
      <c r="GH798"/>
      <c r="GI798"/>
      <c r="GJ798"/>
      <c r="GK798"/>
      <c r="GL798"/>
      <c r="GM798"/>
      <c r="GN798"/>
      <c r="GO798"/>
      <c r="GP798"/>
      <c r="GQ798"/>
      <c r="GR798"/>
      <c r="GS798"/>
      <c r="GT798"/>
      <c r="GU798"/>
      <c r="GV798"/>
      <c r="GW798"/>
      <c r="GX798"/>
      <c r="GY798"/>
      <c r="GZ798"/>
      <c r="HA798"/>
      <c r="HB798"/>
      <c r="HC798"/>
      <c r="HD798"/>
      <c r="HE798"/>
      <c r="HF798"/>
      <c r="HG798"/>
      <c r="HH798"/>
      <c r="HI798"/>
      <c r="HJ798"/>
      <c r="HK798"/>
      <c r="HL798"/>
      <c r="HM798"/>
      <c r="HN798"/>
      <c r="HO798"/>
      <c r="HP798"/>
      <c r="HQ798"/>
      <c r="HR798"/>
      <c r="HS798"/>
      <c r="HT798"/>
      <c r="HU798"/>
      <c r="HV798"/>
      <c r="HW798"/>
      <c r="HX798"/>
      <c r="HY798"/>
      <c r="HZ798"/>
      <c r="IA798"/>
      <c r="IB798"/>
      <c r="IC798"/>
      <c r="ID798"/>
      <c r="IE798"/>
      <c r="IF798"/>
      <c r="IG798"/>
      <c r="IH798"/>
      <c r="II798"/>
      <c r="IJ798"/>
      <c r="IK798"/>
      <c r="IL798"/>
      <c r="IM798"/>
      <c r="IN798"/>
      <c r="IO798"/>
      <c r="IP798"/>
      <c r="IQ798"/>
      <c r="IR798"/>
      <c r="IS798"/>
      <c r="IT798"/>
      <c r="IU798"/>
      <c r="IV798"/>
      <c r="IW798"/>
      <c r="IX798"/>
    </row>
    <row r="799" spans="1:259" ht="12.75" customHeight="1" x14ac:dyDescent="0.2">
      <c r="A799" s="851"/>
      <c r="B799" s="1553" t="s">
        <v>1465</v>
      </c>
      <c r="C799" s="1572">
        <v>30020000</v>
      </c>
      <c r="D799" s="733">
        <v>34951782.5</v>
      </c>
      <c r="E799" s="904">
        <v>34919904.5</v>
      </c>
      <c r="F799" s="733">
        <v>34951782.5</v>
      </c>
      <c r="G799" s="733">
        <v>29152904.5</v>
      </c>
      <c r="H799" s="1176">
        <v>23924782.5</v>
      </c>
      <c r="I799" s="1572">
        <v>34500000</v>
      </c>
      <c r="J799" s="1416"/>
      <c r="K799" s="1367"/>
      <c r="L799" s="848"/>
      <c r="M799" s="887"/>
      <c r="N799" s="843"/>
      <c r="O799"/>
      <c r="P799"/>
      <c r="Q799"/>
      <c r="R799"/>
      <c r="S799"/>
      <c r="T799"/>
      <c r="U799"/>
      <c r="V799"/>
      <c r="W799"/>
      <c r="X799"/>
      <c r="Y799"/>
      <c r="Z799"/>
      <c r="AA799"/>
      <c r="AB799"/>
      <c r="AC799"/>
      <c r="AD799"/>
      <c r="AE799"/>
      <c r="AF799"/>
      <c r="AG799"/>
      <c r="AH799"/>
      <c r="AI799"/>
      <c r="AJ799"/>
      <c r="AK799"/>
      <c r="AL799"/>
      <c r="AM799"/>
      <c r="AN799"/>
      <c r="AO799"/>
      <c r="AP799"/>
      <c r="AQ799"/>
      <c r="AR799"/>
      <c r="AS799"/>
      <c r="AT799"/>
      <c r="AU799"/>
      <c r="AV799"/>
      <c r="AW799"/>
      <c r="AX799"/>
      <c r="AY799"/>
      <c r="AZ799"/>
      <c r="BA799"/>
      <c r="BB799"/>
      <c r="BC799"/>
      <c r="BD799"/>
      <c r="BE799"/>
      <c r="BF799"/>
      <c r="BG799"/>
      <c r="BH799"/>
      <c r="BI799"/>
      <c r="BJ799"/>
      <c r="BK799"/>
      <c r="BL799"/>
      <c r="BM799"/>
      <c r="BN799"/>
      <c r="BO799"/>
      <c r="BP799"/>
      <c r="BQ799"/>
      <c r="BR799"/>
      <c r="BS799"/>
      <c r="BT799"/>
      <c r="BU799"/>
      <c r="BV799"/>
      <c r="BW799"/>
      <c r="BX799"/>
      <c r="BY799"/>
      <c r="BZ799"/>
      <c r="CA799"/>
      <c r="CB799"/>
      <c r="CC799"/>
      <c r="CD799"/>
      <c r="CE799"/>
      <c r="CF799"/>
      <c r="CG799"/>
      <c r="CH799"/>
      <c r="CI799"/>
      <c r="CJ799"/>
      <c r="CK799"/>
      <c r="CL799"/>
      <c r="CM799"/>
      <c r="CN799"/>
      <c r="CO799"/>
      <c r="CP799"/>
      <c r="CQ799"/>
      <c r="CR799"/>
      <c r="CS799"/>
      <c r="CT799"/>
      <c r="CU799"/>
      <c r="CV799"/>
      <c r="CW799"/>
      <c r="CX799"/>
      <c r="CY799"/>
      <c r="CZ799"/>
      <c r="DA799"/>
      <c r="DB799"/>
      <c r="DC799"/>
      <c r="DD799"/>
      <c r="DE799"/>
      <c r="DF799"/>
      <c r="DG799"/>
      <c r="DH799"/>
      <c r="DI799"/>
      <c r="DJ799"/>
      <c r="DK799"/>
      <c r="DL799"/>
      <c r="DM799"/>
      <c r="DN799"/>
      <c r="DO799"/>
      <c r="DP799"/>
      <c r="DQ799"/>
      <c r="DR799"/>
      <c r="DS799"/>
      <c r="DT799"/>
      <c r="DU799"/>
      <c r="DV799"/>
      <c r="DW799"/>
      <c r="DX799"/>
      <c r="DY799"/>
      <c r="DZ799"/>
      <c r="EA799"/>
      <c r="EB799"/>
      <c r="EC799"/>
      <c r="ED799"/>
      <c r="EE799"/>
      <c r="EF799"/>
      <c r="EG799"/>
      <c r="EH799"/>
      <c r="EI799"/>
      <c r="EJ799"/>
      <c r="EK799"/>
      <c r="EL799"/>
      <c r="EM799"/>
      <c r="EN799"/>
      <c r="EO799"/>
      <c r="EP799"/>
      <c r="EQ799"/>
      <c r="ER799"/>
      <c r="ES799"/>
      <c r="ET799"/>
      <c r="EU799"/>
      <c r="EV799"/>
      <c r="EW799"/>
      <c r="EX799"/>
      <c r="EY799"/>
      <c r="EZ799"/>
      <c r="FA799"/>
      <c r="FB799"/>
      <c r="FC799"/>
      <c r="FD799"/>
      <c r="FE799"/>
      <c r="FF799"/>
      <c r="FG799"/>
      <c r="FH799"/>
      <c r="FI799"/>
      <c r="FJ799"/>
      <c r="FK799"/>
      <c r="FL799"/>
      <c r="FM799"/>
      <c r="FN799"/>
      <c r="FO799"/>
      <c r="FP799"/>
      <c r="FQ799"/>
      <c r="FR799"/>
      <c r="FS799"/>
      <c r="FT799"/>
      <c r="FU799"/>
      <c r="FV799"/>
      <c r="FW799"/>
      <c r="FX799"/>
      <c r="FY799"/>
      <c r="FZ799"/>
      <c r="GA799"/>
      <c r="GB799"/>
      <c r="GC799"/>
      <c r="GD799"/>
      <c r="GE799"/>
      <c r="GF799"/>
      <c r="GG799"/>
      <c r="GH799"/>
      <c r="GI799"/>
      <c r="GJ799"/>
      <c r="GK799"/>
      <c r="GL799"/>
      <c r="GM799"/>
      <c r="GN799"/>
      <c r="GO799"/>
      <c r="GP799"/>
      <c r="GQ799"/>
      <c r="GR799"/>
      <c r="GS799"/>
      <c r="GT799"/>
      <c r="GU799"/>
      <c r="GV799"/>
      <c r="GW799"/>
      <c r="GX799"/>
      <c r="GY799"/>
      <c r="GZ799"/>
      <c r="HA799"/>
      <c r="HB799"/>
      <c r="HC799"/>
      <c r="HD799"/>
      <c r="HE799"/>
      <c r="HF799"/>
      <c r="HG799"/>
      <c r="HH799"/>
      <c r="HI799"/>
      <c r="HJ799"/>
      <c r="HK799"/>
      <c r="HL799"/>
      <c r="HM799"/>
      <c r="HN799"/>
      <c r="HO799"/>
      <c r="HP799"/>
      <c r="HQ799"/>
      <c r="HR799"/>
      <c r="HS799"/>
      <c r="HT799"/>
      <c r="HU799"/>
      <c r="HV799"/>
      <c r="HW799"/>
      <c r="HX799"/>
      <c r="HY799"/>
      <c r="HZ799"/>
      <c r="IA799"/>
      <c r="IB799"/>
      <c r="IC799"/>
      <c r="ID799"/>
      <c r="IE799"/>
      <c r="IF799"/>
      <c r="IG799"/>
      <c r="IH799"/>
      <c r="II799"/>
      <c r="IJ799"/>
      <c r="IK799"/>
      <c r="IL799"/>
      <c r="IM799"/>
      <c r="IN799"/>
      <c r="IO799"/>
      <c r="IP799"/>
      <c r="IQ799"/>
      <c r="IR799"/>
      <c r="IS799"/>
      <c r="IT799"/>
      <c r="IU799"/>
      <c r="IV799"/>
      <c r="IW799"/>
      <c r="IX799"/>
    </row>
    <row r="800" spans="1:259" s="426" customFormat="1" ht="12.75" customHeight="1" x14ac:dyDescent="0.25">
      <c r="A800" s="851"/>
      <c r="B800" s="1722" t="s">
        <v>1466</v>
      </c>
      <c r="C800" s="1572">
        <v>0</v>
      </c>
      <c r="D800" s="733">
        <f>152880+20971+13463.31+63727</f>
        <v>251041.31</v>
      </c>
      <c r="E800" s="904">
        <v>282919.31</v>
      </c>
      <c r="F800" s="733">
        <v>249301.06</v>
      </c>
      <c r="G800" s="733">
        <v>281179.06</v>
      </c>
      <c r="H800" s="1176">
        <v>249301.06</v>
      </c>
      <c r="I800" s="1572">
        <v>250000</v>
      </c>
      <c r="J800" s="1416"/>
      <c r="K800" s="1367"/>
      <c r="L800" s="1078"/>
      <c r="M800" s="887"/>
      <c r="N800" s="845"/>
      <c r="IY800" s="116"/>
    </row>
    <row r="801" spans="1:259" ht="12.75" customHeight="1" x14ac:dyDescent="0.25">
      <c r="A801" s="851"/>
      <c r="B801" s="1722" t="s">
        <v>1123</v>
      </c>
      <c r="C801" s="1572">
        <v>50000</v>
      </c>
      <c r="D801" s="733">
        <f>50000</f>
        <v>50000</v>
      </c>
      <c r="E801" s="904">
        <f>50000</f>
        <v>50000</v>
      </c>
      <c r="F801" s="733">
        <v>0</v>
      </c>
      <c r="G801" s="733">
        <v>0</v>
      </c>
      <c r="H801" s="1176">
        <v>0</v>
      </c>
      <c r="I801" s="1572">
        <v>0</v>
      </c>
      <c r="J801" s="1417"/>
      <c r="K801" s="1278"/>
      <c r="L801" s="848"/>
      <c r="M801" s="887"/>
      <c r="N801" s="843"/>
      <c r="O801"/>
      <c r="P801"/>
      <c r="Q801"/>
      <c r="R801"/>
      <c r="S801"/>
      <c r="T801"/>
      <c r="U801"/>
      <c r="V801"/>
      <c r="W801"/>
      <c r="X801"/>
      <c r="Y801"/>
      <c r="Z801"/>
      <c r="AA801"/>
      <c r="AB801"/>
      <c r="AC801"/>
      <c r="AD801"/>
      <c r="AE801"/>
      <c r="AF801"/>
      <c r="AG801"/>
      <c r="AH801"/>
      <c r="AI801"/>
      <c r="AJ801"/>
      <c r="AK801"/>
      <c r="AL801"/>
      <c r="AM801"/>
      <c r="AN801"/>
      <c r="AO801"/>
      <c r="AP801"/>
      <c r="AQ801"/>
      <c r="AR801"/>
      <c r="AS801"/>
      <c r="AT801"/>
      <c r="AU801"/>
      <c r="AV801"/>
      <c r="AW801"/>
      <c r="AX801"/>
      <c r="AY801"/>
      <c r="AZ801"/>
      <c r="BA801"/>
      <c r="BB801"/>
      <c r="BC801"/>
      <c r="BD801"/>
      <c r="BE801"/>
      <c r="BF801"/>
      <c r="BG801"/>
      <c r="BH801"/>
      <c r="BI801"/>
      <c r="BJ801"/>
      <c r="BK801"/>
      <c r="BL801"/>
      <c r="BM801"/>
      <c r="BN801"/>
      <c r="BO801"/>
      <c r="BP801"/>
      <c r="BQ801"/>
      <c r="BR801"/>
      <c r="BS801"/>
      <c r="BT801"/>
      <c r="BU801"/>
      <c r="BV801"/>
      <c r="BW801"/>
      <c r="BX801"/>
      <c r="BY801"/>
      <c r="BZ801"/>
      <c r="CA801"/>
      <c r="CB801"/>
      <c r="CC801"/>
      <c r="CD801"/>
      <c r="CE801"/>
      <c r="CF801"/>
      <c r="CG801"/>
      <c r="CH801"/>
      <c r="CI801"/>
      <c r="CJ801"/>
      <c r="CK801"/>
      <c r="CL801"/>
      <c r="CM801"/>
      <c r="CN801"/>
      <c r="CO801"/>
      <c r="CP801"/>
      <c r="CQ801"/>
      <c r="CR801"/>
      <c r="CS801"/>
      <c r="CT801"/>
      <c r="CU801"/>
      <c r="CV801"/>
      <c r="CW801"/>
      <c r="CX801"/>
      <c r="CY801"/>
      <c r="CZ801"/>
      <c r="DA801"/>
      <c r="DB801"/>
      <c r="DC801"/>
      <c r="DD801"/>
      <c r="DE801"/>
      <c r="DF801"/>
      <c r="DG801"/>
      <c r="DH801"/>
      <c r="DI801"/>
      <c r="DJ801"/>
      <c r="DK801"/>
      <c r="DL801"/>
      <c r="DM801"/>
      <c r="DN801"/>
      <c r="DO801"/>
      <c r="DP801"/>
      <c r="DQ801"/>
      <c r="DR801"/>
      <c r="DS801"/>
      <c r="DT801"/>
      <c r="DU801"/>
      <c r="DV801"/>
      <c r="DW801"/>
      <c r="DX801"/>
      <c r="DY801"/>
      <c r="DZ801"/>
      <c r="EA801"/>
      <c r="EB801"/>
      <c r="EC801"/>
      <c r="ED801"/>
      <c r="EE801"/>
      <c r="EF801"/>
      <c r="EG801"/>
      <c r="EH801"/>
      <c r="EI801"/>
      <c r="EJ801"/>
      <c r="EK801"/>
      <c r="EL801"/>
      <c r="EM801"/>
      <c r="EN801"/>
      <c r="EO801"/>
      <c r="EP801"/>
      <c r="EQ801"/>
      <c r="ER801"/>
      <c r="ES801"/>
      <c r="ET801"/>
      <c r="EU801"/>
      <c r="EV801"/>
      <c r="EW801"/>
      <c r="EX801"/>
      <c r="EY801"/>
      <c r="EZ801"/>
      <c r="FA801"/>
      <c r="FB801"/>
      <c r="FC801"/>
      <c r="FD801"/>
      <c r="FE801"/>
      <c r="FF801"/>
      <c r="FG801"/>
      <c r="FH801"/>
      <c r="FI801"/>
      <c r="FJ801"/>
      <c r="FK801"/>
      <c r="FL801"/>
      <c r="FM801"/>
      <c r="FN801"/>
      <c r="FO801"/>
      <c r="FP801"/>
      <c r="FQ801"/>
      <c r="FR801"/>
      <c r="FS801"/>
      <c r="FT801"/>
      <c r="FU801"/>
      <c r="FV801"/>
      <c r="FW801"/>
      <c r="FX801"/>
      <c r="FY801"/>
      <c r="FZ801"/>
      <c r="GA801"/>
      <c r="GB801"/>
      <c r="GC801"/>
      <c r="GD801"/>
      <c r="GE801"/>
      <c r="GF801"/>
      <c r="GG801"/>
      <c r="GH801"/>
      <c r="GI801"/>
      <c r="GJ801"/>
      <c r="GK801"/>
      <c r="GL801"/>
      <c r="GM801"/>
      <c r="GN801"/>
      <c r="GO801"/>
      <c r="GP801"/>
      <c r="GQ801"/>
      <c r="GR801"/>
      <c r="GS801"/>
      <c r="GT801"/>
      <c r="GU801"/>
      <c r="GV801"/>
      <c r="GW801"/>
      <c r="GX801"/>
      <c r="GY801"/>
      <c r="GZ801"/>
      <c r="HA801"/>
      <c r="HB801"/>
      <c r="HC801"/>
      <c r="HD801"/>
      <c r="HE801"/>
      <c r="HF801"/>
      <c r="HG801"/>
      <c r="HH801"/>
      <c r="HI801"/>
      <c r="HJ801"/>
      <c r="HK801"/>
      <c r="HL801"/>
      <c r="HM801"/>
      <c r="HN801"/>
      <c r="HO801"/>
      <c r="HP801"/>
      <c r="HQ801"/>
      <c r="HR801"/>
      <c r="HS801"/>
      <c r="HT801"/>
      <c r="HU801"/>
      <c r="HV801"/>
      <c r="HW801"/>
      <c r="HX801"/>
      <c r="HY801"/>
      <c r="HZ801"/>
      <c r="IA801"/>
      <c r="IB801"/>
      <c r="IC801"/>
      <c r="ID801"/>
      <c r="IE801"/>
      <c r="IF801"/>
      <c r="IG801"/>
      <c r="IH801"/>
      <c r="II801"/>
      <c r="IJ801"/>
      <c r="IK801"/>
      <c r="IL801"/>
      <c r="IM801"/>
      <c r="IN801"/>
      <c r="IO801"/>
      <c r="IP801"/>
      <c r="IQ801"/>
      <c r="IR801"/>
      <c r="IS801"/>
      <c r="IT801"/>
      <c r="IU801"/>
      <c r="IV801"/>
      <c r="IW801"/>
      <c r="IX801"/>
    </row>
    <row r="802" spans="1:259" ht="12.75" customHeight="1" x14ac:dyDescent="0.2">
      <c r="A802" s="851"/>
      <c r="B802" s="1798" t="s">
        <v>1076</v>
      </c>
      <c r="C802" s="1052">
        <f t="shared" ref="C802:I802" si="166">C803+C806+C809</f>
        <v>21670000</v>
      </c>
      <c r="D802" s="718">
        <f t="shared" si="166"/>
        <v>19983154.57</v>
      </c>
      <c r="E802" s="897">
        <f t="shared" si="166"/>
        <v>19983154.57</v>
      </c>
      <c r="F802" s="718">
        <f t="shared" si="166"/>
        <v>18468727.619999997</v>
      </c>
      <c r="G802" s="718">
        <f t="shared" si="166"/>
        <v>16055293.130000001</v>
      </c>
      <c r="H802" s="1045">
        <f t="shared" si="166"/>
        <v>13618727.619999999</v>
      </c>
      <c r="I802" s="1052">
        <f t="shared" si="166"/>
        <v>14815000</v>
      </c>
      <c r="J802" s="1416"/>
      <c r="K802" s="1367"/>
      <c r="L802" s="848"/>
      <c r="M802" s="887"/>
      <c r="N802" s="843"/>
      <c r="O802"/>
      <c r="P802"/>
      <c r="Q802"/>
      <c r="R802"/>
      <c r="S802"/>
      <c r="T802"/>
      <c r="U802"/>
      <c r="V802"/>
      <c r="W802"/>
      <c r="X802"/>
      <c r="Y802"/>
      <c r="Z802"/>
      <c r="AA802"/>
      <c r="AB802"/>
      <c r="AC802"/>
      <c r="AD802"/>
      <c r="AE802"/>
      <c r="AF802"/>
      <c r="AG802"/>
      <c r="AH802"/>
      <c r="AI802"/>
      <c r="AJ802"/>
      <c r="AK802"/>
      <c r="AL802"/>
      <c r="AM802"/>
      <c r="AN802"/>
      <c r="AO802"/>
      <c r="AP802"/>
      <c r="AQ802"/>
      <c r="AR802"/>
      <c r="AS802"/>
      <c r="AT802"/>
      <c r="AU802"/>
      <c r="AV802"/>
      <c r="AW802"/>
      <c r="AX802"/>
      <c r="AY802"/>
      <c r="AZ802"/>
      <c r="BA802"/>
      <c r="BB802"/>
      <c r="BC802"/>
      <c r="BD802"/>
      <c r="BE802"/>
      <c r="BF802"/>
      <c r="BG802"/>
      <c r="BH802"/>
      <c r="BI802"/>
      <c r="BJ802"/>
      <c r="BK802"/>
      <c r="BL802"/>
      <c r="BM802"/>
      <c r="BN802"/>
      <c r="BO802"/>
      <c r="BP802"/>
      <c r="BQ802"/>
      <c r="BR802"/>
      <c r="BS802"/>
      <c r="BT802"/>
      <c r="BU802"/>
      <c r="BV802"/>
      <c r="BW802"/>
      <c r="BX802"/>
      <c r="BY802"/>
      <c r="BZ802"/>
      <c r="CA802"/>
      <c r="CB802"/>
      <c r="CC802"/>
      <c r="CD802"/>
      <c r="CE802"/>
      <c r="CF802"/>
      <c r="CG802"/>
      <c r="CH802"/>
      <c r="CI802"/>
      <c r="CJ802"/>
      <c r="CK802"/>
      <c r="CL802"/>
      <c r="CM802"/>
      <c r="CN802"/>
      <c r="CO802"/>
      <c r="CP802"/>
      <c r="CQ802"/>
      <c r="CR802"/>
      <c r="CS802"/>
      <c r="CT802"/>
      <c r="CU802"/>
      <c r="CV802"/>
      <c r="CW802"/>
      <c r="CX802"/>
      <c r="CY802"/>
      <c r="CZ802"/>
      <c r="DA802"/>
      <c r="DB802"/>
      <c r="DC802"/>
      <c r="DD802"/>
      <c r="DE802"/>
      <c r="DF802"/>
      <c r="DG802"/>
      <c r="DH802"/>
      <c r="DI802"/>
      <c r="DJ802"/>
      <c r="DK802"/>
      <c r="DL802"/>
      <c r="DM802"/>
      <c r="DN802"/>
      <c r="DO802"/>
      <c r="DP802"/>
      <c r="DQ802"/>
      <c r="DR802"/>
      <c r="DS802"/>
      <c r="DT802"/>
      <c r="DU802"/>
      <c r="DV802"/>
      <c r="DW802"/>
      <c r="DX802"/>
      <c r="DY802"/>
      <c r="DZ802"/>
      <c r="EA802"/>
      <c r="EB802"/>
      <c r="EC802"/>
      <c r="ED802"/>
      <c r="EE802"/>
      <c r="EF802"/>
      <c r="EG802"/>
      <c r="EH802"/>
      <c r="EI802"/>
      <c r="EJ802"/>
      <c r="EK802"/>
      <c r="EL802"/>
      <c r="EM802"/>
      <c r="EN802"/>
      <c r="EO802"/>
      <c r="EP802"/>
      <c r="EQ802"/>
      <c r="ER802"/>
      <c r="ES802"/>
      <c r="ET802"/>
      <c r="EU802"/>
      <c r="EV802"/>
      <c r="EW802"/>
      <c r="EX802"/>
      <c r="EY802"/>
      <c r="EZ802"/>
      <c r="FA802"/>
      <c r="FB802"/>
      <c r="FC802"/>
      <c r="FD802"/>
      <c r="FE802"/>
      <c r="FF802"/>
      <c r="FG802"/>
      <c r="FH802"/>
      <c r="FI802"/>
      <c r="FJ802"/>
      <c r="FK802"/>
      <c r="FL802"/>
      <c r="FM802"/>
      <c r="FN802"/>
      <c r="FO802"/>
      <c r="FP802"/>
      <c r="FQ802"/>
      <c r="FR802"/>
      <c r="FS802"/>
      <c r="FT802"/>
      <c r="FU802"/>
      <c r="FV802"/>
      <c r="FW802"/>
      <c r="FX802"/>
      <c r="FY802"/>
      <c r="FZ802"/>
      <c r="GA802"/>
      <c r="GB802"/>
      <c r="GC802"/>
      <c r="GD802"/>
      <c r="GE802"/>
      <c r="GF802"/>
      <c r="GG802"/>
      <c r="GH802"/>
      <c r="GI802"/>
      <c r="GJ802"/>
      <c r="GK802"/>
      <c r="GL802"/>
      <c r="GM802"/>
      <c r="GN802"/>
      <c r="GO802"/>
      <c r="GP802"/>
      <c r="GQ802"/>
      <c r="GR802"/>
      <c r="GS802"/>
      <c r="GT802"/>
      <c r="GU802"/>
      <c r="GV802"/>
      <c r="GW802"/>
      <c r="GX802"/>
      <c r="GY802"/>
      <c r="GZ802"/>
      <c r="HA802"/>
      <c r="HB802"/>
      <c r="HC802"/>
      <c r="HD802"/>
      <c r="HE802"/>
      <c r="HF802"/>
      <c r="HG802"/>
      <c r="HH802"/>
      <c r="HI802"/>
      <c r="HJ802"/>
      <c r="HK802"/>
      <c r="HL802"/>
      <c r="HM802"/>
      <c r="HN802"/>
      <c r="HO802"/>
      <c r="HP802"/>
      <c r="HQ802"/>
      <c r="HR802"/>
      <c r="HS802"/>
      <c r="HT802"/>
      <c r="HU802"/>
      <c r="HV802"/>
      <c r="HW802"/>
      <c r="HX802"/>
      <c r="HY802"/>
      <c r="HZ802"/>
      <c r="IA802"/>
      <c r="IB802"/>
      <c r="IC802"/>
      <c r="ID802"/>
      <c r="IE802"/>
      <c r="IF802"/>
      <c r="IG802"/>
      <c r="IH802"/>
      <c r="II802"/>
      <c r="IJ802"/>
      <c r="IK802"/>
      <c r="IL802"/>
      <c r="IM802"/>
      <c r="IN802"/>
      <c r="IO802"/>
      <c r="IP802"/>
      <c r="IQ802"/>
      <c r="IR802"/>
      <c r="IS802"/>
      <c r="IT802"/>
      <c r="IU802"/>
      <c r="IV802"/>
      <c r="IW802"/>
      <c r="IX802"/>
    </row>
    <row r="803" spans="1:259" ht="12.75" customHeight="1" x14ac:dyDescent="0.2">
      <c r="A803" s="798"/>
      <c r="B803" s="1799" t="s">
        <v>807</v>
      </c>
      <c r="C803" s="1796">
        <f t="shared" ref="C803:I803" si="167">C804+C805</f>
        <v>5500000</v>
      </c>
      <c r="D803" s="852">
        <f t="shared" si="167"/>
        <v>5931000</v>
      </c>
      <c r="E803" s="1225">
        <f t="shared" si="167"/>
        <v>5931000</v>
      </c>
      <c r="F803" s="852">
        <f t="shared" si="167"/>
        <v>5930790</v>
      </c>
      <c r="G803" s="852">
        <f t="shared" si="167"/>
        <v>5080790</v>
      </c>
      <c r="H803" s="1797">
        <f t="shared" si="167"/>
        <v>5080790</v>
      </c>
      <c r="I803" s="1796">
        <f t="shared" si="167"/>
        <v>0</v>
      </c>
      <c r="J803" s="1416"/>
      <c r="K803" s="1367"/>
      <c r="L803" s="848"/>
      <c r="M803" s="887"/>
      <c r="N803" s="843"/>
      <c r="O803"/>
      <c r="P803"/>
      <c r="Q803"/>
      <c r="R803"/>
      <c r="S803"/>
      <c r="T803"/>
      <c r="U803"/>
      <c r="V803"/>
      <c r="W803"/>
      <c r="X803"/>
      <c r="Y803"/>
      <c r="Z803"/>
      <c r="AA803"/>
      <c r="AB803"/>
      <c r="AC803"/>
      <c r="AD803"/>
      <c r="AE803"/>
      <c r="AF803"/>
      <c r="AG803"/>
      <c r="AH803"/>
      <c r="AI803"/>
      <c r="AJ803"/>
      <c r="AK803"/>
      <c r="AL803"/>
      <c r="AM803"/>
      <c r="AN803"/>
      <c r="AO803"/>
      <c r="AP803"/>
      <c r="AQ803"/>
      <c r="AR803"/>
      <c r="AS803"/>
      <c r="AT803"/>
      <c r="AU803"/>
      <c r="AV803"/>
      <c r="AW803"/>
      <c r="AX803"/>
      <c r="AY803"/>
      <c r="AZ803"/>
      <c r="BA803"/>
      <c r="BB803"/>
      <c r="BC803"/>
      <c r="BD803"/>
      <c r="BE803"/>
      <c r="BF803"/>
      <c r="BG803"/>
      <c r="BH803"/>
      <c r="BI803"/>
      <c r="BJ803"/>
      <c r="BK803"/>
      <c r="BL803"/>
      <c r="BM803"/>
      <c r="BN803"/>
      <c r="BO803"/>
      <c r="BP803"/>
      <c r="BQ803"/>
      <c r="BR803"/>
      <c r="BS803"/>
      <c r="BT803"/>
      <c r="BU803"/>
      <c r="BV803"/>
      <c r="BW803"/>
      <c r="BX803"/>
      <c r="BY803"/>
      <c r="BZ803"/>
      <c r="CA803"/>
      <c r="CB803"/>
      <c r="CC803"/>
      <c r="CD803"/>
      <c r="CE803"/>
      <c r="CF803"/>
      <c r="CG803"/>
      <c r="CH803"/>
      <c r="CI803"/>
      <c r="CJ803"/>
      <c r="CK803"/>
      <c r="CL803"/>
      <c r="CM803"/>
      <c r="CN803"/>
      <c r="CO803"/>
      <c r="CP803"/>
      <c r="CQ803"/>
      <c r="CR803"/>
      <c r="CS803"/>
      <c r="CT803"/>
      <c r="CU803"/>
      <c r="CV803"/>
      <c r="CW803"/>
      <c r="CX803"/>
      <c r="CY803"/>
      <c r="CZ803"/>
      <c r="DA803"/>
      <c r="DB803"/>
      <c r="DC803"/>
      <c r="DD803"/>
      <c r="DE803"/>
      <c r="DF803"/>
      <c r="DG803"/>
      <c r="DH803"/>
      <c r="DI803"/>
      <c r="DJ803"/>
      <c r="DK803"/>
      <c r="DL803"/>
      <c r="DM803"/>
      <c r="DN803"/>
      <c r="DO803"/>
      <c r="DP803"/>
      <c r="DQ803"/>
      <c r="DR803"/>
      <c r="DS803"/>
      <c r="DT803"/>
      <c r="DU803"/>
      <c r="DV803"/>
      <c r="DW803"/>
      <c r="DX803"/>
      <c r="DY803"/>
      <c r="DZ803"/>
      <c r="EA803"/>
      <c r="EB803"/>
      <c r="EC803"/>
      <c r="ED803"/>
      <c r="EE803"/>
      <c r="EF803"/>
      <c r="EG803"/>
      <c r="EH803"/>
      <c r="EI803"/>
      <c r="EJ803"/>
      <c r="EK803"/>
      <c r="EL803"/>
      <c r="EM803"/>
      <c r="EN803"/>
      <c r="EO803"/>
      <c r="EP803"/>
      <c r="EQ803"/>
      <c r="ER803"/>
      <c r="ES803"/>
      <c r="ET803"/>
      <c r="EU803"/>
      <c r="EV803"/>
      <c r="EW803"/>
      <c r="EX803"/>
      <c r="EY803"/>
      <c r="EZ803"/>
      <c r="FA803"/>
      <c r="FB803"/>
      <c r="FC803"/>
      <c r="FD803"/>
      <c r="FE803"/>
      <c r="FF803"/>
      <c r="FG803"/>
      <c r="FH803"/>
      <c r="FI803"/>
      <c r="FJ803"/>
      <c r="FK803"/>
      <c r="FL803"/>
      <c r="FM803"/>
      <c r="FN803"/>
      <c r="FO803"/>
      <c r="FP803"/>
      <c r="FQ803"/>
      <c r="FR803"/>
      <c r="FS803"/>
      <c r="FT803"/>
      <c r="FU803"/>
      <c r="FV803"/>
      <c r="FW803"/>
      <c r="FX803"/>
      <c r="FY803"/>
      <c r="FZ803"/>
      <c r="GA803"/>
      <c r="GB803"/>
      <c r="GC803"/>
      <c r="GD803"/>
      <c r="GE803"/>
      <c r="GF803"/>
      <c r="GG803"/>
      <c r="GH803"/>
      <c r="GI803"/>
      <c r="GJ803"/>
      <c r="GK803"/>
      <c r="GL803"/>
      <c r="GM803"/>
      <c r="GN803"/>
      <c r="GO803"/>
      <c r="GP803"/>
      <c r="GQ803"/>
      <c r="GR803"/>
      <c r="GS803"/>
      <c r="GT803"/>
      <c r="GU803"/>
      <c r="GV803"/>
      <c r="GW803"/>
      <c r="GX803"/>
      <c r="GY803"/>
      <c r="GZ803"/>
      <c r="HA803"/>
      <c r="HB803"/>
      <c r="HC803"/>
      <c r="HD803"/>
      <c r="HE803"/>
      <c r="HF803"/>
      <c r="HG803"/>
      <c r="HH803"/>
      <c r="HI803"/>
      <c r="HJ803"/>
      <c r="HK803"/>
      <c r="HL803"/>
      <c r="HM803"/>
      <c r="HN803"/>
      <c r="HO803"/>
      <c r="HP803"/>
      <c r="HQ803"/>
      <c r="HR803"/>
      <c r="HS803"/>
      <c r="HT803"/>
      <c r="HU803"/>
      <c r="HV803"/>
      <c r="HW803"/>
      <c r="HX803"/>
      <c r="HY803"/>
      <c r="HZ803"/>
      <c r="IA803"/>
      <c r="IB803"/>
      <c r="IC803"/>
      <c r="ID803"/>
      <c r="IE803"/>
      <c r="IF803"/>
      <c r="IG803"/>
      <c r="IH803"/>
      <c r="II803"/>
      <c r="IJ803"/>
      <c r="IK803"/>
      <c r="IL803"/>
      <c r="IM803"/>
      <c r="IN803"/>
      <c r="IO803"/>
      <c r="IP803"/>
      <c r="IQ803"/>
      <c r="IR803"/>
      <c r="IS803"/>
      <c r="IT803"/>
      <c r="IU803"/>
      <c r="IV803"/>
      <c r="IW803"/>
      <c r="IX803"/>
    </row>
    <row r="804" spans="1:259" ht="12.75" customHeight="1" x14ac:dyDescent="0.2">
      <c r="A804" s="798"/>
      <c r="B804" s="1567" t="s">
        <v>1332</v>
      </c>
      <c r="C804" s="1572">
        <v>4650000</v>
      </c>
      <c r="D804" s="733">
        <f>4650000+431000</f>
        <v>5081000</v>
      </c>
      <c r="E804" s="904">
        <f>4650000+431000</f>
        <v>5081000</v>
      </c>
      <c r="F804" s="733">
        <v>5080790</v>
      </c>
      <c r="G804" s="733">
        <v>5080790</v>
      </c>
      <c r="H804" s="1176">
        <v>5080790</v>
      </c>
      <c r="I804" s="1572">
        <v>0</v>
      </c>
      <c r="J804" s="1416"/>
      <c r="K804" s="1367"/>
      <c r="L804" s="848"/>
      <c r="M804" s="887"/>
      <c r="N804" s="843"/>
      <c r="O804"/>
      <c r="P804"/>
      <c r="Q804"/>
      <c r="R804"/>
      <c r="S804"/>
      <c r="T804"/>
      <c r="U804"/>
      <c r="V804"/>
      <c r="W804"/>
      <c r="X804"/>
      <c r="Y804"/>
      <c r="Z804"/>
      <c r="AA804"/>
      <c r="AB804"/>
      <c r="AC804"/>
      <c r="AD804"/>
      <c r="AE804"/>
      <c r="AF804"/>
      <c r="AG804"/>
      <c r="AH804"/>
      <c r="AI804"/>
      <c r="AJ804"/>
      <c r="AK804"/>
      <c r="AL804"/>
      <c r="AM804"/>
      <c r="AN804"/>
      <c r="AO804"/>
      <c r="AP804"/>
      <c r="AQ804"/>
      <c r="AR804"/>
      <c r="AS804"/>
      <c r="AT804"/>
      <c r="AU804"/>
      <c r="AV804"/>
      <c r="AW804"/>
      <c r="AX804"/>
      <c r="AY804"/>
      <c r="AZ804"/>
      <c r="BA804"/>
      <c r="BB804"/>
      <c r="BC804"/>
      <c r="BD804"/>
      <c r="BE804"/>
      <c r="BF804"/>
      <c r="BG804"/>
      <c r="BH804"/>
      <c r="BI804"/>
      <c r="BJ804"/>
      <c r="BK804"/>
      <c r="BL804"/>
      <c r="BM804"/>
      <c r="BN804"/>
      <c r="BO804"/>
      <c r="BP804"/>
      <c r="BQ804"/>
      <c r="BR804"/>
      <c r="BS804"/>
      <c r="BT804"/>
      <c r="BU804"/>
      <c r="BV804"/>
      <c r="BW804"/>
      <c r="BX804"/>
      <c r="BY804"/>
      <c r="BZ804"/>
      <c r="CA804"/>
      <c r="CB804"/>
      <c r="CC804"/>
      <c r="CD804"/>
      <c r="CE804"/>
      <c r="CF804"/>
      <c r="CG804"/>
      <c r="CH804"/>
      <c r="CI804"/>
      <c r="CJ804"/>
      <c r="CK804"/>
      <c r="CL804"/>
      <c r="CM804"/>
      <c r="CN804"/>
      <c r="CO804"/>
      <c r="CP804"/>
      <c r="CQ804"/>
      <c r="CR804"/>
      <c r="CS804"/>
      <c r="CT804"/>
      <c r="CU804"/>
      <c r="CV804"/>
      <c r="CW804"/>
      <c r="CX804"/>
      <c r="CY804"/>
      <c r="CZ804"/>
      <c r="DA804"/>
      <c r="DB804"/>
      <c r="DC804"/>
      <c r="DD804"/>
      <c r="DE804"/>
      <c r="DF804"/>
      <c r="DG804"/>
      <c r="DH804"/>
      <c r="DI804"/>
      <c r="DJ804"/>
      <c r="DK804"/>
      <c r="DL804"/>
      <c r="DM804"/>
      <c r="DN804"/>
      <c r="DO804"/>
      <c r="DP804"/>
      <c r="DQ804"/>
      <c r="DR804"/>
      <c r="DS804"/>
      <c r="DT804"/>
      <c r="DU804"/>
      <c r="DV804"/>
      <c r="DW804"/>
      <c r="DX804"/>
      <c r="DY804"/>
      <c r="DZ804"/>
      <c r="EA804"/>
      <c r="EB804"/>
      <c r="EC804"/>
      <c r="ED804"/>
      <c r="EE804"/>
      <c r="EF804"/>
      <c r="EG804"/>
      <c r="EH804"/>
      <c r="EI804"/>
      <c r="EJ804"/>
      <c r="EK804"/>
      <c r="EL804"/>
      <c r="EM804"/>
      <c r="EN804"/>
      <c r="EO804"/>
      <c r="EP804"/>
      <c r="EQ804"/>
      <c r="ER804"/>
      <c r="ES804"/>
      <c r="ET804"/>
      <c r="EU804"/>
      <c r="EV804"/>
      <c r="EW804"/>
      <c r="EX804"/>
      <c r="EY804"/>
      <c r="EZ804"/>
      <c r="FA804"/>
      <c r="FB804"/>
      <c r="FC804"/>
      <c r="FD804"/>
      <c r="FE804"/>
      <c r="FF804"/>
      <c r="FG804"/>
      <c r="FH804"/>
      <c r="FI804"/>
      <c r="FJ804"/>
      <c r="FK804"/>
      <c r="FL804"/>
      <c r="FM804"/>
      <c r="FN804"/>
      <c r="FO804"/>
      <c r="FP804"/>
      <c r="FQ804"/>
      <c r="FR804"/>
      <c r="FS804"/>
      <c r="FT804"/>
      <c r="FU804"/>
      <c r="FV804"/>
      <c r="FW804"/>
      <c r="FX804"/>
      <c r="FY804"/>
      <c r="FZ804"/>
      <c r="GA804"/>
      <c r="GB804"/>
      <c r="GC804"/>
      <c r="GD804"/>
      <c r="GE804"/>
      <c r="GF804"/>
      <c r="GG804"/>
      <c r="GH804"/>
      <c r="GI804"/>
      <c r="GJ804"/>
      <c r="GK804"/>
      <c r="GL804"/>
      <c r="GM804"/>
      <c r="GN804"/>
      <c r="GO804"/>
      <c r="GP804"/>
      <c r="GQ804"/>
      <c r="GR804"/>
      <c r="GS804"/>
      <c r="GT804"/>
      <c r="GU804"/>
      <c r="GV804"/>
      <c r="GW804"/>
      <c r="GX804"/>
      <c r="GY804"/>
      <c r="GZ804"/>
      <c r="HA804"/>
      <c r="HB804"/>
      <c r="HC804"/>
      <c r="HD804"/>
      <c r="HE804"/>
      <c r="HF804"/>
      <c r="HG804"/>
      <c r="HH804"/>
      <c r="HI804"/>
      <c r="HJ804"/>
      <c r="HK804"/>
      <c r="HL804"/>
      <c r="HM804"/>
      <c r="HN804"/>
      <c r="HO804"/>
      <c r="HP804"/>
      <c r="HQ804"/>
      <c r="HR804"/>
      <c r="HS804"/>
      <c r="HT804"/>
      <c r="HU804"/>
      <c r="HV804"/>
      <c r="HW804"/>
      <c r="HX804"/>
      <c r="HY804"/>
      <c r="HZ804"/>
      <c r="IA804"/>
      <c r="IB804"/>
      <c r="IC804"/>
      <c r="ID804"/>
      <c r="IE804"/>
      <c r="IF804"/>
      <c r="IG804"/>
      <c r="IH804"/>
      <c r="II804"/>
      <c r="IJ804"/>
      <c r="IK804"/>
      <c r="IL804"/>
      <c r="IM804"/>
      <c r="IN804"/>
      <c r="IO804"/>
      <c r="IP804"/>
      <c r="IQ804"/>
      <c r="IR804"/>
      <c r="IS804"/>
      <c r="IT804"/>
      <c r="IU804"/>
      <c r="IV804"/>
      <c r="IW804"/>
      <c r="IX804"/>
    </row>
    <row r="805" spans="1:259" s="426" customFormat="1" ht="12.75" customHeight="1" x14ac:dyDescent="0.25">
      <c r="A805" s="798"/>
      <c r="B805" s="1567" t="s">
        <v>1077</v>
      </c>
      <c r="C805" s="1572">
        <v>850000</v>
      </c>
      <c r="D805" s="733">
        <v>850000</v>
      </c>
      <c r="E805" s="904">
        <v>850000</v>
      </c>
      <c r="F805" s="733">
        <v>850000</v>
      </c>
      <c r="G805" s="733">
        <v>0</v>
      </c>
      <c r="H805" s="1176">
        <v>0</v>
      </c>
      <c r="I805" s="1572">
        <v>0</v>
      </c>
      <c r="J805" s="1416"/>
      <c r="K805" s="1367"/>
      <c r="L805" s="1078"/>
      <c r="M805" s="887"/>
      <c r="N805" s="845"/>
      <c r="IY805" s="116"/>
    </row>
    <row r="806" spans="1:259" ht="12.75" customHeight="1" x14ac:dyDescent="0.2">
      <c r="A806" s="798"/>
      <c r="B806" s="1799" t="s">
        <v>819</v>
      </c>
      <c r="C806" s="1800">
        <f t="shared" ref="C806:I806" si="168">SUM(C807:C808)</f>
        <v>14350000</v>
      </c>
      <c r="D806" s="1102">
        <f t="shared" si="168"/>
        <v>13732154.57</v>
      </c>
      <c r="E806" s="2072">
        <f t="shared" si="168"/>
        <v>13732154.57</v>
      </c>
      <c r="F806" s="1102">
        <f t="shared" si="168"/>
        <v>12537937.619999999</v>
      </c>
      <c r="G806" s="1102">
        <f t="shared" si="168"/>
        <v>10974503.130000001</v>
      </c>
      <c r="H806" s="1801">
        <f t="shared" si="168"/>
        <v>8537937.6199999992</v>
      </c>
      <c r="I806" s="1800">
        <f t="shared" si="168"/>
        <v>14050000</v>
      </c>
      <c r="J806" s="1052">
        <f t="shared" ref="J806:K806" si="169">J807+J810+J814</f>
        <v>0</v>
      </c>
      <c r="K806" s="884">
        <f t="shared" si="169"/>
        <v>0</v>
      </c>
      <c r="L806" s="848"/>
      <c r="M806" s="887"/>
      <c r="N806" s="843"/>
      <c r="O806"/>
      <c r="P806"/>
      <c r="Q806"/>
      <c r="R806"/>
      <c r="S806"/>
      <c r="T806"/>
      <c r="U806"/>
      <c r="V806"/>
      <c r="W806"/>
      <c r="X806"/>
      <c r="Y806"/>
      <c r="Z806"/>
      <c r="AA806"/>
      <c r="AB806"/>
      <c r="AC806"/>
      <c r="AD806"/>
      <c r="AE806"/>
      <c r="AF806"/>
      <c r="AG806"/>
      <c r="AH806"/>
      <c r="AI806"/>
      <c r="AJ806"/>
      <c r="AK806"/>
      <c r="AL806"/>
      <c r="AM806"/>
      <c r="AN806"/>
      <c r="AO806"/>
      <c r="AP806"/>
      <c r="AQ806"/>
      <c r="AR806"/>
      <c r="AS806"/>
      <c r="AT806"/>
      <c r="AU806"/>
      <c r="AV806"/>
      <c r="AW806"/>
      <c r="AX806"/>
      <c r="AY806"/>
      <c r="AZ806"/>
      <c r="BA806"/>
      <c r="BB806"/>
      <c r="BC806"/>
      <c r="BD806"/>
      <c r="BE806"/>
      <c r="BF806"/>
      <c r="BG806"/>
      <c r="BH806"/>
      <c r="BI806"/>
      <c r="BJ806"/>
      <c r="BK806"/>
      <c r="BL806"/>
      <c r="BM806"/>
      <c r="BN806"/>
      <c r="BO806"/>
      <c r="BP806"/>
      <c r="BQ806"/>
      <c r="BR806"/>
      <c r="BS806"/>
      <c r="BT806"/>
      <c r="BU806"/>
      <c r="BV806"/>
      <c r="BW806"/>
      <c r="BX806"/>
      <c r="BY806"/>
      <c r="BZ806"/>
      <c r="CA806"/>
      <c r="CB806"/>
      <c r="CC806"/>
      <c r="CD806"/>
      <c r="CE806"/>
      <c r="CF806"/>
      <c r="CG806"/>
      <c r="CH806"/>
      <c r="CI806"/>
      <c r="CJ806"/>
      <c r="CK806"/>
      <c r="CL806"/>
      <c r="CM806"/>
      <c r="CN806"/>
      <c r="CO806"/>
      <c r="CP806"/>
      <c r="CQ806"/>
      <c r="CR806"/>
      <c r="CS806"/>
      <c r="CT806"/>
      <c r="CU806"/>
      <c r="CV806"/>
      <c r="CW806"/>
      <c r="CX806"/>
      <c r="CY806"/>
      <c r="CZ806"/>
      <c r="DA806"/>
      <c r="DB806"/>
      <c r="DC806"/>
      <c r="DD806"/>
      <c r="DE806"/>
      <c r="DF806"/>
      <c r="DG806"/>
      <c r="DH806"/>
      <c r="DI806"/>
      <c r="DJ806"/>
      <c r="DK806"/>
      <c r="DL806"/>
      <c r="DM806"/>
      <c r="DN806"/>
      <c r="DO806"/>
      <c r="DP806"/>
      <c r="DQ806"/>
      <c r="DR806"/>
      <c r="DS806"/>
      <c r="DT806"/>
      <c r="DU806"/>
      <c r="DV806"/>
      <c r="DW806"/>
      <c r="DX806"/>
      <c r="DY806"/>
      <c r="DZ806"/>
      <c r="EA806"/>
      <c r="EB806"/>
      <c r="EC806"/>
      <c r="ED806"/>
      <c r="EE806"/>
      <c r="EF806"/>
      <c r="EG806"/>
      <c r="EH806"/>
      <c r="EI806"/>
      <c r="EJ806"/>
      <c r="EK806"/>
      <c r="EL806"/>
      <c r="EM806"/>
      <c r="EN806"/>
      <c r="EO806"/>
      <c r="EP806"/>
      <c r="EQ806"/>
      <c r="ER806"/>
      <c r="ES806"/>
      <c r="ET806"/>
      <c r="EU806"/>
      <c r="EV806"/>
      <c r="EW806"/>
      <c r="EX806"/>
      <c r="EY806"/>
      <c r="EZ806"/>
      <c r="FA806"/>
      <c r="FB806"/>
      <c r="FC806"/>
      <c r="FD806"/>
      <c r="FE806"/>
      <c r="FF806"/>
      <c r="FG806"/>
      <c r="FH806"/>
      <c r="FI806"/>
      <c r="FJ806"/>
      <c r="FK806"/>
      <c r="FL806"/>
      <c r="FM806"/>
      <c r="FN806"/>
      <c r="FO806"/>
      <c r="FP806"/>
      <c r="FQ806"/>
      <c r="FR806"/>
      <c r="FS806"/>
      <c r="FT806"/>
      <c r="FU806"/>
      <c r="FV806"/>
      <c r="FW806"/>
      <c r="FX806"/>
      <c r="FY806"/>
      <c r="FZ806"/>
      <c r="GA806"/>
      <c r="GB806"/>
      <c r="GC806"/>
      <c r="GD806"/>
      <c r="GE806"/>
      <c r="GF806"/>
      <c r="GG806"/>
      <c r="GH806"/>
      <c r="GI806"/>
      <c r="GJ806"/>
      <c r="GK806"/>
      <c r="GL806"/>
      <c r="GM806"/>
      <c r="GN806"/>
      <c r="GO806"/>
      <c r="GP806"/>
      <c r="GQ806"/>
      <c r="GR806"/>
      <c r="GS806"/>
      <c r="GT806"/>
      <c r="GU806"/>
      <c r="GV806"/>
      <c r="GW806"/>
      <c r="GX806"/>
      <c r="GY806"/>
      <c r="GZ806"/>
      <c r="HA806"/>
      <c r="HB806"/>
      <c r="HC806"/>
      <c r="HD806"/>
      <c r="HE806"/>
      <c r="HF806"/>
      <c r="HG806"/>
      <c r="HH806"/>
      <c r="HI806"/>
      <c r="HJ806"/>
      <c r="HK806"/>
      <c r="HL806"/>
      <c r="HM806"/>
      <c r="HN806"/>
      <c r="HO806"/>
      <c r="HP806"/>
      <c r="HQ806"/>
      <c r="HR806"/>
      <c r="HS806"/>
      <c r="HT806"/>
      <c r="HU806"/>
      <c r="HV806"/>
      <c r="HW806"/>
      <c r="HX806"/>
      <c r="HY806"/>
      <c r="HZ806"/>
      <c r="IA806"/>
      <c r="IB806"/>
      <c r="IC806"/>
      <c r="ID806"/>
      <c r="IE806"/>
      <c r="IF806"/>
      <c r="IG806"/>
      <c r="IH806"/>
      <c r="II806"/>
      <c r="IJ806"/>
      <c r="IK806"/>
      <c r="IL806"/>
      <c r="IM806"/>
      <c r="IN806"/>
      <c r="IO806"/>
      <c r="IP806"/>
      <c r="IQ806"/>
      <c r="IR806"/>
      <c r="IS806"/>
      <c r="IT806"/>
      <c r="IU806"/>
      <c r="IV806"/>
      <c r="IW806"/>
      <c r="IX806"/>
    </row>
    <row r="807" spans="1:259" ht="12.75" customHeight="1" x14ac:dyDescent="0.2">
      <c r="A807" s="798"/>
      <c r="B807" s="1553" t="s">
        <v>1078</v>
      </c>
      <c r="C807" s="1572">
        <v>14300000</v>
      </c>
      <c r="D807" s="733">
        <f>14300000-617845.43</f>
        <v>13682154.57</v>
      </c>
      <c r="E807" s="904">
        <f>14300000-617845.43</f>
        <v>13682154.57</v>
      </c>
      <c r="F807" s="733">
        <v>12529437.619999999</v>
      </c>
      <c r="G807" s="733">
        <v>10966003.130000001</v>
      </c>
      <c r="H807" s="1176">
        <v>8529437.6199999992</v>
      </c>
      <c r="I807" s="1572">
        <v>14000000</v>
      </c>
      <c r="J807" s="852">
        <f t="shared" ref="J807:K807" si="170">J808+J809</f>
        <v>0</v>
      </c>
      <c r="K807" s="1365">
        <f t="shared" si="170"/>
        <v>0</v>
      </c>
      <c r="L807" s="1076"/>
      <c r="M807" s="887"/>
      <c r="N807" s="843"/>
      <c r="O807"/>
      <c r="P807"/>
      <c r="Q807"/>
      <c r="R807"/>
      <c r="S807"/>
      <c r="T807"/>
      <c r="U807"/>
      <c r="V807"/>
      <c r="W807"/>
      <c r="X807"/>
      <c r="Y807"/>
      <c r="Z807"/>
      <c r="AA807"/>
      <c r="AB807"/>
      <c r="AC807"/>
      <c r="AD807"/>
      <c r="AE807"/>
      <c r="AF807"/>
      <c r="AG807"/>
      <c r="AH807"/>
      <c r="AI807"/>
      <c r="AJ807"/>
      <c r="AK807"/>
      <c r="AL807"/>
      <c r="AM807"/>
      <c r="AN807"/>
      <c r="AO807"/>
      <c r="AP807"/>
      <c r="AQ807"/>
      <c r="AR807"/>
      <c r="AS807"/>
      <c r="AT807"/>
      <c r="AU807"/>
      <c r="AV807"/>
      <c r="AW807"/>
      <c r="AX807"/>
      <c r="AY807"/>
      <c r="AZ807"/>
      <c r="BA807"/>
      <c r="BB807"/>
      <c r="BC807"/>
      <c r="BD807"/>
      <c r="BE807"/>
      <c r="BF807"/>
      <c r="BG807"/>
      <c r="BH807"/>
      <c r="BI807"/>
      <c r="BJ807"/>
      <c r="BK807"/>
      <c r="BL807"/>
      <c r="BM807"/>
      <c r="BN807"/>
      <c r="BO807"/>
      <c r="BP807"/>
      <c r="BQ807"/>
      <c r="BR807"/>
      <c r="BS807"/>
      <c r="BT807"/>
      <c r="BU807"/>
      <c r="BV807"/>
      <c r="BW807"/>
      <c r="BX807"/>
      <c r="BY807"/>
      <c r="BZ807"/>
      <c r="CA807"/>
      <c r="CB807"/>
      <c r="CC807"/>
      <c r="CD807"/>
      <c r="CE807"/>
      <c r="CF807"/>
      <c r="CG807"/>
      <c r="CH807"/>
      <c r="CI807"/>
      <c r="CJ807"/>
      <c r="CK807"/>
      <c r="CL807"/>
      <c r="CM807"/>
      <c r="CN807"/>
      <c r="CO807"/>
      <c r="CP807"/>
      <c r="CQ807"/>
      <c r="CR807"/>
      <c r="CS807"/>
      <c r="CT807"/>
      <c r="CU807"/>
      <c r="CV807"/>
      <c r="CW807"/>
      <c r="CX807"/>
      <c r="CY807"/>
      <c r="CZ807"/>
      <c r="DA807"/>
      <c r="DB807"/>
      <c r="DC807"/>
      <c r="DD807"/>
      <c r="DE807"/>
      <c r="DF807"/>
      <c r="DG807"/>
      <c r="DH807"/>
      <c r="DI807"/>
      <c r="DJ807"/>
      <c r="DK807"/>
      <c r="DL807"/>
      <c r="DM807"/>
      <c r="DN807"/>
      <c r="DO807"/>
      <c r="DP807"/>
      <c r="DQ807"/>
      <c r="DR807"/>
      <c r="DS807"/>
      <c r="DT807"/>
      <c r="DU807"/>
      <c r="DV807"/>
      <c r="DW807"/>
      <c r="DX807"/>
      <c r="DY807"/>
      <c r="DZ807"/>
      <c r="EA807"/>
      <c r="EB807"/>
      <c r="EC807"/>
      <c r="ED807"/>
      <c r="EE807"/>
      <c r="EF807"/>
      <c r="EG807"/>
      <c r="EH807"/>
      <c r="EI807"/>
      <c r="EJ807"/>
      <c r="EK807"/>
      <c r="EL807"/>
      <c r="EM807"/>
      <c r="EN807"/>
      <c r="EO807"/>
      <c r="EP807"/>
      <c r="EQ807"/>
      <c r="ER807"/>
      <c r="ES807"/>
      <c r="ET807"/>
      <c r="EU807"/>
      <c r="EV807"/>
      <c r="EW807"/>
      <c r="EX807"/>
      <c r="EY807"/>
      <c r="EZ807"/>
      <c r="FA807"/>
      <c r="FB807"/>
      <c r="FC807"/>
      <c r="FD807"/>
      <c r="FE807"/>
      <c r="FF807"/>
      <c r="FG807"/>
      <c r="FH807"/>
      <c r="FI807"/>
      <c r="FJ807"/>
      <c r="FK807"/>
      <c r="FL807"/>
      <c r="FM807"/>
      <c r="FN807"/>
      <c r="FO807"/>
      <c r="FP807"/>
      <c r="FQ807"/>
      <c r="FR807"/>
      <c r="FS807"/>
      <c r="FT807"/>
      <c r="FU807"/>
      <c r="FV807"/>
      <c r="FW807"/>
      <c r="FX807"/>
      <c r="FY807"/>
      <c r="FZ807"/>
      <c r="GA807"/>
      <c r="GB807"/>
      <c r="GC807"/>
      <c r="GD807"/>
      <c r="GE807"/>
      <c r="GF807"/>
      <c r="GG807"/>
      <c r="GH807"/>
      <c r="GI807"/>
      <c r="GJ807"/>
      <c r="GK807"/>
      <c r="GL807"/>
      <c r="GM807"/>
      <c r="GN807"/>
      <c r="GO807"/>
      <c r="GP807"/>
      <c r="GQ807"/>
      <c r="GR807"/>
      <c r="GS807"/>
      <c r="GT807"/>
      <c r="GU807"/>
      <c r="GV807"/>
      <c r="GW807"/>
      <c r="GX807"/>
      <c r="GY807"/>
      <c r="GZ807"/>
      <c r="HA807"/>
      <c r="HB807"/>
      <c r="HC807"/>
      <c r="HD807"/>
      <c r="HE807"/>
      <c r="HF807"/>
      <c r="HG807"/>
      <c r="HH807"/>
      <c r="HI807"/>
      <c r="HJ807"/>
      <c r="HK807"/>
      <c r="HL807"/>
      <c r="HM807"/>
      <c r="HN807"/>
      <c r="HO807"/>
      <c r="HP807"/>
      <c r="HQ807"/>
      <c r="HR807"/>
      <c r="HS807"/>
      <c r="HT807"/>
      <c r="HU807"/>
      <c r="HV807"/>
      <c r="HW807"/>
      <c r="HX807"/>
      <c r="HY807"/>
      <c r="HZ807"/>
      <c r="IA807"/>
      <c r="IB807"/>
      <c r="IC807"/>
      <c r="ID807"/>
      <c r="IE807"/>
      <c r="IF807"/>
      <c r="IG807"/>
      <c r="IH807"/>
      <c r="II807"/>
      <c r="IJ807"/>
      <c r="IK807"/>
      <c r="IL807"/>
      <c r="IM807"/>
      <c r="IN807"/>
      <c r="IO807"/>
      <c r="IP807"/>
      <c r="IQ807"/>
      <c r="IR807"/>
      <c r="IS807"/>
      <c r="IT807"/>
      <c r="IU807"/>
      <c r="IV807"/>
      <c r="IW807"/>
      <c r="IX807"/>
    </row>
    <row r="808" spans="1:259" ht="12.75" customHeight="1" x14ac:dyDescent="0.2">
      <c r="A808" s="798"/>
      <c r="B808" s="1802" t="s">
        <v>1124</v>
      </c>
      <c r="C808" s="1572">
        <v>50000</v>
      </c>
      <c r="D808" s="733">
        <v>50000</v>
      </c>
      <c r="E808" s="904">
        <v>50000</v>
      </c>
      <c r="F808" s="733">
        <v>8500</v>
      </c>
      <c r="G808" s="733">
        <v>8500</v>
      </c>
      <c r="H808" s="1176">
        <v>8500</v>
      </c>
      <c r="I808" s="1572">
        <v>50000</v>
      </c>
      <c r="J808" s="733"/>
      <c r="K808" s="1276"/>
      <c r="L808" s="848"/>
      <c r="M808" s="887"/>
      <c r="N808" s="843"/>
      <c r="O808"/>
      <c r="P808"/>
      <c r="Q808"/>
      <c r="R808"/>
      <c r="S808"/>
      <c r="T808"/>
      <c r="U808"/>
      <c r="V808"/>
      <c r="W808"/>
      <c r="X808"/>
      <c r="Y808"/>
      <c r="Z808"/>
      <c r="AA808"/>
      <c r="AB808"/>
      <c r="AC808"/>
      <c r="AD808"/>
      <c r="AE808"/>
      <c r="AF808"/>
      <c r="AG808"/>
      <c r="AH808"/>
      <c r="AI808"/>
      <c r="AJ808"/>
      <c r="AK808"/>
      <c r="AL808"/>
      <c r="AM808"/>
      <c r="AN808"/>
      <c r="AO808"/>
      <c r="AP808"/>
      <c r="AQ808"/>
      <c r="AR808"/>
      <c r="AS808"/>
      <c r="AT808"/>
      <c r="AU808"/>
      <c r="AV808"/>
      <c r="AW808"/>
      <c r="AX808"/>
      <c r="AY808"/>
      <c r="AZ808"/>
      <c r="BA808"/>
      <c r="BB808"/>
      <c r="BC808"/>
      <c r="BD808"/>
      <c r="BE808"/>
      <c r="BF808"/>
      <c r="BG808"/>
      <c r="BH808"/>
      <c r="BI808"/>
      <c r="BJ808"/>
      <c r="BK808"/>
      <c r="BL808"/>
      <c r="BM808"/>
      <c r="BN808"/>
      <c r="BO808"/>
      <c r="BP808"/>
      <c r="BQ808"/>
      <c r="BR808"/>
      <c r="BS808"/>
      <c r="BT808"/>
      <c r="BU808"/>
      <c r="BV808"/>
      <c r="BW808"/>
      <c r="BX808"/>
      <c r="BY808"/>
      <c r="BZ808"/>
      <c r="CA808"/>
      <c r="CB808"/>
      <c r="CC808"/>
      <c r="CD808"/>
      <c r="CE808"/>
      <c r="CF808"/>
      <c r="CG808"/>
      <c r="CH808"/>
      <c r="CI808"/>
      <c r="CJ808"/>
      <c r="CK808"/>
      <c r="CL808"/>
      <c r="CM808"/>
      <c r="CN808"/>
      <c r="CO808"/>
      <c r="CP808"/>
      <c r="CQ808"/>
      <c r="CR808"/>
      <c r="CS808"/>
      <c r="CT808"/>
      <c r="CU808"/>
      <c r="CV808"/>
      <c r="CW808"/>
      <c r="CX808"/>
      <c r="CY808"/>
      <c r="CZ808"/>
      <c r="DA808"/>
      <c r="DB808"/>
      <c r="DC808"/>
      <c r="DD808"/>
      <c r="DE808"/>
      <c r="DF808"/>
      <c r="DG808"/>
      <c r="DH808"/>
      <c r="DI808"/>
      <c r="DJ808"/>
      <c r="DK808"/>
      <c r="DL808"/>
      <c r="DM808"/>
      <c r="DN808"/>
      <c r="DO808"/>
      <c r="DP808"/>
      <c r="DQ808"/>
      <c r="DR808"/>
      <c r="DS808"/>
      <c r="DT808"/>
      <c r="DU808"/>
      <c r="DV808"/>
      <c r="DW808"/>
      <c r="DX808"/>
      <c r="DY808"/>
      <c r="DZ808"/>
      <c r="EA808"/>
      <c r="EB808"/>
      <c r="EC808"/>
      <c r="ED808"/>
      <c r="EE808"/>
      <c r="EF808"/>
      <c r="EG808"/>
      <c r="EH808"/>
      <c r="EI808"/>
      <c r="EJ808"/>
      <c r="EK808"/>
      <c r="EL808"/>
      <c r="EM808"/>
      <c r="EN808"/>
      <c r="EO808"/>
      <c r="EP808"/>
      <c r="EQ808"/>
      <c r="ER808"/>
      <c r="ES808"/>
      <c r="ET808"/>
      <c r="EU808"/>
      <c r="EV808"/>
      <c r="EW808"/>
      <c r="EX808"/>
      <c r="EY808"/>
      <c r="EZ808"/>
      <c r="FA808"/>
      <c r="FB808"/>
      <c r="FC808"/>
      <c r="FD808"/>
      <c r="FE808"/>
      <c r="FF808"/>
      <c r="FG808"/>
      <c r="FH808"/>
      <c r="FI808"/>
      <c r="FJ808"/>
      <c r="FK808"/>
      <c r="FL808"/>
      <c r="FM808"/>
      <c r="FN808"/>
      <c r="FO808"/>
      <c r="FP808"/>
      <c r="FQ808"/>
      <c r="FR808"/>
      <c r="FS808"/>
      <c r="FT808"/>
      <c r="FU808"/>
      <c r="FV808"/>
      <c r="FW808"/>
      <c r="FX808"/>
      <c r="FY808"/>
      <c r="FZ808"/>
      <c r="GA808"/>
      <c r="GB808"/>
      <c r="GC808"/>
      <c r="GD808"/>
      <c r="GE808"/>
      <c r="GF808"/>
      <c r="GG808"/>
      <c r="GH808"/>
      <c r="GI808"/>
      <c r="GJ808"/>
      <c r="GK808"/>
      <c r="GL808"/>
      <c r="GM808"/>
      <c r="GN808"/>
      <c r="GO808"/>
      <c r="GP808"/>
      <c r="GQ808"/>
      <c r="GR808"/>
      <c r="GS808"/>
      <c r="GT808"/>
      <c r="GU808"/>
      <c r="GV808"/>
      <c r="GW808"/>
      <c r="GX808"/>
      <c r="GY808"/>
      <c r="GZ808"/>
      <c r="HA808"/>
      <c r="HB808"/>
      <c r="HC808"/>
      <c r="HD808"/>
      <c r="HE808"/>
      <c r="HF808"/>
      <c r="HG808"/>
      <c r="HH808"/>
      <c r="HI808"/>
      <c r="HJ808"/>
      <c r="HK808"/>
      <c r="HL808"/>
      <c r="HM808"/>
      <c r="HN808"/>
      <c r="HO808"/>
      <c r="HP808"/>
      <c r="HQ808"/>
      <c r="HR808"/>
      <c r="HS808"/>
      <c r="HT808"/>
      <c r="HU808"/>
      <c r="HV808"/>
      <c r="HW808"/>
      <c r="HX808"/>
      <c r="HY808"/>
      <c r="HZ808"/>
      <c r="IA808"/>
      <c r="IB808"/>
      <c r="IC808"/>
      <c r="ID808"/>
      <c r="IE808"/>
      <c r="IF808"/>
      <c r="IG808"/>
      <c r="IH808"/>
      <c r="II808"/>
      <c r="IJ808"/>
      <c r="IK808"/>
      <c r="IL808"/>
      <c r="IM808"/>
      <c r="IN808"/>
      <c r="IO808"/>
      <c r="IP808"/>
      <c r="IQ808"/>
      <c r="IR808"/>
      <c r="IS808"/>
      <c r="IT808"/>
      <c r="IU808"/>
      <c r="IV808"/>
      <c r="IW808"/>
      <c r="IX808"/>
    </row>
    <row r="809" spans="1:259" ht="12.75" customHeight="1" x14ac:dyDescent="0.2">
      <c r="A809" s="798"/>
      <c r="B809" s="1799" t="s">
        <v>829</v>
      </c>
      <c r="C809" s="1796">
        <f>SUM(C810:C813)</f>
        <v>1820000</v>
      </c>
      <c r="D809" s="852">
        <f>SUM(D810:D813)</f>
        <v>320000</v>
      </c>
      <c r="E809" s="1225">
        <f>SUM(E810:E813)</f>
        <v>320000</v>
      </c>
      <c r="F809" s="852">
        <v>0</v>
      </c>
      <c r="G809" s="852">
        <v>0</v>
      </c>
      <c r="H809" s="1797">
        <v>0</v>
      </c>
      <c r="I809" s="1796">
        <f>SUM(I810:I813)</f>
        <v>765000</v>
      </c>
      <c r="J809" s="733"/>
      <c r="K809" s="1276"/>
      <c r="L809" s="848"/>
      <c r="M809" s="887"/>
      <c r="N809" s="843"/>
      <c r="O809"/>
      <c r="P809"/>
      <c r="Q809"/>
      <c r="R809"/>
      <c r="S809"/>
      <c r="T809"/>
      <c r="U809"/>
      <c r="V809"/>
      <c r="W809"/>
      <c r="X809"/>
      <c r="Y809"/>
      <c r="Z809"/>
      <c r="AA809"/>
      <c r="AB809"/>
      <c r="AC809"/>
      <c r="AD809"/>
      <c r="AE809"/>
      <c r="AF809"/>
      <c r="AG809"/>
      <c r="AH809"/>
      <c r="AI809"/>
      <c r="AJ809"/>
      <c r="AK809"/>
      <c r="AL809"/>
      <c r="AM809"/>
      <c r="AN809"/>
      <c r="AO809"/>
      <c r="AP809"/>
      <c r="AQ809"/>
      <c r="AR809"/>
      <c r="AS809"/>
      <c r="AT809"/>
      <c r="AU809"/>
      <c r="AV809"/>
      <c r="AW809"/>
      <c r="AX809"/>
      <c r="AY809"/>
      <c r="AZ809"/>
      <c r="BA809"/>
      <c r="BB809"/>
      <c r="BC809"/>
      <c r="BD809"/>
      <c r="BE809"/>
      <c r="BF809"/>
      <c r="BG809"/>
      <c r="BH809"/>
      <c r="BI809"/>
      <c r="BJ809"/>
      <c r="BK809"/>
      <c r="BL809"/>
      <c r="BM809"/>
      <c r="BN809"/>
      <c r="BO809"/>
      <c r="BP809"/>
      <c r="BQ809"/>
      <c r="BR809"/>
      <c r="BS809"/>
      <c r="BT809"/>
      <c r="BU809"/>
      <c r="BV809"/>
      <c r="BW809"/>
      <c r="BX809"/>
      <c r="BY809"/>
      <c r="BZ809"/>
      <c r="CA809"/>
      <c r="CB809"/>
      <c r="CC809"/>
      <c r="CD809"/>
      <c r="CE809"/>
      <c r="CF809"/>
      <c r="CG809"/>
      <c r="CH809"/>
      <c r="CI809"/>
      <c r="CJ809"/>
      <c r="CK809"/>
      <c r="CL809"/>
      <c r="CM809"/>
      <c r="CN809"/>
      <c r="CO809"/>
      <c r="CP809"/>
      <c r="CQ809"/>
      <c r="CR809"/>
      <c r="CS809"/>
      <c r="CT809"/>
      <c r="CU809"/>
      <c r="CV809"/>
      <c r="CW809"/>
      <c r="CX809"/>
      <c r="CY809"/>
      <c r="CZ809"/>
      <c r="DA809"/>
      <c r="DB809"/>
      <c r="DC809"/>
      <c r="DD809"/>
      <c r="DE809"/>
      <c r="DF809"/>
      <c r="DG809"/>
      <c r="DH809"/>
      <c r="DI809"/>
      <c r="DJ809"/>
      <c r="DK809"/>
      <c r="DL809"/>
      <c r="DM809"/>
      <c r="DN809"/>
      <c r="DO809"/>
      <c r="DP809"/>
      <c r="DQ809"/>
      <c r="DR809"/>
      <c r="DS809"/>
      <c r="DT809"/>
      <c r="DU809"/>
      <c r="DV809"/>
      <c r="DW809"/>
      <c r="DX809"/>
      <c r="DY809"/>
      <c r="DZ809"/>
      <c r="EA809"/>
      <c r="EB809"/>
      <c r="EC809"/>
      <c r="ED809"/>
      <c r="EE809"/>
      <c r="EF809"/>
      <c r="EG809"/>
      <c r="EH809"/>
      <c r="EI809"/>
      <c r="EJ809"/>
      <c r="EK809"/>
      <c r="EL809"/>
      <c r="EM809"/>
      <c r="EN809"/>
      <c r="EO809"/>
      <c r="EP809"/>
      <c r="EQ809"/>
      <c r="ER809"/>
      <c r="ES809"/>
      <c r="ET809"/>
      <c r="EU809"/>
      <c r="EV809"/>
      <c r="EW809"/>
      <c r="EX809"/>
      <c r="EY809"/>
      <c r="EZ809"/>
      <c r="FA809"/>
      <c r="FB809"/>
      <c r="FC809"/>
      <c r="FD809"/>
      <c r="FE809"/>
      <c r="FF809"/>
      <c r="FG809"/>
      <c r="FH809"/>
      <c r="FI809"/>
      <c r="FJ809"/>
      <c r="FK809"/>
      <c r="FL809"/>
      <c r="FM809"/>
      <c r="FN809"/>
      <c r="FO809"/>
      <c r="FP809"/>
      <c r="FQ809"/>
      <c r="FR809"/>
      <c r="FS809"/>
      <c r="FT809"/>
      <c r="FU809"/>
      <c r="FV809"/>
      <c r="FW809"/>
      <c r="FX809"/>
      <c r="FY809"/>
      <c r="FZ809"/>
      <c r="GA809"/>
      <c r="GB809"/>
      <c r="GC809"/>
      <c r="GD809"/>
      <c r="GE809"/>
      <c r="GF809"/>
      <c r="GG809"/>
      <c r="GH809"/>
      <c r="GI809"/>
      <c r="GJ809"/>
      <c r="GK809"/>
      <c r="GL809"/>
      <c r="GM809"/>
      <c r="GN809"/>
      <c r="GO809"/>
      <c r="GP809"/>
      <c r="GQ809"/>
      <c r="GR809"/>
      <c r="GS809"/>
      <c r="GT809"/>
      <c r="GU809"/>
      <c r="GV809"/>
      <c r="GW809"/>
      <c r="GX809"/>
      <c r="GY809"/>
      <c r="GZ809"/>
      <c r="HA809"/>
      <c r="HB809"/>
      <c r="HC809"/>
      <c r="HD809"/>
      <c r="HE809"/>
      <c r="HF809"/>
      <c r="HG809"/>
      <c r="HH809"/>
      <c r="HI809"/>
      <c r="HJ809"/>
      <c r="HK809"/>
      <c r="HL809"/>
      <c r="HM809"/>
      <c r="HN809"/>
      <c r="HO809"/>
      <c r="HP809"/>
      <c r="HQ809"/>
      <c r="HR809"/>
      <c r="HS809"/>
      <c r="HT809"/>
      <c r="HU809"/>
      <c r="HV809"/>
      <c r="HW809"/>
      <c r="HX809"/>
      <c r="HY809"/>
      <c r="HZ809"/>
      <c r="IA809"/>
      <c r="IB809"/>
      <c r="IC809"/>
      <c r="ID809"/>
      <c r="IE809"/>
      <c r="IF809"/>
      <c r="IG809"/>
      <c r="IH809"/>
      <c r="II809"/>
      <c r="IJ809"/>
      <c r="IK809"/>
      <c r="IL809"/>
      <c r="IM809"/>
      <c r="IN809"/>
      <c r="IO809"/>
      <c r="IP809"/>
      <c r="IQ809"/>
      <c r="IR809"/>
      <c r="IS809"/>
      <c r="IT809"/>
      <c r="IU809"/>
      <c r="IV809"/>
      <c r="IW809"/>
      <c r="IX809"/>
    </row>
    <row r="810" spans="1:259" ht="12.75" customHeight="1" x14ac:dyDescent="0.2">
      <c r="A810" s="798"/>
      <c r="B810" s="1567" t="s">
        <v>830</v>
      </c>
      <c r="C810" s="1572">
        <v>200000</v>
      </c>
      <c r="D810" s="733">
        <v>200000</v>
      </c>
      <c r="E810" s="904">
        <v>200000</v>
      </c>
      <c r="F810" s="733">
        <v>0</v>
      </c>
      <c r="G810" s="733">
        <v>0</v>
      </c>
      <c r="H810" s="1176">
        <v>0</v>
      </c>
      <c r="I810" s="1572">
        <v>150000</v>
      </c>
      <c r="J810" s="1102">
        <f>J811+J812+J813</f>
        <v>0</v>
      </c>
      <c r="K810" s="1368">
        <f>K811+K812+K813</f>
        <v>0</v>
      </c>
      <c r="L810" s="848"/>
      <c r="M810" s="887"/>
      <c r="N810" s="843"/>
      <c r="O810"/>
      <c r="P810"/>
      <c r="Q810"/>
      <c r="R810"/>
      <c r="S810"/>
      <c r="T810"/>
      <c r="U810"/>
      <c r="V810"/>
      <c r="W810"/>
      <c r="X810"/>
      <c r="Y810"/>
      <c r="Z810"/>
      <c r="AA810"/>
      <c r="AB810"/>
      <c r="AC810"/>
      <c r="AD810"/>
      <c r="AE810"/>
      <c r="AF810"/>
      <c r="AG810"/>
      <c r="AH810"/>
      <c r="AI810"/>
      <c r="AJ810"/>
      <c r="AK810"/>
      <c r="AL810"/>
      <c r="AM810"/>
      <c r="AN810"/>
      <c r="AO810"/>
      <c r="AP810"/>
      <c r="AQ810"/>
      <c r="AR810"/>
      <c r="AS810"/>
      <c r="AT810"/>
      <c r="AU810"/>
      <c r="AV810"/>
      <c r="AW810"/>
      <c r="AX810"/>
      <c r="AY810"/>
      <c r="AZ810"/>
      <c r="BA810"/>
      <c r="BB810"/>
      <c r="BC810"/>
      <c r="BD810"/>
      <c r="BE810"/>
      <c r="BF810"/>
      <c r="BG810"/>
      <c r="BH810"/>
      <c r="BI810"/>
      <c r="BJ810"/>
      <c r="BK810"/>
      <c r="BL810"/>
      <c r="BM810"/>
      <c r="BN810"/>
      <c r="BO810"/>
      <c r="BP810"/>
      <c r="BQ810"/>
      <c r="BR810"/>
      <c r="BS810"/>
      <c r="BT810"/>
      <c r="BU810"/>
      <c r="BV810"/>
      <c r="BW810"/>
      <c r="BX810"/>
      <c r="BY810"/>
      <c r="BZ810"/>
      <c r="CA810"/>
      <c r="CB810"/>
      <c r="CC810"/>
      <c r="CD810"/>
      <c r="CE810"/>
      <c r="CF810"/>
      <c r="CG810"/>
      <c r="CH810"/>
      <c r="CI810"/>
      <c r="CJ810"/>
      <c r="CK810"/>
      <c r="CL810"/>
      <c r="CM810"/>
      <c r="CN810"/>
      <c r="CO810"/>
      <c r="CP810"/>
      <c r="CQ810"/>
      <c r="CR810"/>
      <c r="CS810"/>
      <c r="CT810"/>
      <c r="CU810"/>
      <c r="CV810"/>
      <c r="CW810"/>
      <c r="CX810"/>
      <c r="CY810"/>
      <c r="CZ810"/>
      <c r="DA810"/>
      <c r="DB810"/>
      <c r="DC810"/>
      <c r="DD810"/>
      <c r="DE810"/>
      <c r="DF810"/>
      <c r="DG810"/>
      <c r="DH810"/>
      <c r="DI810"/>
      <c r="DJ810"/>
      <c r="DK810"/>
      <c r="DL810"/>
      <c r="DM810"/>
      <c r="DN810"/>
      <c r="DO810"/>
      <c r="DP810"/>
      <c r="DQ810"/>
      <c r="DR810"/>
      <c r="DS810"/>
      <c r="DT810"/>
      <c r="DU810"/>
      <c r="DV810"/>
      <c r="DW810"/>
      <c r="DX810"/>
      <c r="DY810"/>
      <c r="DZ810"/>
      <c r="EA810"/>
      <c r="EB810"/>
      <c r="EC810"/>
      <c r="ED810"/>
      <c r="EE810"/>
      <c r="EF810"/>
      <c r="EG810"/>
      <c r="EH810"/>
      <c r="EI810"/>
      <c r="EJ810"/>
      <c r="EK810"/>
      <c r="EL810"/>
      <c r="EM810"/>
      <c r="EN810"/>
      <c r="EO810"/>
      <c r="EP810"/>
      <c r="EQ810"/>
      <c r="ER810"/>
      <c r="ES810"/>
      <c r="ET810"/>
      <c r="EU810"/>
      <c r="EV810"/>
      <c r="EW810"/>
      <c r="EX810"/>
      <c r="EY810"/>
      <c r="EZ810"/>
      <c r="FA810"/>
      <c r="FB810"/>
      <c r="FC810"/>
      <c r="FD810"/>
      <c r="FE810"/>
      <c r="FF810"/>
      <c r="FG810"/>
      <c r="FH810"/>
      <c r="FI810"/>
      <c r="FJ810"/>
      <c r="FK810"/>
      <c r="FL810"/>
      <c r="FM810"/>
      <c r="FN810"/>
      <c r="FO810"/>
      <c r="FP810"/>
      <c r="FQ810"/>
      <c r="FR810"/>
      <c r="FS810"/>
      <c r="FT810"/>
      <c r="FU810"/>
      <c r="FV810"/>
      <c r="FW810"/>
      <c r="FX810"/>
      <c r="FY810"/>
      <c r="FZ810"/>
      <c r="GA810"/>
      <c r="GB810"/>
      <c r="GC810"/>
      <c r="GD810"/>
      <c r="GE810"/>
      <c r="GF810"/>
      <c r="GG810"/>
      <c r="GH810"/>
      <c r="GI810"/>
      <c r="GJ810"/>
      <c r="GK810"/>
      <c r="GL810"/>
      <c r="GM810"/>
      <c r="GN810"/>
      <c r="GO810"/>
      <c r="GP810"/>
      <c r="GQ810"/>
      <c r="GR810"/>
      <c r="GS810"/>
      <c r="GT810"/>
      <c r="GU810"/>
      <c r="GV810"/>
      <c r="GW810"/>
      <c r="GX810"/>
      <c r="GY810"/>
      <c r="GZ810"/>
      <c r="HA810"/>
      <c r="HB810"/>
      <c r="HC810"/>
      <c r="HD810"/>
      <c r="HE810"/>
      <c r="HF810"/>
      <c r="HG810"/>
      <c r="HH810"/>
      <c r="HI810"/>
      <c r="HJ810"/>
      <c r="HK810"/>
      <c r="HL810"/>
      <c r="HM810"/>
      <c r="HN810"/>
      <c r="HO810"/>
      <c r="HP810"/>
      <c r="HQ810"/>
      <c r="HR810"/>
      <c r="HS810"/>
      <c r="HT810"/>
      <c r="HU810"/>
      <c r="HV810"/>
      <c r="HW810"/>
      <c r="HX810"/>
      <c r="HY810"/>
      <c r="HZ810"/>
      <c r="IA810"/>
      <c r="IB810"/>
      <c r="IC810"/>
      <c r="ID810"/>
      <c r="IE810"/>
      <c r="IF810"/>
      <c r="IG810"/>
      <c r="IH810"/>
      <c r="II810"/>
      <c r="IJ810"/>
      <c r="IK810"/>
      <c r="IL810"/>
      <c r="IM810"/>
      <c r="IN810"/>
      <c r="IO810"/>
      <c r="IP810"/>
      <c r="IQ810"/>
      <c r="IR810"/>
      <c r="IS810"/>
      <c r="IT810"/>
      <c r="IU810"/>
      <c r="IV810"/>
      <c r="IW810"/>
      <c r="IX810"/>
    </row>
    <row r="811" spans="1:259" ht="12.75" customHeight="1" x14ac:dyDescent="0.2">
      <c r="A811" s="798"/>
      <c r="B811" s="1567" t="s">
        <v>1125</v>
      </c>
      <c r="C811" s="1572">
        <v>120000</v>
      </c>
      <c r="D811" s="733">
        <v>120000</v>
      </c>
      <c r="E811" s="904">
        <v>120000</v>
      </c>
      <c r="F811" s="733">
        <v>120000</v>
      </c>
      <c r="G811" s="733">
        <v>0</v>
      </c>
      <c r="H811" s="1176">
        <v>0</v>
      </c>
      <c r="I811" s="1572">
        <v>0</v>
      </c>
      <c r="J811" s="735"/>
      <c r="K811" s="1367"/>
      <c r="L811" s="848"/>
      <c r="M811" s="887"/>
      <c r="N811" s="843"/>
      <c r="O811"/>
      <c r="P811"/>
      <c r="Q811"/>
      <c r="R811"/>
      <c r="S811"/>
      <c r="T811"/>
      <c r="U811"/>
      <c r="V811"/>
      <c r="W811"/>
      <c r="X811"/>
      <c r="Y811"/>
      <c r="Z811"/>
      <c r="AA811"/>
      <c r="AB811"/>
      <c r="AC811"/>
      <c r="AD811"/>
      <c r="AE811"/>
      <c r="AF811"/>
      <c r="AG811"/>
      <c r="AH811"/>
      <c r="AI811"/>
      <c r="AJ811"/>
      <c r="AK811"/>
      <c r="AL811"/>
      <c r="AM811"/>
      <c r="AN811"/>
      <c r="AO811"/>
      <c r="AP811"/>
      <c r="AQ811"/>
      <c r="AR811"/>
      <c r="AS811"/>
      <c r="AT811"/>
      <c r="AU811"/>
      <c r="AV811"/>
      <c r="AW811"/>
      <c r="AX811"/>
      <c r="AY811"/>
      <c r="AZ811"/>
      <c r="BA811"/>
      <c r="BB811"/>
      <c r="BC811"/>
      <c r="BD811"/>
      <c r="BE811"/>
      <c r="BF811"/>
      <c r="BG811"/>
      <c r="BH811"/>
      <c r="BI811"/>
      <c r="BJ811"/>
      <c r="BK811"/>
      <c r="BL811"/>
      <c r="BM811"/>
      <c r="BN811"/>
      <c r="BO811"/>
      <c r="BP811"/>
      <c r="BQ811"/>
      <c r="BR811"/>
      <c r="BS811"/>
      <c r="BT811"/>
      <c r="BU811"/>
      <c r="BV811"/>
      <c r="BW811"/>
      <c r="BX811"/>
      <c r="BY811"/>
      <c r="BZ811"/>
      <c r="CA811"/>
      <c r="CB811"/>
      <c r="CC811"/>
      <c r="CD811"/>
      <c r="CE811"/>
      <c r="CF811"/>
      <c r="CG811"/>
      <c r="CH811"/>
      <c r="CI811"/>
      <c r="CJ811"/>
      <c r="CK811"/>
      <c r="CL811"/>
      <c r="CM811"/>
      <c r="CN811"/>
      <c r="CO811"/>
      <c r="CP811"/>
      <c r="CQ811"/>
      <c r="CR811"/>
      <c r="CS811"/>
      <c r="CT811"/>
      <c r="CU811"/>
      <c r="CV811"/>
      <c r="CW811"/>
      <c r="CX811"/>
      <c r="CY811"/>
      <c r="CZ811"/>
      <c r="DA811"/>
      <c r="DB811"/>
      <c r="DC811"/>
      <c r="DD811"/>
      <c r="DE811"/>
      <c r="DF811"/>
      <c r="DG811"/>
      <c r="DH811"/>
      <c r="DI811"/>
      <c r="DJ811"/>
      <c r="DK811"/>
      <c r="DL811"/>
      <c r="DM811"/>
      <c r="DN811"/>
      <c r="DO811"/>
      <c r="DP811"/>
      <c r="DQ811"/>
      <c r="DR811"/>
      <c r="DS811"/>
      <c r="DT811"/>
      <c r="DU811"/>
      <c r="DV811"/>
      <c r="DW811"/>
      <c r="DX811"/>
      <c r="DY811"/>
      <c r="DZ811"/>
      <c r="EA811"/>
      <c r="EB811"/>
      <c r="EC811"/>
      <c r="ED811"/>
      <c r="EE811"/>
      <c r="EF811"/>
      <c r="EG811"/>
      <c r="EH811"/>
      <c r="EI811"/>
      <c r="EJ811"/>
      <c r="EK811"/>
      <c r="EL811"/>
      <c r="EM811"/>
      <c r="EN811"/>
      <c r="EO811"/>
      <c r="EP811"/>
      <c r="EQ811"/>
      <c r="ER811"/>
      <c r="ES811"/>
      <c r="ET811"/>
      <c r="EU811"/>
      <c r="EV811"/>
      <c r="EW811"/>
      <c r="EX811"/>
      <c r="EY811"/>
      <c r="EZ811"/>
      <c r="FA811"/>
      <c r="FB811"/>
      <c r="FC811"/>
      <c r="FD811"/>
      <c r="FE811"/>
      <c r="FF811"/>
      <c r="FG811"/>
      <c r="FH811"/>
      <c r="FI811"/>
      <c r="FJ811"/>
      <c r="FK811"/>
      <c r="FL811"/>
      <c r="FM811"/>
      <c r="FN811"/>
      <c r="FO811"/>
      <c r="FP811"/>
      <c r="FQ811"/>
      <c r="FR811"/>
      <c r="FS811"/>
      <c r="FT811"/>
      <c r="FU811"/>
      <c r="FV811"/>
      <c r="FW811"/>
      <c r="FX811"/>
      <c r="FY811"/>
      <c r="FZ811"/>
      <c r="GA811"/>
      <c r="GB811"/>
      <c r="GC811"/>
      <c r="GD811"/>
      <c r="GE811"/>
      <c r="GF811"/>
      <c r="GG811"/>
      <c r="GH811"/>
      <c r="GI811"/>
      <c r="GJ811"/>
      <c r="GK811"/>
      <c r="GL811"/>
      <c r="GM811"/>
      <c r="GN811"/>
      <c r="GO811"/>
      <c r="GP811"/>
      <c r="GQ811"/>
      <c r="GR811"/>
      <c r="GS811"/>
      <c r="GT811"/>
      <c r="GU811"/>
      <c r="GV811"/>
      <c r="GW811"/>
      <c r="GX811"/>
      <c r="GY811"/>
      <c r="GZ811"/>
      <c r="HA811"/>
      <c r="HB811"/>
      <c r="HC811"/>
      <c r="HD811"/>
      <c r="HE811"/>
      <c r="HF811"/>
      <c r="HG811"/>
      <c r="HH811"/>
      <c r="HI811"/>
      <c r="HJ811"/>
      <c r="HK811"/>
      <c r="HL811"/>
      <c r="HM811"/>
      <c r="HN811"/>
      <c r="HO811"/>
      <c r="HP811"/>
      <c r="HQ811"/>
      <c r="HR811"/>
      <c r="HS811"/>
      <c r="HT811"/>
      <c r="HU811"/>
      <c r="HV811"/>
      <c r="HW811"/>
      <c r="HX811"/>
      <c r="HY811"/>
      <c r="HZ811"/>
      <c r="IA811"/>
      <c r="IB811"/>
      <c r="IC811"/>
      <c r="ID811"/>
      <c r="IE811"/>
      <c r="IF811"/>
      <c r="IG811"/>
      <c r="IH811"/>
      <c r="II811"/>
      <c r="IJ811"/>
      <c r="IK811"/>
      <c r="IL811"/>
      <c r="IM811"/>
      <c r="IN811"/>
      <c r="IO811"/>
      <c r="IP811"/>
      <c r="IQ811"/>
      <c r="IR811"/>
      <c r="IS811"/>
      <c r="IT811"/>
      <c r="IU811"/>
      <c r="IV811"/>
      <c r="IW811"/>
      <c r="IX811"/>
    </row>
    <row r="812" spans="1:259" ht="12.75" customHeight="1" x14ac:dyDescent="0.2">
      <c r="A812" s="798"/>
      <c r="B812" s="1553" t="s">
        <v>832</v>
      </c>
      <c r="C812" s="1572">
        <v>1500000</v>
      </c>
      <c r="D812" s="733">
        <f>1500000-1500000</f>
        <v>0</v>
      </c>
      <c r="E812" s="904">
        <v>0</v>
      </c>
      <c r="F812" s="733">
        <v>0</v>
      </c>
      <c r="G812" s="733">
        <v>0</v>
      </c>
      <c r="H812" s="1176">
        <v>0</v>
      </c>
      <c r="I812" s="1572">
        <v>0</v>
      </c>
      <c r="J812" s="735"/>
      <c r="K812" s="1367"/>
      <c r="L812" s="848"/>
      <c r="M812" s="887"/>
      <c r="N812" s="843"/>
      <c r="O812"/>
      <c r="P812"/>
      <c r="Q812"/>
      <c r="R812"/>
      <c r="S812"/>
      <c r="T812"/>
      <c r="U812"/>
      <c r="V812"/>
      <c r="W812"/>
      <c r="X812"/>
      <c r="Y812"/>
      <c r="Z812"/>
      <c r="AA812"/>
      <c r="AB812"/>
      <c r="AC812"/>
      <c r="AD812"/>
      <c r="AE812"/>
      <c r="AF812"/>
      <c r="AG812"/>
      <c r="AH812"/>
      <c r="AI812"/>
      <c r="AJ812"/>
      <c r="AK812"/>
      <c r="AL812"/>
      <c r="AM812"/>
      <c r="AN812"/>
      <c r="AO812"/>
      <c r="AP812"/>
      <c r="AQ812"/>
      <c r="AR812"/>
      <c r="AS812"/>
      <c r="AT812"/>
      <c r="AU812"/>
      <c r="AV812"/>
      <c r="AW812"/>
      <c r="AX812"/>
      <c r="AY812"/>
      <c r="AZ812"/>
      <c r="BA812"/>
      <c r="BB812"/>
      <c r="BC812"/>
      <c r="BD812"/>
      <c r="BE812"/>
      <c r="BF812"/>
      <c r="BG812"/>
      <c r="BH812"/>
      <c r="BI812"/>
      <c r="BJ812"/>
      <c r="BK812"/>
      <c r="BL812"/>
      <c r="BM812"/>
      <c r="BN812"/>
      <c r="BO812"/>
      <c r="BP812"/>
      <c r="BQ812"/>
      <c r="BR812"/>
      <c r="BS812"/>
      <c r="BT812"/>
      <c r="BU812"/>
      <c r="BV812"/>
      <c r="BW812"/>
      <c r="BX812"/>
      <c r="BY812"/>
      <c r="BZ812"/>
      <c r="CA812"/>
      <c r="CB812"/>
      <c r="CC812"/>
      <c r="CD812"/>
      <c r="CE812"/>
      <c r="CF812"/>
      <c r="CG812"/>
      <c r="CH812"/>
      <c r="CI812"/>
      <c r="CJ812"/>
      <c r="CK812"/>
      <c r="CL812"/>
      <c r="CM812"/>
      <c r="CN812"/>
      <c r="CO812"/>
      <c r="CP812"/>
      <c r="CQ812"/>
      <c r="CR812"/>
      <c r="CS812"/>
      <c r="CT812"/>
      <c r="CU812"/>
      <c r="CV812"/>
      <c r="CW812"/>
      <c r="CX812"/>
      <c r="CY812"/>
      <c r="CZ812"/>
      <c r="DA812"/>
      <c r="DB812"/>
      <c r="DC812"/>
      <c r="DD812"/>
      <c r="DE812"/>
      <c r="DF812"/>
      <c r="DG812"/>
      <c r="DH812"/>
      <c r="DI812"/>
      <c r="DJ812"/>
      <c r="DK812"/>
      <c r="DL812"/>
      <c r="DM812"/>
      <c r="DN812"/>
      <c r="DO812"/>
      <c r="DP812"/>
      <c r="DQ812"/>
      <c r="DR812"/>
      <c r="DS812"/>
      <c r="DT812"/>
      <c r="DU812"/>
      <c r="DV812"/>
      <c r="DW812"/>
      <c r="DX812"/>
      <c r="DY812"/>
      <c r="DZ812"/>
      <c r="EA812"/>
      <c r="EB812"/>
      <c r="EC812"/>
      <c r="ED812"/>
      <c r="EE812"/>
      <c r="EF812"/>
      <c r="EG812"/>
      <c r="EH812"/>
      <c r="EI812"/>
      <c r="EJ812"/>
      <c r="EK812"/>
      <c r="EL812"/>
      <c r="EM812"/>
      <c r="EN812"/>
      <c r="EO812"/>
      <c r="EP812"/>
      <c r="EQ812"/>
      <c r="ER812"/>
      <c r="ES812"/>
      <c r="ET812"/>
      <c r="EU812"/>
      <c r="EV812"/>
      <c r="EW812"/>
      <c r="EX812"/>
      <c r="EY812"/>
      <c r="EZ812"/>
      <c r="FA812"/>
      <c r="FB812"/>
      <c r="FC812"/>
      <c r="FD812"/>
      <c r="FE812"/>
      <c r="FF812"/>
      <c r="FG812"/>
      <c r="FH812"/>
      <c r="FI812"/>
      <c r="FJ812"/>
      <c r="FK812"/>
      <c r="FL812"/>
      <c r="FM812"/>
      <c r="FN812"/>
      <c r="FO812"/>
      <c r="FP812"/>
      <c r="FQ812"/>
      <c r="FR812"/>
      <c r="FS812"/>
      <c r="FT812"/>
      <c r="FU812"/>
      <c r="FV812"/>
      <c r="FW812"/>
      <c r="FX812"/>
      <c r="FY812"/>
      <c r="FZ812"/>
      <c r="GA812"/>
      <c r="GB812"/>
      <c r="GC812"/>
      <c r="GD812"/>
      <c r="GE812"/>
      <c r="GF812"/>
      <c r="GG812"/>
      <c r="GH812"/>
      <c r="GI812"/>
      <c r="GJ812"/>
      <c r="GK812"/>
      <c r="GL812"/>
      <c r="GM812"/>
      <c r="GN812"/>
      <c r="GO812"/>
      <c r="GP812"/>
      <c r="GQ812"/>
      <c r="GR812"/>
      <c r="GS812"/>
      <c r="GT812"/>
      <c r="GU812"/>
      <c r="GV812"/>
      <c r="GW812"/>
      <c r="GX812"/>
      <c r="GY812"/>
      <c r="GZ812"/>
      <c r="HA812"/>
      <c r="HB812"/>
      <c r="HC812"/>
      <c r="HD812"/>
      <c r="HE812"/>
      <c r="HF812"/>
      <c r="HG812"/>
      <c r="HH812"/>
      <c r="HI812"/>
      <c r="HJ812"/>
      <c r="HK812"/>
      <c r="HL812"/>
      <c r="HM812"/>
      <c r="HN812"/>
      <c r="HO812"/>
      <c r="HP812"/>
      <c r="HQ812"/>
      <c r="HR812"/>
      <c r="HS812"/>
      <c r="HT812"/>
      <c r="HU812"/>
      <c r="HV812"/>
      <c r="HW812"/>
      <c r="HX812"/>
      <c r="HY812"/>
      <c r="HZ812"/>
      <c r="IA812"/>
      <c r="IB812"/>
      <c r="IC812"/>
      <c r="ID812"/>
      <c r="IE812"/>
      <c r="IF812"/>
      <c r="IG812"/>
      <c r="IH812"/>
      <c r="II812"/>
      <c r="IJ812"/>
      <c r="IK812"/>
      <c r="IL812"/>
      <c r="IM812"/>
      <c r="IN812"/>
      <c r="IO812"/>
      <c r="IP812"/>
      <c r="IQ812"/>
      <c r="IR812"/>
      <c r="IS812"/>
      <c r="IT812"/>
      <c r="IU812"/>
      <c r="IV812"/>
      <c r="IW812"/>
      <c r="IX812"/>
    </row>
    <row r="813" spans="1:259" ht="25.5" x14ac:dyDescent="0.2">
      <c r="A813" s="798"/>
      <c r="B813" s="1553" t="s">
        <v>1719</v>
      </c>
      <c r="C813" s="1572">
        <v>0</v>
      </c>
      <c r="D813" s="733">
        <v>0</v>
      </c>
      <c r="E813" s="904">
        <v>0</v>
      </c>
      <c r="F813" s="733">
        <v>0</v>
      </c>
      <c r="G813" s="733">
        <v>0</v>
      </c>
      <c r="H813" s="1176">
        <v>0</v>
      </c>
      <c r="I813" s="1572">
        <v>615000</v>
      </c>
      <c r="J813" s="735"/>
      <c r="K813" s="1367"/>
      <c r="L813" s="848"/>
      <c r="M813" s="887"/>
      <c r="N813" s="843"/>
      <c r="O813"/>
      <c r="P813"/>
      <c r="Q813"/>
      <c r="R813"/>
      <c r="S813"/>
      <c r="T813"/>
      <c r="U813"/>
      <c r="V813"/>
      <c r="W813"/>
      <c r="X813"/>
      <c r="Y813"/>
      <c r="Z813"/>
      <c r="AA813"/>
      <c r="AB813"/>
      <c r="AC813"/>
      <c r="AD813"/>
      <c r="AE813"/>
      <c r="AF813"/>
      <c r="AG813"/>
      <c r="AH813"/>
      <c r="AI813"/>
      <c r="AJ813"/>
      <c r="AK813"/>
      <c r="AL813"/>
      <c r="AM813"/>
      <c r="AN813"/>
      <c r="AO813"/>
      <c r="AP813"/>
      <c r="AQ813"/>
      <c r="AR813"/>
      <c r="AS813"/>
      <c r="AT813"/>
      <c r="AU813"/>
      <c r="AV813"/>
      <c r="AW813"/>
      <c r="AX813"/>
      <c r="AY813"/>
      <c r="AZ813"/>
      <c r="BA813"/>
      <c r="BB813"/>
      <c r="BC813"/>
      <c r="BD813"/>
      <c r="BE813"/>
      <c r="BF813"/>
      <c r="BG813"/>
      <c r="BH813"/>
      <c r="BI813"/>
      <c r="BJ813"/>
      <c r="BK813"/>
      <c r="BL813"/>
      <c r="BM813"/>
      <c r="BN813"/>
      <c r="BO813"/>
      <c r="BP813"/>
      <c r="BQ813"/>
      <c r="BR813"/>
      <c r="BS813"/>
      <c r="BT813"/>
      <c r="BU813"/>
      <c r="BV813"/>
      <c r="BW813"/>
      <c r="BX813"/>
      <c r="BY813"/>
      <c r="BZ813"/>
      <c r="CA813"/>
      <c r="CB813"/>
      <c r="CC813"/>
      <c r="CD813"/>
      <c r="CE813"/>
      <c r="CF813"/>
      <c r="CG813"/>
      <c r="CH813"/>
      <c r="CI813"/>
      <c r="CJ813"/>
      <c r="CK813"/>
      <c r="CL813"/>
      <c r="CM813"/>
      <c r="CN813"/>
      <c r="CO813"/>
      <c r="CP813"/>
      <c r="CQ813"/>
      <c r="CR813"/>
      <c r="CS813"/>
      <c r="CT813"/>
      <c r="CU813"/>
      <c r="CV813"/>
      <c r="CW813"/>
      <c r="CX813"/>
      <c r="CY813"/>
      <c r="CZ813"/>
      <c r="DA813"/>
      <c r="DB813"/>
      <c r="DC813"/>
      <c r="DD813"/>
      <c r="DE813"/>
      <c r="DF813"/>
      <c r="DG813"/>
      <c r="DH813"/>
      <c r="DI813"/>
      <c r="DJ813"/>
      <c r="DK813"/>
      <c r="DL813"/>
      <c r="DM813"/>
      <c r="DN813"/>
      <c r="DO813"/>
      <c r="DP813"/>
      <c r="DQ813"/>
      <c r="DR813"/>
      <c r="DS813"/>
      <c r="DT813"/>
      <c r="DU813"/>
      <c r="DV813"/>
      <c r="DW813"/>
      <c r="DX813"/>
      <c r="DY813"/>
      <c r="DZ813"/>
      <c r="EA813"/>
      <c r="EB813"/>
      <c r="EC813"/>
      <c r="ED813"/>
      <c r="EE813"/>
      <c r="EF813"/>
      <c r="EG813"/>
      <c r="EH813"/>
      <c r="EI813"/>
      <c r="EJ813"/>
      <c r="EK813"/>
      <c r="EL813"/>
      <c r="EM813"/>
      <c r="EN813"/>
      <c r="EO813"/>
      <c r="EP813"/>
      <c r="EQ813"/>
      <c r="ER813"/>
      <c r="ES813"/>
      <c r="ET813"/>
      <c r="EU813"/>
      <c r="EV813"/>
      <c r="EW813"/>
      <c r="EX813"/>
      <c r="EY813"/>
      <c r="EZ813"/>
      <c r="FA813"/>
      <c r="FB813"/>
      <c r="FC813"/>
      <c r="FD813"/>
      <c r="FE813"/>
      <c r="FF813"/>
      <c r="FG813"/>
      <c r="FH813"/>
      <c r="FI813"/>
      <c r="FJ813"/>
      <c r="FK813"/>
      <c r="FL813"/>
      <c r="FM813"/>
      <c r="FN813"/>
      <c r="FO813"/>
      <c r="FP813"/>
      <c r="FQ813"/>
      <c r="FR813"/>
      <c r="FS813"/>
      <c r="FT813"/>
      <c r="FU813"/>
      <c r="FV813"/>
      <c r="FW813"/>
      <c r="FX813"/>
      <c r="FY813"/>
      <c r="FZ813"/>
      <c r="GA813"/>
      <c r="GB813"/>
      <c r="GC813"/>
      <c r="GD813"/>
      <c r="GE813"/>
      <c r="GF813"/>
      <c r="GG813"/>
      <c r="GH813"/>
      <c r="GI813"/>
      <c r="GJ813"/>
      <c r="GK813"/>
      <c r="GL813"/>
      <c r="GM813"/>
      <c r="GN813"/>
      <c r="GO813"/>
      <c r="GP813"/>
      <c r="GQ813"/>
      <c r="GR813"/>
      <c r="GS813"/>
      <c r="GT813"/>
      <c r="GU813"/>
      <c r="GV813"/>
      <c r="GW813"/>
      <c r="GX813"/>
      <c r="GY813"/>
      <c r="GZ813"/>
      <c r="HA813"/>
      <c r="HB813"/>
      <c r="HC813"/>
      <c r="HD813"/>
      <c r="HE813"/>
      <c r="HF813"/>
      <c r="HG813"/>
      <c r="HH813"/>
      <c r="HI813"/>
      <c r="HJ813"/>
      <c r="HK813"/>
      <c r="HL813"/>
      <c r="HM813"/>
      <c r="HN813"/>
      <c r="HO813"/>
      <c r="HP813"/>
      <c r="HQ813"/>
      <c r="HR813"/>
      <c r="HS813"/>
      <c r="HT813"/>
      <c r="HU813"/>
      <c r="HV813"/>
      <c r="HW813"/>
      <c r="HX813"/>
      <c r="HY813"/>
      <c r="HZ813"/>
      <c r="IA813"/>
      <c r="IB813"/>
      <c r="IC813"/>
      <c r="ID813"/>
      <c r="IE813"/>
      <c r="IF813"/>
      <c r="IG813"/>
      <c r="IH813"/>
      <c r="II813"/>
      <c r="IJ813"/>
      <c r="IK813"/>
      <c r="IL813"/>
      <c r="IM813"/>
      <c r="IN813"/>
      <c r="IO813"/>
      <c r="IP813"/>
      <c r="IQ813"/>
      <c r="IR813"/>
      <c r="IS813"/>
      <c r="IT813"/>
      <c r="IU813"/>
      <c r="IV813"/>
      <c r="IW813"/>
      <c r="IX813"/>
    </row>
    <row r="814" spans="1:259" ht="12.75" customHeight="1" x14ac:dyDescent="0.2">
      <c r="A814" s="851">
        <v>3612</v>
      </c>
      <c r="B814" s="1565" t="s">
        <v>833</v>
      </c>
      <c r="C814" s="1052">
        <f t="shared" ref="C814:H814" si="171">C815+C817</f>
        <v>56000000</v>
      </c>
      <c r="D814" s="718">
        <f t="shared" si="171"/>
        <v>53233073</v>
      </c>
      <c r="E814" s="897">
        <f>E815+E817</f>
        <v>51983073</v>
      </c>
      <c r="F814" s="718">
        <f t="shared" si="171"/>
        <v>42824344.450000003</v>
      </c>
      <c r="G814" s="718">
        <f t="shared" si="171"/>
        <v>34445009.910000004</v>
      </c>
      <c r="H814" s="1045">
        <f t="shared" si="171"/>
        <v>27830270.160000004</v>
      </c>
      <c r="I814" s="1052">
        <f>I815+I817</f>
        <v>55570000</v>
      </c>
      <c r="J814" s="1418"/>
      <c r="K814" s="1367"/>
      <c r="L814" s="848"/>
      <c r="M814" s="887"/>
      <c r="N814" s="843"/>
      <c r="O814"/>
      <c r="P814"/>
      <c r="Q814"/>
      <c r="R814"/>
      <c r="S814"/>
      <c r="T814"/>
      <c r="U814"/>
      <c r="V814"/>
      <c r="W814"/>
      <c r="X814"/>
      <c r="Y814"/>
      <c r="Z814"/>
      <c r="AA814"/>
      <c r="AB814"/>
      <c r="AC814"/>
      <c r="AD814"/>
      <c r="AE814"/>
      <c r="AF814"/>
      <c r="AG814"/>
      <c r="AH814"/>
      <c r="AI814"/>
      <c r="AJ814"/>
      <c r="AK814"/>
      <c r="AL814"/>
      <c r="AM814"/>
      <c r="AN814"/>
      <c r="AO814"/>
      <c r="AP814"/>
      <c r="AQ814"/>
      <c r="AR814"/>
      <c r="AS814"/>
      <c r="AT814"/>
      <c r="AU814"/>
      <c r="AV814"/>
      <c r="AW814"/>
      <c r="AX814"/>
      <c r="AY814"/>
      <c r="AZ814"/>
      <c r="BA814"/>
      <c r="BB814"/>
      <c r="BC814"/>
      <c r="BD814"/>
      <c r="BE814"/>
      <c r="BF814"/>
      <c r="BG814"/>
      <c r="BH814"/>
      <c r="BI814"/>
      <c r="BJ814"/>
      <c r="BK814"/>
      <c r="BL814"/>
      <c r="BM814"/>
      <c r="BN814"/>
      <c r="BO814"/>
      <c r="BP814"/>
      <c r="BQ814"/>
      <c r="BR814"/>
      <c r="BS814"/>
      <c r="BT814"/>
      <c r="BU814"/>
      <c r="BV814"/>
      <c r="BW814"/>
      <c r="BX814"/>
      <c r="BY814"/>
      <c r="BZ814"/>
      <c r="CA814"/>
      <c r="CB814"/>
      <c r="CC814"/>
      <c r="CD814"/>
      <c r="CE814"/>
      <c r="CF814"/>
      <c r="CG814"/>
      <c r="CH814"/>
      <c r="CI814"/>
      <c r="CJ814"/>
      <c r="CK814"/>
      <c r="CL814"/>
      <c r="CM814"/>
      <c r="CN814"/>
      <c r="CO814"/>
      <c r="CP814"/>
      <c r="CQ814"/>
      <c r="CR814"/>
      <c r="CS814"/>
      <c r="CT814"/>
      <c r="CU814"/>
      <c r="CV814"/>
      <c r="CW814"/>
      <c r="CX814"/>
      <c r="CY814"/>
      <c r="CZ814"/>
      <c r="DA814"/>
      <c r="DB814"/>
      <c r="DC814"/>
      <c r="DD814"/>
      <c r="DE814"/>
      <c r="DF814"/>
      <c r="DG814"/>
      <c r="DH814"/>
      <c r="DI814"/>
      <c r="DJ814"/>
      <c r="DK814"/>
      <c r="DL814"/>
      <c r="DM814"/>
      <c r="DN814"/>
      <c r="DO814"/>
      <c r="DP814"/>
      <c r="DQ814"/>
      <c r="DR814"/>
      <c r="DS814"/>
      <c r="DT814"/>
      <c r="DU814"/>
      <c r="DV814"/>
      <c r="DW814"/>
      <c r="DX814"/>
      <c r="DY814"/>
      <c r="DZ814"/>
      <c r="EA814"/>
      <c r="EB814"/>
      <c r="EC814"/>
      <c r="ED814"/>
      <c r="EE814"/>
      <c r="EF814"/>
      <c r="EG814"/>
      <c r="EH814"/>
      <c r="EI814"/>
      <c r="EJ814"/>
      <c r="EK814"/>
      <c r="EL814"/>
      <c r="EM814"/>
      <c r="EN814"/>
      <c r="EO814"/>
      <c r="EP814"/>
      <c r="EQ814"/>
      <c r="ER814"/>
      <c r="ES814"/>
      <c r="ET814"/>
      <c r="EU814"/>
      <c r="EV814"/>
      <c r="EW814"/>
      <c r="EX814"/>
      <c r="EY814"/>
      <c r="EZ814"/>
      <c r="FA814"/>
      <c r="FB814"/>
      <c r="FC814"/>
      <c r="FD814"/>
      <c r="FE814"/>
      <c r="FF814"/>
      <c r="FG814"/>
      <c r="FH814"/>
      <c r="FI814"/>
      <c r="FJ814"/>
      <c r="FK814"/>
      <c r="FL814"/>
      <c r="FM814"/>
      <c r="FN814"/>
      <c r="FO814"/>
      <c r="FP814"/>
      <c r="FQ814"/>
      <c r="FR814"/>
      <c r="FS814"/>
      <c r="FT814"/>
      <c r="FU814"/>
      <c r="FV814"/>
      <c r="FW814"/>
      <c r="FX814"/>
      <c r="FY814"/>
      <c r="FZ814"/>
      <c r="GA814"/>
      <c r="GB814"/>
      <c r="GC814"/>
      <c r="GD814"/>
      <c r="GE814"/>
      <c r="GF814"/>
      <c r="GG814"/>
      <c r="GH814"/>
      <c r="GI814"/>
      <c r="GJ814"/>
      <c r="GK814"/>
      <c r="GL814"/>
      <c r="GM814"/>
      <c r="GN814"/>
      <c r="GO814"/>
      <c r="GP814"/>
      <c r="GQ814"/>
      <c r="GR814"/>
      <c r="GS814"/>
      <c r="GT814"/>
      <c r="GU814"/>
      <c r="GV814"/>
      <c r="GW814"/>
      <c r="GX814"/>
      <c r="GY814"/>
      <c r="GZ814"/>
      <c r="HA814"/>
      <c r="HB814"/>
      <c r="HC814"/>
      <c r="HD814"/>
      <c r="HE814"/>
      <c r="HF814"/>
      <c r="HG814"/>
      <c r="HH814"/>
      <c r="HI814"/>
      <c r="HJ814"/>
      <c r="HK814"/>
      <c r="HL814"/>
      <c r="HM814"/>
      <c r="HN814"/>
      <c r="HO814"/>
      <c r="HP814"/>
      <c r="HQ814"/>
      <c r="HR814"/>
      <c r="HS814"/>
      <c r="HT814"/>
      <c r="HU814"/>
      <c r="HV814"/>
      <c r="HW814"/>
      <c r="HX814"/>
      <c r="HY814"/>
      <c r="HZ814"/>
      <c r="IA814"/>
      <c r="IB814"/>
      <c r="IC814"/>
      <c r="ID814"/>
      <c r="IE814"/>
      <c r="IF814"/>
      <c r="IG814"/>
      <c r="IH814"/>
      <c r="II814"/>
      <c r="IJ814"/>
      <c r="IK814"/>
      <c r="IL814"/>
      <c r="IM814"/>
      <c r="IN814"/>
      <c r="IO814"/>
      <c r="IP814"/>
      <c r="IQ814"/>
      <c r="IR814"/>
      <c r="IS814"/>
      <c r="IT814"/>
      <c r="IU814"/>
      <c r="IV814"/>
      <c r="IW814"/>
      <c r="IX814"/>
    </row>
    <row r="815" spans="1:259" ht="12.75" customHeight="1" x14ac:dyDescent="0.2">
      <c r="A815" s="798"/>
      <c r="B815" s="1799" t="s">
        <v>807</v>
      </c>
      <c r="C815" s="1796">
        <f>SUM(C816)</f>
        <v>1000000</v>
      </c>
      <c r="D815" s="852">
        <f>SUM(D816)</f>
        <v>1000000</v>
      </c>
      <c r="E815" s="1225">
        <f>SUM(E816)</f>
        <v>1000000</v>
      </c>
      <c r="F815" s="852">
        <v>192390</v>
      </c>
      <c r="G815" s="1365">
        <v>192390</v>
      </c>
      <c r="H815" s="1797">
        <v>192390</v>
      </c>
      <c r="I815" s="1796">
        <f>SUM(I816)</f>
        <v>300000</v>
      </c>
      <c r="J815" s="1416"/>
      <c r="K815" s="1367"/>
      <c r="L815" s="848"/>
      <c r="M815" s="887"/>
      <c r="N815" s="843"/>
      <c r="O815"/>
      <c r="P815"/>
      <c r="Q815"/>
      <c r="R815"/>
      <c r="S815"/>
      <c r="T815"/>
      <c r="U815"/>
      <c r="V815"/>
      <c r="W815"/>
      <c r="X815"/>
      <c r="Y815"/>
      <c r="Z815"/>
      <c r="AA815"/>
      <c r="AB815"/>
      <c r="AC815"/>
      <c r="AD815"/>
      <c r="AE815"/>
      <c r="AF815"/>
      <c r="AG815"/>
      <c r="AH815"/>
      <c r="AI815"/>
      <c r="AJ815"/>
      <c r="AK815"/>
      <c r="AL815"/>
      <c r="AM815"/>
      <c r="AN815"/>
      <c r="AO815"/>
      <c r="AP815"/>
      <c r="AQ815"/>
      <c r="AR815"/>
      <c r="AS815"/>
      <c r="AT815"/>
      <c r="AU815"/>
      <c r="AV815"/>
      <c r="AW815"/>
      <c r="AX815"/>
      <c r="AY815"/>
      <c r="AZ815"/>
      <c r="BA815"/>
      <c r="BB815"/>
      <c r="BC815"/>
      <c r="BD815"/>
      <c r="BE815"/>
      <c r="BF815"/>
      <c r="BG815"/>
      <c r="BH815"/>
      <c r="BI815"/>
      <c r="BJ815"/>
      <c r="BK815"/>
      <c r="BL815"/>
      <c r="BM815"/>
      <c r="BN815"/>
      <c r="BO815"/>
      <c r="BP815"/>
      <c r="BQ815"/>
      <c r="BR815"/>
      <c r="BS815"/>
      <c r="BT815"/>
      <c r="BU815"/>
      <c r="BV815"/>
      <c r="BW815"/>
      <c r="BX815"/>
      <c r="BY815"/>
      <c r="BZ815"/>
      <c r="CA815"/>
      <c r="CB815"/>
      <c r="CC815"/>
      <c r="CD815"/>
      <c r="CE815"/>
      <c r="CF815"/>
      <c r="CG815"/>
      <c r="CH815"/>
      <c r="CI815"/>
      <c r="CJ815"/>
      <c r="CK815"/>
      <c r="CL815"/>
      <c r="CM815"/>
      <c r="CN815"/>
      <c r="CO815"/>
      <c r="CP815"/>
      <c r="CQ815"/>
      <c r="CR815"/>
      <c r="CS815"/>
      <c r="CT815"/>
      <c r="CU815"/>
      <c r="CV815"/>
      <c r="CW815"/>
      <c r="CX815"/>
      <c r="CY815"/>
      <c r="CZ815"/>
      <c r="DA815"/>
      <c r="DB815"/>
      <c r="DC815"/>
      <c r="DD815"/>
      <c r="DE815"/>
      <c r="DF815"/>
      <c r="DG815"/>
      <c r="DH815"/>
      <c r="DI815"/>
      <c r="DJ815"/>
      <c r="DK815"/>
      <c r="DL815"/>
      <c r="DM815"/>
      <c r="DN815"/>
      <c r="DO815"/>
      <c r="DP815"/>
      <c r="DQ815"/>
      <c r="DR815"/>
      <c r="DS815"/>
      <c r="DT815"/>
      <c r="DU815"/>
      <c r="DV815"/>
      <c r="DW815"/>
      <c r="DX815"/>
      <c r="DY815"/>
      <c r="DZ815"/>
      <c r="EA815"/>
      <c r="EB815"/>
      <c r="EC815"/>
      <c r="ED815"/>
      <c r="EE815"/>
      <c r="EF815"/>
      <c r="EG815"/>
      <c r="EH815"/>
      <c r="EI815"/>
      <c r="EJ815"/>
      <c r="EK815"/>
      <c r="EL815"/>
      <c r="EM815"/>
      <c r="EN815"/>
      <c r="EO815"/>
      <c r="EP815"/>
      <c r="EQ815"/>
      <c r="ER815"/>
      <c r="ES815"/>
      <c r="ET815"/>
      <c r="EU815"/>
      <c r="EV815"/>
      <c r="EW815"/>
      <c r="EX815"/>
      <c r="EY815"/>
      <c r="EZ815"/>
      <c r="FA815"/>
      <c r="FB815"/>
      <c r="FC815"/>
      <c r="FD815"/>
      <c r="FE815"/>
      <c r="FF815"/>
      <c r="FG815"/>
      <c r="FH815"/>
      <c r="FI815"/>
      <c r="FJ815"/>
      <c r="FK815"/>
      <c r="FL815"/>
      <c r="FM815"/>
      <c r="FN815"/>
      <c r="FO815"/>
      <c r="FP815"/>
      <c r="FQ815"/>
      <c r="FR815"/>
      <c r="FS815"/>
      <c r="FT815"/>
      <c r="FU815"/>
      <c r="FV815"/>
      <c r="FW815"/>
      <c r="FX815"/>
      <c r="FY815"/>
      <c r="FZ815"/>
      <c r="GA815"/>
      <c r="GB815"/>
      <c r="GC815"/>
      <c r="GD815"/>
      <c r="GE815"/>
      <c r="GF815"/>
      <c r="GG815"/>
      <c r="GH815"/>
      <c r="GI815"/>
      <c r="GJ815"/>
      <c r="GK815"/>
      <c r="GL815"/>
      <c r="GM815"/>
      <c r="GN815"/>
      <c r="GO815"/>
      <c r="GP815"/>
      <c r="GQ815"/>
      <c r="GR815"/>
      <c r="GS815"/>
      <c r="GT815"/>
      <c r="GU815"/>
      <c r="GV815"/>
      <c r="GW815"/>
      <c r="GX815"/>
      <c r="GY815"/>
      <c r="GZ815"/>
      <c r="HA815"/>
      <c r="HB815"/>
      <c r="HC815"/>
      <c r="HD815"/>
      <c r="HE815"/>
      <c r="HF815"/>
      <c r="HG815"/>
      <c r="HH815"/>
      <c r="HI815"/>
      <c r="HJ815"/>
      <c r="HK815"/>
      <c r="HL815"/>
      <c r="HM815"/>
      <c r="HN815"/>
      <c r="HO815"/>
      <c r="HP815"/>
      <c r="HQ815"/>
      <c r="HR815"/>
      <c r="HS815"/>
      <c r="HT815"/>
      <c r="HU815"/>
      <c r="HV815"/>
      <c r="HW815"/>
      <c r="HX815"/>
      <c r="HY815"/>
      <c r="HZ815"/>
      <c r="IA815"/>
      <c r="IB815"/>
      <c r="IC815"/>
      <c r="ID815"/>
      <c r="IE815"/>
      <c r="IF815"/>
      <c r="IG815"/>
      <c r="IH815"/>
      <c r="II815"/>
      <c r="IJ815"/>
      <c r="IK815"/>
      <c r="IL815"/>
      <c r="IM815"/>
      <c r="IN815"/>
      <c r="IO815"/>
      <c r="IP815"/>
      <c r="IQ815"/>
      <c r="IR815"/>
      <c r="IS815"/>
      <c r="IT815"/>
      <c r="IU815"/>
      <c r="IV815"/>
      <c r="IW815"/>
      <c r="IX815"/>
    </row>
    <row r="816" spans="1:259" ht="12.75" customHeight="1" x14ac:dyDescent="0.2">
      <c r="A816" s="798"/>
      <c r="B816" s="1567" t="s">
        <v>1126</v>
      </c>
      <c r="C816" s="1572">
        <v>1000000</v>
      </c>
      <c r="D816" s="733">
        <v>1000000</v>
      </c>
      <c r="E816" s="904">
        <v>1000000</v>
      </c>
      <c r="F816" s="733">
        <v>192390</v>
      </c>
      <c r="G816" s="1276">
        <v>192390</v>
      </c>
      <c r="H816" s="1176">
        <v>192390</v>
      </c>
      <c r="I816" s="1572">
        <v>300000</v>
      </c>
      <c r="J816" s="1416"/>
      <c r="K816" s="1367"/>
      <c r="L816" s="848"/>
      <c r="M816" s="887"/>
      <c r="N816" s="843"/>
      <c r="O816"/>
      <c r="P816"/>
      <c r="Q816"/>
      <c r="R816"/>
      <c r="S816"/>
      <c r="T816"/>
      <c r="U816"/>
      <c r="V816"/>
      <c r="W816"/>
      <c r="X816"/>
      <c r="Y816"/>
      <c r="Z816"/>
      <c r="AA816"/>
      <c r="AB816"/>
      <c r="AC816"/>
      <c r="AD816"/>
      <c r="AE816"/>
      <c r="AF816"/>
      <c r="AG816"/>
      <c r="AH816"/>
      <c r="AI816"/>
      <c r="AJ816"/>
      <c r="AK816"/>
      <c r="AL816"/>
      <c r="AM816"/>
      <c r="AN816"/>
      <c r="AO816"/>
      <c r="AP816"/>
      <c r="AQ816"/>
      <c r="AR816"/>
      <c r="AS816"/>
      <c r="AT816"/>
      <c r="AU816"/>
      <c r="AV816"/>
      <c r="AW816"/>
      <c r="AX816"/>
      <c r="AY816"/>
      <c r="AZ816"/>
      <c r="BA816"/>
      <c r="BB816"/>
      <c r="BC816"/>
      <c r="BD816"/>
      <c r="BE816"/>
      <c r="BF816"/>
      <c r="BG816"/>
      <c r="BH816"/>
      <c r="BI816"/>
      <c r="BJ816"/>
      <c r="BK816"/>
      <c r="BL816"/>
      <c r="BM816"/>
      <c r="BN816"/>
      <c r="BO816"/>
      <c r="BP816"/>
      <c r="BQ816"/>
      <c r="BR816"/>
      <c r="BS816"/>
      <c r="BT816"/>
      <c r="BU816"/>
      <c r="BV816"/>
      <c r="BW816"/>
      <c r="BX816"/>
      <c r="BY816"/>
      <c r="BZ816"/>
      <c r="CA816"/>
      <c r="CB816"/>
      <c r="CC816"/>
      <c r="CD816"/>
      <c r="CE816"/>
      <c r="CF816"/>
      <c r="CG816"/>
      <c r="CH816"/>
      <c r="CI816"/>
      <c r="CJ816"/>
      <c r="CK816"/>
      <c r="CL816"/>
      <c r="CM816"/>
      <c r="CN816"/>
      <c r="CO816"/>
      <c r="CP816"/>
      <c r="CQ816"/>
      <c r="CR816"/>
      <c r="CS816"/>
      <c r="CT816"/>
      <c r="CU816"/>
      <c r="CV816"/>
      <c r="CW816"/>
      <c r="CX816"/>
      <c r="CY816"/>
      <c r="CZ816"/>
      <c r="DA816"/>
      <c r="DB816"/>
      <c r="DC816"/>
      <c r="DD816"/>
      <c r="DE816"/>
      <c r="DF816"/>
      <c r="DG816"/>
      <c r="DH816"/>
      <c r="DI816"/>
      <c r="DJ816"/>
      <c r="DK816"/>
      <c r="DL816"/>
      <c r="DM816"/>
      <c r="DN816"/>
      <c r="DO816"/>
      <c r="DP816"/>
      <c r="DQ816"/>
      <c r="DR816"/>
      <c r="DS816"/>
      <c r="DT816"/>
      <c r="DU816"/>
      <c r="DV816"/>
      <c r="DW816"/>
      <c r="DX816"/>
      <c r="DY816"/>
      <c r="DZ816"/>
      <c r="EA816"/>
      <c r="EB816"/>
      <c r="EC816"/>
      <c r="ED816"/>
      <c r="EE816"/>
      <c r="EF816"/>
      <c r="EG816"/>
      <c r="EH816"/>
      <c r="EI816"/>
      <c r="EJ816"/>
      <c r="EK816"/>
      <c r="EL816"/>
      <c r="EM816"/>
      <c r="EN816"/>
      <c r="EO816"/>
      <c r="EP816"/>
      <c r="EQ816"/>
      <c r="ER816"/>
      <c r="ES816"/>
      <c r="ET816"/>
      <c r="EU816"/>
      <c r="EV816"/>
      <c r="EW816"/>
      <c r="EX816"/>
      <c r="EY816"/>
      <c r="EZ816"/>
      <c r="FA816"/>
      <c r="FB816"/>
      <c r="FC816"/>
      <c r="FD816"/>
      <c r="FE816"/>
      <c r="FF816"/>
      <c r="FG816"/>
      <c r="FH816"/>
      <c r="FI816"/>
      <c r="FJ816"/>
      <c r="FK816"/>
      <c r="FL816"/>
      <c r="FM816"/>
      <c r="FN816"/>
      <c r="FO816"/>
      <c r="FP816"/>
      <c r="FQ816"/>
      <c r="FR816"/>
      <c r="FS816"/>
      <c r="FT816"/>
      <c r="FU816"/>
      <c r="FV816"/>
      <c r="FW816"/>
      <c r="FX816"/>
      <c r="FY816"/>
      <c r="FZ816"/>
      <c r="GA816"/>
      <c r="GB816"/>
      <c r="GC816"/>
      <c r="GD816"/>
      <c r="GE816"/>
      <c r="GF816"/>
      <c r="GG816"/>
      <c r="GH816"/>
      <c r="GI816"/>
      <c r="GJ816"/>
      <c r="GK816"/>
      <c r="GL816"/>
      <c r="GM816"/>
      <c r="GN816"/>
      <c r="GO816"/>
      <c r="GP816"/>
      <c r="GQ816"/>
      <c r="GR816"/>
      <c r="GS816"/>
      <c r="GT816"/>
      <c r="GU816"/>
      <c r="GV816"/>
      <c r="GW816"/>
      <c r="GX816"/>
      <c r="GY816"/>
      <c r="GZ816"/>
      <c r="HA816"/>
      <c r="HB816"/>
      <c r="HC816"/>
      <c r="HD816"/>
      <c r="HE816"/>
      <c r="HF816"/>
      <c r="HG816"/>
      <c r="HH816"/>
      <c r="HI816"/>
      <c r="HJ816"/>
      <c r="HK816"/>
      <c r="HL816"/>
      <c r="HM816"/>
      <c r="HN816"/>
      <c r="HO816"/>
      <c r="HP816"/>
      <c r="HQ816"/>
      <c r="HR816"/>
      <c r="HS816"/>
      <c r="HT816"/>
      <c r="HU816"/>
      <c r="HV816"/>
      <c r="HW816"/>
      <c r="HX816"/>
      <c r="HY816"/>
      <c r="HZ816"/>
      <c r="IA816"/>
      <c r="IB816"/>
      <c r="IC816"/>
      <c r="ID816"/>
      <c r="IE816"/>
      <c r="IF816"/>
      <c r="IG816"/>
      <c r="IH816"/>
      <c r="II816"/>
      <c r="IJ816"/>
      <c r="IK816"/>
      <c r="IL816"/>
      <c r="IM816"/>
      <c r="IN816"/>
      <c r="IO816"/>
      <c r="IP816"/>
      <c r="IQ816"/>
      <c r="IR816"/>
      <c r="IS816"/>
      <c r="IT816"/>
      <c r="IU816"/>
      <c r="IV816"/>
      <c r="IW816"/>
      <c r="IX816"/>
    </row>
    <row r="817" spans="1:259" ht="12.75" customHeight="1" x14ac:dyDescent="0.2">
      <c r="A817" s="851"/>
      <c r="B817" s="1803" t="s">
        <v>844</v>
      </c>
      <c r="C817" s="1804">
        <f t="shared" ref="C817:H817" si="172">C818+C823+C829+C836+C840+C841+C842+C843+C844+C849</f>
        <v>55000000</v>
      </c>
      <c r="D817" s="2073">
        <f t="shared" si="172"/>
        <v>52233073</v>
      </c>
      <c r="E817" s="2074">
        <f t="shared" si="172"/>
        <v>50983073</v>
      </c>
      <c r="F817" s="1103">
        <f t="shared" si="172"/>
        <v>42631954.450000003</v>
      </c>
      <c r="G817" s="1303">
        <f t="shared" si="172"/>
        <v>34252619.910000004</v>
      </c>
      <c r="H817" s="1805">
        <f t="shared" si="172"/>
        <v>27637880.160000004</v>
      </c>
      <c r="I817" s="1804">
        <f>I818+I823+I829+I840+I841+I842+I843+I844+I849</f>
        <v>55270000</v>
      </c>
      <c r="J817" s="1416"/>
      <c r="K817" s="1367"/>
      <c r="L817" s="848"/>
      <c r="M817" s="887"/>
      <c r="N817" s="843"/>
      <c r="O817"/>
      <c r="P817"/>
      <c r="Q817"/>
      <c r="R817"/>
      <c r="S817"/>
      <c r="T817"/>
      <c r="U817"/>
      <c r="V817"/>
      <c r="W817"/>
      <c r="X817"/>
      <c r="Y817"/>
      <c r="Z817"/>
      <c r="AA817"/>
      <c r="AB817"/>
      <c r="AC817"/>
      <c r="AD817"/>
      <c r="AE817"/>
      <c r="AF817"/>
      <c r="AG817"/>
      <c r="AH817"/>
      <c r="AI817"/>
      <c r="AJ817"/>
      <c r="AK817"/>
      <c r="AL817"/>
      <c r="AM817"/>
      <c r="AN817"/>
      <c r="AO817"/>
      <c r="AP817"/>
      <c r="AQ817"/>
      <c r="AR817"/>
      <c r="AS817"/>
      <c r="AT817"/>
      <c r="AU817"/>
      <c r="AV817"/>
      <c r="AW817"/>
      <c r="AX817"/>
      <c r="AY817"/>
      <c r="AZ817"/>
      <c r="BA817"/>
      <c r="BB817"/>
      <c r="BC817"/>
      <c r="BD817"/>
      <c r="BE817"/>
      <c r="BF817"/>
      <c r="BG817"/>
      <c r="BH817"/>
      <c r="BI817"/>
      <c r="BJ817"/>
      <c r="BK817"/>
      <c r="BL817"/>
      <c r="BM817"/>
      <c r="BN817"/>
      <c r="BO817"/>
      <c r="BP817"/>
      <c r="BQ817"/>
      <c r="BR817"/>
      <c r="BS817"/>
      <c r="BT817"/>
      <c r="BU817"/>
      <c r="BV817"/>
      <c r="BW817"/>
      <c r="BX817"/>
      <c r="BY817"/>
      <c r="BZ817"/>
      <c r="CA817"/>
      <c r="CB817"/>
      <c r="CC817"/>
      <c r="CD817"/>
      <c r="CE817"/>
      <c r="CF817"/>
      <c r="CG817"/>
      <c r="CH817"/>
      <c r="CI817"/>
      <c r="CJ817"/>
      <c r="CK817"/>
      <c r="CL817"/>
      <c r="CM817"/>
      <c r="CN817"/>
      <c r="CO817"/>
      <c r="CP817"/>
      <c r="CQ817"/>
      <c r="CR817"/>
      <c r="CS817"/>
      <c r="CT817"/>
      <c r="CU817"/>
      <c r="CV817"/>
      <c r="CW817"/>
      <c r="CX817"/>
      <c r="CY817"/>
      <c r="CZ817"/>
      <c r="DA817"/>
      <c r="DB817"/>
      <c r="DC817"/>
      <c r="DD817"/>
      <c r="DE817"/>
      <c r="DF817"/>
      <c r="DG817"/>
      <c r="DH817"/>
      <c r="DI817"/>
      <c r="DJ817"/>
      <c r="DK817"/>
      <c r="DL817"/>
      <c r="DM817"/>
      <c r="DN817"/>
      <c r="DO817"/>
      <c r="DP817"/>
      <c r="DQ817"/>
      <c r="DR817"/>
      <c r="DS817"/>
      <c r="DT817"/>
      <c r="DU817"/>
      <c r="DV817"/>
      <c r="DW817"/>
      <c r="DX817"/>
      <c r="DY817"/>
      <c r="DZ817"/>
      <c r="EA817"/>
      <c r="EB817"/>
      <c r="EC817"/>
      <c r="ED817"/>
      <c r="EE817"/>
      <c r="EF817"/>
      <c r="EG817"/>
      <c r="EH817"/>
      <c r="EI817"/>
      <c r="EJ817"/>
      <c r="EK817"/>
      <c r="EL817"/>
      <c r="EM817"/>
      <c r="EN817"/>
      <c r="EO817"/>
      <c r="EP817"/>
      <c r="EQ817"/>
      <c r="ER817"/>
      <c r="ES817"/>
      <c r="ET817"/>
      <c r="EU817"/>
      <c r="EV817"/>
      <c r="EW817"/>
      <c r="EX817"/>
      <c r="EY817"/>
      <c r="EZ817"/>
      <c r="FA817"/>
      <c r="FB817"/>
      <c r="FC817"/>
      <c r="FD817"/>
      <c r="FE817"/>
      <c r="FF817"/>
      <c r="FG817"/>
      <c r="FH817"/>
      <c r="FI817"/>
      <c r="FJ817"/>
      <c r="FK817"/>
      <c r="FL817"/>
      <c r="FM817"/>
      <c r="FN817"/>
      <c r="FO817"/>
      <c r="FP817"/>
      <c r="FQ817"/>
      <c r="FR817"/>
      <c r="FS817"/>
      <c r="FT817"/>
      <c r="FU817"/>
      <c r="FV817"/>
      <c r="FW817"/>
      <c r="FX817"/>
      <c r="FY817"/>
      <c r="FZ817"/>
      <c r="GA817"/>
      <c r="GB817"/>
      <c r="GC817"/>
      <c r="GD817"/>
      <c r="GE817"/>
      <c r="GF817"/>
      <c r="GG817"/>
      <c r="GH817"/>
      <c r="GI817"/>
      <c r="GJ817"/>
      <c r="GK817"/>
      <c r="GL817"/>
      <c r="GM817"/>
      <c r="GN817"/>
      <c r="GO817"/>
      <c r="GP817"/>
      <c r="GQ817"/>
      <c r="GR817"/>
      <c r="GS817"/>
      <c r="GT817"/>
      <c r="GU817"/>
      <c r="GV817"/>
      <c r="GW817"/>
      <c r="GX817"/>
      <c r="GY817"/>
      <c r="GZ817"/>
      <c r="HA817"/>
      <c r="HB817"/>
      <c r="HC817"/>
      <c r="HD817"/>
      <c r="HE817"/>
      <c r="HF817"/>
      <c r="HG817"/>
      <c r="HH817"/>
      <c r="HI817"/>
      <c r="HJ817"/>
      <c r="HK817"/>
      <c r="HL817"/>
      <c r="HM817"/>
      <c r="HN817"/>
      <c r="HO817"/>
      <c r="HP817"/>
      <c r="HQ817"/>
      <c r="HR817"/>
      <c r="HS817"/>
      <c r="HT817"/>
      <c r="HU817"/>
      <c r="HV817"/>
      <c r="HW817"/>
      <c r="HX817"/>
      <c r="HY817"/>
      <c r="HZ817"/>
      <c r="IA817"/>
      <c r="IB817"/>
      <c r="IC817"/>
      <c r="ID817"/>
      <c r="IE817"/>
      <c r="IF817"/>
      <c r="IG817"/>
      <c r="IH817"/>
      <c r="II817"/>
      <c r="IJ817"/>
      <c r="IK817"/>
      <c r="IL817"/>
      <c r="IM817"/>
      <c r="IN817"/>
      <c r="IO817"/>
      <c r="IP817"/>
      <c r="IQ817"/>
      <c r="IR817"/>
      <c r="IS817"/>
      <c r="IT817"/>
      <c r="IU817"/>
      <c r="IV817"/>
      <c r="IW817"/>
      <c r="IX817"/>
    </row>
    <row r="818" spans="1:259" ht="12.75" customHeight="1" x14ac:dyDescent="0.2">
      <c r="A818" s="854"/>
      <c r="B818" s="1806" t="s">
        <v>845</v>
      </c>
      <c r="C818" s="1807">
        <f t="shared" ref="C818:H818" si="173">SUM(C819:C822)</f>
        <v>10750000</v>
      </c>
      <c r="D818" s="2075">
        <f t="shared" si="173"/>
        <v>8050000</v>
      </c>
      <c r="E818" s="2076">
        <f t="shared" si="173"/>
        <v>7050000</v>
      </c>
      <c r="F818" s="1103">
        <f t="shared" si="173"/>
        <v>5906028.8499999996</v>
      </c>
      <c r="G818" s="1303">
        <f t="shared" si="173"/>
        <v>5039646.67</v>
      </c>
      <c r="H818" s="2077">
        <f t="shared" si="173"/>
        <v>4188254.83</v>
      </c>
      <c r="I818" s="1807">
        <f>SUM(I819:I822)</f>
        <v>10050000</v>
      </c>
      <c r="J818" s="1416"/>
      <c r="K818" s="1367"/>
      <c r="L818" s="848"/>
      <c r="M818" s="887"/>
      <c r="N818" s="843"/>
      <c r="O818"/>
      <c r="P818"/>
      <c r="Q818"/>
      <c r="R818"/>
      <c r="S818"/>
      <c r="T818"/>
      <c r="U818"/>
      <c r="V818"/>
      <c r="W818"/>
      <c r="X818"/>
      <c r="Y818"/>
      <c r="Z818"/>
      <c r="AA818"/>
      <c r="AB818"/>
      <c r="AC818"/>
      <c r="AD818"/>
      <c r="AE818"/>
      <c r="AF818"/>
      <c r="AG818"/>
      <c r="AH818"/>
      <c r="AI818"/>
      <c r="AJ818"/>
      <c r="AK818"/>
      <c r="AL818"/>
      <c r="AM818"/>
      <c r="AN818"/>
      <c r="AO818"/>
      <c r="AP818"/>
      <c r="AQ818"/>
      <c r="AR818"/>
      <c r="AS818"/>
      <c r="AT818"/>
      <c r="AU818"/>
      <c r="AV818"/>
      <c r="AW818"/>
      <c r="AX818"/>
      <c r="AY818"/>
      <c r="AZ818"/>
      <c r="BA818"/>
      <c r="BB818"/>
      <c r="BC818"/>
      <c r="BD818"/>
      <c r="BE818"/>
      <c r="BF818"/>
      <c r="BG818"/>
      <c r="BH818"/>
      <c r="BI818"/>
      <c r="BJ818"/>
      <c r="BK818"/>
      <c r="BL818"/>
      <c r="BM818"/>
      <c r="BN818"/>
      <c r="BO818"/>
      <c r="BP818"/>
      <c r="BQ818"/>
      <c r="BR818"/>
      <c r="BS818"/>
      <c r="BT818"/>
      <c r="BU818"/>
      <c r="BV818"/>
      <c r="BW818"/>
      <c r="BX818"/>
      <c r="BY818"/>
      <c r="BZ818"/>
      <c r="CA818"/>
      <c r="CB818"/>
      <c r="CC818"/>
      <c r="CD818"/>
      <c r="CE818"/>
      <c r="CF818"/>
      <c r="CG818"/>
      <c r="CH818"/>
      <c r="CI818"/>
      <c r="CJ818"/>
      <c r="CK818"/>
      <c r="CL818"/>
      <c r="CM818"/>
      <c r="CN818"/>
      <c r="CO818"/>
      <c r="CP818"/>
      <c r="CQ818"/>
      <c r="CR818"/>
      <c r="CS818"/>
      <c r="CT818"/>
      <c r="CU818"/>
      <c r="CV818"/>
      <c r="CW818"/>
      <c r="CX818"/>
      <c r="CY818"/>
      <c r="CZ818"/>
      <c r="DA818"/>
      <c r="DB818"/>
      <c r="DC818"/>
      <c r="DD818"/>
      <c r="DE818"/>
      <c r="DF818"/>
      <c r="DG818"/>
      <c r="DH818"/>
      <c r="DI818"/>
      <c r="DJ818"/>
      <c r="DK818"/>
      <c r="DL818"/>
      <c r="DM818"/>
      <c r="DN818"/>
      <c r="DO818"/>
      <c r="DP818"/>
      <c r="DQ818"/>
      <c r="DR818"/>
      <c r="DS818"/>
      <c r="DT818"/>
      <c r="DU818"/>
      <c r="DV818"/>
      <c r="DW818"/>
      <c r="DX818"/>
      <c r="DY818"/>
      <c r="DZ818"/>
      <c r="EA818"/>
      <c r="EB818"/>
      <c r="EC818"/>
      <c r="ED818"/>
      <c r="EE818"/>
      <c r="EF818"/>
      <c r="EG818"/>
      <c r="EH818"/>
      <c r="EI818"/>
      <c r="EJ818"/>
      <c r="EK818"/>
      <c r="EL818"/>
      <c r="EM818"/>
      <c r="EN818"/>
      <c r="EO818"/>
      <c r="EP818"/>
      <c r="EQ818"/>
      <c r="ER818"/>
      <c r="ES818"/>
      <c r="ET818"/>
      <c r="EU818"/>
      <c r="EV818"/>
      <c r="EW818"/>
      <c r="EX818"/>
      <c r="EY818"/>
      <c r="EZ818"/>
      <c r="FA818"/>
      <c r="FB818"/>
      <c r="FC818"/>
      <c r="FD818"/>
      <c r="FE818"/>
      <c r="FF818"/>
      <c r="FG818"/>
      <c r="FH818"/>
      <c r="FI818"/>
      <c r="FJ818"/>
      <c r="FK818"/>
      <c r="FL818"/>
      <c r="FM818"/>
      <c r="FN818"/>
      <c r="FO818"/>
      <c r="FP818"/>
      <c r="FQ818"/>
      <c r="FR818"/>
      <c r="FS818"/>
      <c r="FT818"/>
      <c r="FU818"/>
      <c r="FV818"/>
      <c r="FW818"/>
      <c r="FX818"/>
      <c r="FY818"/>
      <c r="FZ818"/>
      <c r="GA818"/>
      <c r="GB818"/>
      <c r="GC818"/>
      <c r="GD818"/>
      <c r="GE818"/>
      <c r="GF818"/>
      <c r="GG818"/>
      <c r="GH818"/>
      <c r="GI818"/>
      <c r="GJ818"/>
      <c r="GK818"/>
      <c r="GL818"/>
      <c r="GM818"/>
      <c r="GN818"/>
      <c r="GO818"/>
      <c r="GP818"/>
      <c r="GQ818"/>
      <c r="GR818"/>
      <c r="GS818"/>
      <c r="GT818"/>
      <c r="GU818"/>
      <c r="GV818"/>
      <c r="GW818"/>
      <c r="GX818"/>
      <c r="GY818"/>
      <c r="GZ818"/>
      <c r="HA818"/>
      <c r="HB818"/>
      <c r="HC818"/>
      <c r="HD818"/>
      <c r="HE818"/>
      <c r="HF818"/>
      <c r="HG818"/>
      <c r="HH818"/>
      <c r="HI818"/>
      <c r="HJ818"/>
      <c r="HK818"/>
      <c r="HL818"/>
      <c r="HM818"/>
      <c r="HN818"/>
      <c r="HO818"/>
      <c r="HP818"/>
      <c r="HQ818"/>
      <c r="HR818"/>
      <c r="HS818"/>
      <c r="HT818"/>
      <c r="HU818"/>
      <c r="HV818"/>
      <c r="HW818"/>
      <c r="HX818"/>
      <c r="HY818"/>
      <c r="HZ818"/>
      <c r="IA818"/>
      <c r="IB818"/>
      <c r="IC818"/>
      <c r="ID818"/>
      <c r="IE818"/>
      <c r="IF818"/>
      <c r="IG818"/>
      <c r="IH818"/>
      <c r="II818"/>
      <c r="IJ818"/>
      <c r="IK818"/>
      <c r="IL818"/>
      <c r="IM818"/>
      <c r="IN818"/>
      <c r="IO818"/>
      <c r="IP818"/>
      <c r="IQ818"/>
      <c r="IR818"/>
      <c r="IS818"/>
      <c r="IT818"/>
      <c r="IU818"/>
      <c r="IV818"/>
      <c r="IW818"/>
      <c r="IX818"/>
    </row>
    <row r="819" spans="1:259" ht="12.75" customHeight="1" x14ac:dyDescent="0.2">
      <c r="A819" s="851"/>
      <c r="B819" s="1553" t="s">
        <v>1467</v>
      </c>
      <c r="C819" s="1049">
        <v>5750000</v>
      </c>
      <c r="D819" s="708">
        <f>5750000-700000</f>
        <v>5050000</v>
      </c>
      <c r="E819" s="863">
        <f>5750000-700000</f>
        <v>5050000</v>
      </c>
      <c r="F819" s="1103">
        <v>4939526.8499999996</v>
      </c>
      <c r="G819" s="1303">
        <v>4039043.32</v>
      </c>
      <c r="H819" s="1627">
        <v>3451794.83</v>
      </c>
      <c r="I819" s="1049">
        <v>5750000</v>
      </c>
      <c r="J819" s="718">
        <f t="shared" ref="J819:K819" si="174">J820+J827</f>
        <v>0</v>
      </c>
      <c r="K819" s="884">
        <f t="shared" si="174"/>
        <v>0</v>
      </c>
      <c r="L819" s="848"/>
      <c r="M819" s="887"/>
      <c r="N819" s="843"/>
      <c r="O819"/>
      <c r="P819"/>
      <c r="Q819"/>
      <c r="R819"/>
      <c r="S819"/>
      <c r="T819"/>
      <c r="U819"/>
      <c r="V819"/>
      <c r="W819"/>
      <c r="X819"/>
      <c r="Y819"/>
      <c r="Z819"/>
      <c r="AA819"/>
      <c r="AB819"/>
      <c r="AC819"/>
      <c r="AD819"/>
      <c r="AE819"/>
      <c r="AF819"/>
      <c r="AG819"/>
      <c r="AH819"/>
      <c r="AI819"/>
      <c r="AJ819"/>
      <c r="AK819"/>
      <c r="AL819"/>
      <c r="AM819"/>
      <c r="AN819"/>
      <c r="AO819"/>
      <c r="AP819"/>
      <c r="AQ819"/>
      <c r="AR819"/>
      <c r="AS819"/>
      <c r="AT819"/>
      <c r="AU819"/>
      <c r="AV819"/>
      <c r="AW819"/>
      <c r="AX819"/>
      <c r="AY819"/>
      <c r="AZ819"/>
      <c r="BA819"/>
      <c r="BB819"/>
      <c r="BC819"/>
      <c r="BD819"/>
      <c r="BE819"/>
      <c r="BF819"/>
      <c r="BG819"/>
      <c r="BH819"/>
      <c r="BI819"/>
      <c r="BJ819"/>
      <c r="BK819"/>
      <c r="BL819"/>
      <c r="BM819"/>
      <c r="BN819"/>
      <c r="BO819"/>
      <c r="BP819"/>
      <c r="BQ819"/>
      <c r="BR819"/>
      <c r="BS819"/>
      <c r="BT819"/>
      <c r="BU819"/>
      <c r="BV819"/>
      <c r="BW819"/>
      <c r="BX819"/>
      <c r="BY819"/>
      <c r="BZ819"/>
      <c r="CA819"/>
      <c r="CB819"/>
      <c r="CC819"/>
      <c r="CD819"/>
      <c r="CE819"/>
      <c r="CF819"/>
      <c r="CG819"/>
      <c r="CH819"/>
      <c r="CI819"/>
      <c r="CJ819"/>
      <c r="CK819"/>
      <c r="CL819"/>
      <c r="CM819"/>
      <c r="CN819"/>
      <c r="CO819"/>
      <c r="CP819"/>
      <c r="CQ819"/>
      <c r="CR819"/>
      <c r="CS819"/>
      <c r="CT819"/>
      <c r="CU819"/>
      <c r="CV819"/>
      <c r="CW819"/>
      <c r="CX819"/>
      <c r="CY819"/>
      <c r="CZ819"/>
      <c r="DA819"/>
      <c r="DB819"/>
      <c r="DC819"/>
      <c r="DD819"/>
      <c r="DE819"/>
      <c r="DF819"/>
      <c r="DG819"/>
      <c r="DH819"/>
      <c r="DI819"/>
      <c r="DJ819"/>
      <c r="DK819"/>
      <c r="DL819"/>
      <c r="DM819"/>
      <c r="DN819"/>
      <c r="DO819"/>
      <c r="DP819"/>
      <c r="DQ819"/>
      <c r="DR819"/>
      <c r="DS819"/>
      <c r="DT819"/>
      <c r="DU819"/>
      <c r="DV819"/>
      <c r="DW819"/>
      <c r="DX819"/>
      <c r="DY819"/>
      <c r="DZ819"/>
      <c r="EA819"/>
      <c r="EB819"/>
      <c r="EC819"/>
      <c r="ED819"/>
      <c r="EE819"/>
      <c r="EF819"/>
      <c r="EG819"/>
      <c r="EH819"/>
      <c r="EI819"/>
      <c r="EJ819"/>
      <c r="EK819"/>
      <c r="EL819"/>
      <c r="EM819"/>
      <c r="EN819"/>
      <c r="EO819"/>
      <c r="EP819"/>
      <c r="EQ819"/>
      <c r="ER819"/>
      <c r="ES819"/>
      <c r="ET819"/>
      <c r="EU819"/>
      <c r="EV819"/>
      <c r="EW819"/>
      <c r="EX819"/>
      <c r="EY819"/>
      <c r="EZ819"/>
      <c r="FA819"/>
      <c r="FB819"/>
      <c r="FC819"/>
      <c r="FD819"/>
      <c r="FE819"/>
      <c r="FF819"/>
      <c r="FG819"/>
      <c r="FH819"/>
      <c r="FI819"/>
      <c r="FJ819"/>
      <c r="FK819"/>
      <c r="FL819"/>
      <c r="FM819"/>
      <c r="FN819"/>
      <c r="FO819"/>
      <c r="FP819"/>
      <c r="FQ819"/>
      <c r="FR819"/>
      <c r="FS819"/>
      <c r="FT819"/>
      <c r="FU819"/>
      <c r="FV819"/>
      <c r="FW819"/>
      <c r="FX819"/>
      <c r="FY819"/>
      <c r="FZ819"/>
      <c r="GA819"/>
      <c r="GB819"/>
      <c r="GC819"/>
      <c r="GD819"/>
      <c r="GE819"/>
      <c r="GF819"/>
      <c r="GG819"/>
      <c r="GH819"/>
      <c r="GI819"/>
      <c r="GJ819"/>
      <c r="GK819"/>
      <c r="GL819"/>
      <c r="GM819"/>
      <c r="GN819"/>
      <c r="GO819"/>
      <c r="GP819"/>
      <c r="GQ819"/>
      <c r="GR819"/>
      <c r="GS819"/>
      <c r="GT819"/>
      <c r="GU819"/>
      <c r="GV819"/>
      <c r="GW819"/>
      <c r="GX819"/>
      <c r="GY819"/>
      <c r="GZ819"/>
      <c r="HA819"/>
      <c r="HB819"/>
      <c r="HC819"/>
      <c r="HD819"/>
      <c r="HE819"/>
      <c r="HF819"/>
      <c r="HG819"/>
      <c r="HH819"/>
      <c r="HI819"/>
      <c r="HJ819"/>
      <c r="HK819"/>
      <c r="HL819"/>
      <c r="HM819"/>
      <c r="HN819"/>
      <c r="HO819"/>
      <c r="HP819"/>
      <c r="HQ819"/>
      <c r="HR819"/>
      <c r="HS819"/>
      <c r="HT819"/>
      <c r="HU819"/>
      <c r="HV819"/>
      <c r="HW819"/>
      <c r="HX819"/>
      <c r="HY819"/>
      <c r="HZ819"/>
      <c r="IA819"/>
      <c r="IB819"/>
      <c r="IC819"/>
      <c r="ID819"/>
      <c r="IE819"/>
      <c r="IF819"/>
      <c r="IG819"/>
      <c r="IH819"/>
      <c r="II819"/>
      <c r="IJ819"/>
      <c r="IK819"/>
      <c r="IL819"/>
      <c r="IM819"/>
      <c r="IN819"/>
      <c r="IO819"/>
      <c r="IP819"/>
      <c r="IQ819"/>
      <c r="IR819"/>
      <c r="IS819"/>
      <c r="IT819"/>
      <c r="IU819"/>
      <c r="IV819"/>
      <c r="IW819"/>
      <c r="IX819"/>
    </row>
    <row r="820" spans="1:259" ht="12.75" customHeight="1" x14ac:dyDescent="0.2">
      <c r="A820" s="851"/>
      <c r="B820" s="1553" t="s">
        <v>1468</v>
      </c>
      <c r="C820" s="1110">
        <v>1000000</v>
      </c>
      <c r="D820" s="1103">
        <v>1000000</v>
      </c>
      <c r="E820" s="2078">
        <v>0</v>
      </c>
      <c r="F820" s="1103">
        <v>0</v>
      </c>
      <c r="G820" s="1303">
        <v>0</v>
      </c>
      <c r="H820" s="1627">
        <v>0</v>
      </c>
      <c r="I820" s="1110">
        <v>500000</v>
      </c>
      <c r="J820" s="852">
        <f t="shared" ref="J820:K820" si="175">J821+J822+J823+J824+J825+J826</f>
        <v>0</v>
      </c>
      <c r="K820" s="1365">
        <f t="shared" si="175"/>
        <v>0</v>
      </c>
      <c r="L820" s="848"/>
      <c r="M820" s="887"/>
      <c r="N820" s="843"/>
      <c r="O820"/>
      <c r="P820"/>
      <c r="Q820"/>
      <c r="R820"/>
      <c r="S820"/>
      <c r="T820"/>
      <c r="U820"/>
      <c r="V820"/>
      <c r="W820"/>
      <c r="X820"/>
      <c r="Y820"/>
      <c r="Z820"/>
      <c r="AA820"/>
      <c r="AB820"/>
      <c r="AC820"/>
      <c r="AD820"/>
      <c r="AE820"/>
      <c r="AF820"/>
      <c r="AG820"/>
      <c r="AH820"/>
      <c r="AI820"/>
      <c r="AJ820"/>
      <c r="AK820"/>
      <c r="AL820"/>
      <c r="AM820"/>
      <c r="AN820"/>
      <c r="AO820"/>
      <c r="AP820"/>
      <c r="AQ820"/>
      <c r="AR820"/>
      <c r="AS820"/>
      <c r="AT820"/>
      <c r="AU820"/>
      <c r="AV820"/>
      <c r="AW820"/>
      <c r="AX820"/>
      <c r="AY820"/>
      <c r="AZ820"/>
      <c r="BA820"/>
      <c r="BB820"/>
      <c r="BC820"/>
      <c r="BD820"/>
      <c r="BE820"/>
      <c r="BF820"/>
      <c r="BG820"/>
      <c r="BH820"/>
      <c r="BI820"/>
      <c r="BJ820"/>
      <c r="BK820"/>
      <c r="BL820"/>
      <c r="BM820"/>
      <c r="BN820"/>
      <c r="BO820"/>
      <c r="BP820"/>
      <c r="BQ820"/>
      <c r="BR820"/>
      <c r="BS820"/>
      <c r="BT820"/>
      <c r="BU820"/>
      <c r="BV820"/>
      <c r="BW820"/>
      <c r="BX820"/>
      <c r="BY820"/>
      <c r="BZ820"/>
      <c r="CA820"/>
      <c r="CB820"/>
      <c r="CC820"/>
      <c r="CD820"/>
      <c r="CE820"/>
      <c r="CF820"/>
      <c r="CG820"/>
      <c r="CH820"/>
      <c r="CI820"/>
      <c r="CJ820"/>
      <c r="CK820"/>
      <c r="CL820"/>
      <c r="CM820"/>
      <c r="CN820"/>
      <c r="CO820"/>
      <c r="CP820"/>
      <c r="CQ820"/>
      <c r="CR820"/>
      <c r="CS820"/>
      <c r="CT820"/>
      <c r="CU820"/>
      <c r="CV820"/>
      <c r="CW820"/>
      <c r="CX820"/>
      <c r="CY820"/>
      <c r="CZ820"/>
      <c r="DA820"/>
      <c r="DB820"/>
      <c r="DC820"/>
      <c r="DD820"/>
      <c r="DE820"/>
      <c r="DF820"/>
      <c r="DG820"/>
      <c r="DH820"/>
      <c r="DI820"/>
      <c r="DJ820"/>
      <c r="DK820"/>
      <c r="DL820"/>
      <c r="DM820"/>
      <c r="DN820"/>
      <c r="DO820"/>
      <c r="DP820"/>
      <c r="DQ820"/>
      <c r="DR820"/>
      <c r="DS820"/>
      <c r="DT820"/>
      <c r="DU820"/>
      <c r="DV820"/>
      <c r="DW820"/>
      <c r="DX820"/>
      <c r="DY820"/>
      <c r="DZ820"/>
      <c r="EA820"/>
      <c r="EB820"/>
      <c r="EC820"/>
      <c r="ED820"/>
      <c r="EE820"/>
      <c r="EF820"/>
      <c r="EG820"/>
      <c r="EH820"/>
      <c r="EI820"/>
      <c r="EJ820"/>
      <c r="EK820"/>
      <c r="EL820"/>
      <c r="EM820"/>
      <c r="EN820"/>
      <c r="EO820"/>
      <c r="EP820"/>
      <c r="EQ820"/>
      <c r="ER820"/>
      <c r="ES820"/>
      <c r="ET820"/>
      <c r="EU820"/>
      <c r="EV820"/>
      <c r="EW820"/>
      <c r="EX820"/>
      <c r="EY820"/>
      <c r="EZ820"/>
      <c r="FA820"/>
      <c r="FB820"/>
      <c r="FC820"/>
      <c r="FD820"/>
      <c r="FE820"/>
      <c r="FF820"/>
      <c r="FG820"/>
      <c r="FH820"/>
      <c r="FI820"/>
      <c r="FJ820"/>
      <c r="FK820"/>
      <c r="FL820"/>
      <c r="FM820"/>
      <c r="FN820"/>
      <c r="FO820"/>
      <c r="FP820"/>
      <c r="FQ820"/>
      <c r="FR820"/>
      <c r="FS820"/>
      <c r="FT820"/>
      <c r="FU820"/>
      <c r="FV820"/>
      <c r="FW820"/>
      <c r="FX820"/>
      <c r="FY820"/>
      <c r="FZ820"/>
      <c r="GA820"/>
      <c r="GB820"/>
      <c r="GC820"/>
      <c r="GD820"/>
      <c r="GE820"/>
      <c r="GF820"/>
      <c r="GG820"/>
      <c r="GH820"/>
      <c r="GI820"/>
      <c r="GJ820"/>
      <c r="GK820"/>
      <c r="GL820"/>
      <c r="GM820"/>
      <c r="GN820"/>
      <c r="GO820"/>
      <c r="GP820"/>
      <c r="GQ820"/>
      <c r="GR820"/>
      <c r="GS820"/>
      <c r="GT820"/>
      <c r="GU820"/>
      <c r="GV820"/>
      <c r="GW820"/>
      <c r="GX820"/>
      <c r="GY820"/>
      <c r="GZ820"/>
      <c r="HA820"/>
      <c r="HB820"/>
      <c r="HC820"/>
      <c r="HD820"/>
      <c r="HE820"/>
      <c r="HF820"/>
      <c r="HG820"/>
      <c r="HH820"/>
      <c r="HI820"/>
      <c r="HJ820"/>
      <c r="HK820"/>
      <c r="HL820"/>
      <c r="HM820"/>
      <c r="HN820"/>
      <c r="HO820"/>
      <c r="HP820"/>
      <c r="HQ820"/>
      <c r="HR820"/>
      <c r="HS820"/>
      <c r="HT820"/>
      <c r="HU820"/>
      <c r="HV820"/>
      <c r="HW820"/>
      <c r="HX820"/>
      <c r="HY820"/>
      <c r="HZ820"/>
      <c r="IA820"/>
      <c r="IB820"/>
      <c r="IC820"/>
      <c r="ID820"/>
      <c r="IE820"/>
      <c r="IF820"/>
      <c r="IG820"/>
      <c r="IH820"/>
      <c r="II820"/>
      <c r="IJ820"/>
      <c r="IK820"/>
      <c r="IL820"/>
      <c r="IM820"/>
      <c r="IN820"/>
      <c r="IO820"/>
      <c r="IP820"/>
      <c r="IQ820"/>
      <c r="IR820"/>
      <c r="IS820"/>
      <c r="IT820"/>
      <c r="IU820"/>
      <c r="IV820"/>
      <c r="IW820"/>
      <c r="IX820"/>
    </row>
    <row r="821" spans="1:259" ht="12.75" customHeight="1" x14ac:dyDescent="0.2">
      <c r="A821" s="851"/>
      <c r="B821" s="1553" t="s">
        <v>1127</v>
      </c>
      <c r="C821" s="1110">
        <v>2000000</v>
      </c>
      <c r="D821" s="1103">
        <v>2000000</v>
      </c>
      <c r="E821" s="2078">
        <v>2000000</v>
      </c>
      <c r="F821" s="1103">
        <v>966502</v>
      </c>
      <c r="G821" s="1303">
        <v>1000603.35</v>
      </c>
      <c r="H821" s="1627">
        <v>736460</v>
      </c>
      <c r="I821" s="1110">
        <v>1800000</v>
      </c>
      <c r="J821" s="1416"/>
      <c r="K821" s="1367"/>
      <c r="L821" s="848"/>
      <c r="M821" s="887"/>
      <c r="N821" s="843"/>
      <c r="O821"/>
      <c r="P821"/>
      <c r="Q821"/>
      <c r="R821"/>
      <c r="S821"/>
      <c r="T821"/>
      <c r="U821"/>
      <c r="V821"/>
      <c r="W821"/>
      <c r="X821"/>
      <c r="Y821"/>
      <c r="Z821"/>
      <c r="AA821"/>
      <c r="AB821"/>
      <c r="AC821"/>
      <c r="AD821"/>
      <c r="AE821"/>
      <c r="AF821"/>
      <c r="AG821"/>
      <c r="AH821"/>
      <c r="AI821"/>
      <c r="AJ821"/>
      <c r="AK821"/>
      <c r="AL821"/>
      <c r="AM821"/>
      <c r="AN821"/>
      <c r="AO821"/>
      <c r="AP821"/>
      <c r="AQ821"/>
      <c r="AR821"/>
      <c r="AS821"/>
      <c r="AT821"/>
      <c r="AU821"/>
      <c r="AV821"/>
      <c r="AW821"/>
      <c r="AX821"/>
      <c r="AY821"/>
      <c r="AZ821"/>
      <c r="BA821"/>
      <c r="BB821"/>
      <c r="BC821"/>
      <c r="BD821"/>
      <c r="BE821"/>
      <c r="BF821"/>
      <c r="BG821"/>
      <c r="BH821"/>
      <c r="BI821"/>
      <c r="BJ821"/>
      <c r="BK821"/>
      <c r="BL821"/>
      <c r="BM821"/>
      <c r="BN821"/>
      <c r="BO821"/>
      <c r="BP821"/>
      <c r="BQ821"/>
      <c r="BR821"/>
      <c r="BS821"/>
      <c r="BT821"/>
      <c r="BU821"/>
      <c r="BV821"/>
      <c r="BW821"/>
      <c r="BX821"/>
      <c r="BY821"/>
      <c r="BZ821"/>
      <c r="CA821"/>
      <c r="CB821"/>
      <c r="CC821"/>
      <c r="CD821"/>
      <c r="CE821"/>
      <c r="CF821"/>
      <c r="CG821"/>
      <c r="CH821"/>
      <c r="CI821"/>
      <c r="CJ821"/>
      <c r="CK821"/>
      <c r="CL821"/>
      <c r="CM821"/>
      <c r="CN821"/>
      <c r="CO821"/>
      <c r="CP821"/>
      <c r="CQ821"/>
      <c r="CR821"/>
      <c r="CS821"/>
      <c r="CT821"/>
      <c r="CU821"/>
      <c r="CV821"/>
      <c r="CW821"/>
      <c r="CX821"/>
      <c r="CY821"/>
      <c r="CZ821"/>
      <c r="DA821"/>
      <c r="DB821"/>
      <c r="DC821"/>
      <c r="DD821"/>
      <c r="DE821"/>
      <c r="DF821"/>
      <c r="DG821"/>
      <c r="DH821"/>
      <c r="DI821"/>
      <c r="DJ821"/>
      <c r="DK821"/>
      <c r="DL821"/>
      <c r="DM821"/>
      <c r="DN821"/>
      <c r="DO821"/>
      <c r="DP821"/>
      <c r="DQ821"/>
      <c r="DR821"/>
      <c r="DS821"/>
      <c r="DT821"/>
      <c r="DU821"/>
      <c r="DV821"/>
      <c r="DW821"/>
      <c r="DX821"/>
      <c r="DY821"/>
      <c r="DZ821"/>
      <c r="EA821"/>
      <c r="EB821"/>
      <c r="EC821"/>
      <c r="ED821"/>
      <c r="EE821"/>
      <c r="EF821"/>
      <c r="EG821"/>
      <c r="EH821"/>
      <c r="EI821"/>
      <c r="EJ821"/>
      <c r="EK821"/>
      <c r="EL821"/>
      <c r="EM821"/>
      <c r="EN821"/>
      <c r="EO821"/>
      <c r="EP821"/>
      <c r="EQ821"/>
      <c r="ER821"/>
      <c r="ES821"/>
      <c r="ET821"/>
      <c r="EU821"/>
      <c r="EV821"/>
      <c r="EW821"/>
      <c r="EX821"/>
      <c r="EY821"/>
      <c r="EZ821"/>
      <c r="FA821"/>
      <c r="FB821"/>
      <c r="FC821"/>
      <c r="FD821"/>
      <c r="FE821"/>
      <c r="FF821"/>
      <c r="FG821"/>
      <c r="FH821"/>
      <c r="FI821"/>
      <c r="FJ821"/>
      <c r="FK821"/>
      <c r="FL821"/>
      <c r="FM821"/>
      <c r="FN821"/>
      <c r="FO821"/>
      <c r="FP821"/>
      <c r="FQ821"/>
      <c r="FR821"/>
      <c r="FS821"/>
      <c r="FT821"/>
      <c r="FU821"/>
      <c r="FV821"/>
      <c r="FW821"/>
      <c r="FX821"/>
      <c r="FY821"/>
      <c r="FZ821"/>
      <c r="GA821"/>
      <c r="GB821"/>
      <c r="GC821"/>
      <c r="GD821"/>
      <c r="GE821"/>
      <c r="GF821"/>
      <c r="GG821"/>
      <c r="GH821"/>
      <c r="GI821"/>
      <c r="GJ821"/>
      <c r="GK821"/>
      <c r="GL821"/>
      <c r="GM821"/>
      <c r="GN821"/>
      <c r="GO821"/>
      <c r="GP821"/>
      <c r="GQ821"/>
      <c r="GR821"/>
      <c r="GS821"/>
      <c r="GT821"/>
      <c r="GU821"/>
      <c r="GV821"/>
      <c r="GW821"/>
      <c r="GX821"/>
      <c r="GY821"/>
      <c r="GZ821"/>
      <c r="HA821"/>
      <c r="HB821"/>
      <c r="HC821"/>
      <c r="HD821"/>
      <c r="HE821"/>
      <c r="HF821"/>
      <c r="HG821"/>
      <c r="HH821"/>
      <c r="HI821"/>
      <c r="HJ821"/>
      <c r="HK821"/>
      <c r="HL821"/>
      <c r="HM821"/>
      <c r="HN821"/>
      <c r="HO821"/>
      <c r="HP821"/>
      <c r="HQ821"/>
      <c r="HR821"/>
      <c r="HS821"/>
      <c r="HT821"/>
      <c r="HU821"/>
      <c r="HV821"/>
      <c r="HW821"/>
      <c r="HX821"/>
      <c r="HY821"/>
      <c r="HZ821"/>
      <c r="IA821"/>
      <c r="IB821"/>
      <c r="IC821"/>
      <c r="ID821"/>
      <c r="IE821"/>
      <c r="IF821"/>
      <c r="IG821"/>
      <c r="IH821"/>
      <c r="II821"/>
      <c r="IJ821"/>
      <c r="IK821"/>
      <c r="IL821"/>
      <c r="IM821"/>
      <c r="IN821"/>
      <c r="IO821"/>
      <c r="IP821"/>
      <c r="IQ821"/>
      <c r="IR821"/>
      <c r="IS821"/>
      <c r="IT821"/>
      <c r="IU821"/>
      <c r="IV821"/>
      <c r="IW821"/>
      <c r="IX821"/>
    </row>
    <row r="822" spans="1:259" ht="12.75" customHeight="1" x14ac:dyDescent="0.2">
      <c r="A822" s="851"/>
      <c r="B822" s="1553" t="s">
        <v>1469</v>
      </c>
      <c r="C822" s="1110">
        <v>2000000</v>
      </c>
      <c r="D822" s="1103">
        <f>2000000-1500000-500000</f>
        <v>0</v>
      </c>
      <c r="E822" s="2078">
        <f>2000000-1500000-500000</f>
        <v>0</v>
      </c>
      <c r="F822" s="1103">
        <v>0</v>
      </c>
      <c r="G822" s="1103">
        <v>0</v>
      </c>
      <c r="H822" s="1627">
        <v>0</v>
      </c>
      <c r="I822" s="1110">
        <v>2000000</v>
      </c>
      <c r="J822" s="1416"/>
      <c r="K822" s="1367"/>
      <c r="L822" s="848"/>
      <c r="M822" s="887"/>
      <c r="N822" s="843"/>
      <c r="O822"/>
      <c r="P822"/>
      <c r="Q822"/>
      <c r="R822"/>
      <c r="S822"/>
      <c r="T822"/>
      <c r="U822"/>
      <c r="V822"/>
      <c r="W822"/>
      <c r="X822"/>
      <c r="Y822"/>
      <c r="Z822"/>
      <c r="AA822"/>
      <c r="AB822"/>
      <c r="AC822"/>
      <c r="AD822"/>
      <c r="AE822"/>
      <c r="AF822"/>
      <c r="AG822"/>
      <c r="AH822"/>
      <c r="AI822"/>
      <c r="AJ822"/>
      <c r="AK822"/>
      <c r="AL822"/>
      <c r="AM822"/>
      <c r="AN822"/>
      <c r="AO822"/>
      <c r="AP822"/>
      <c r="AQ822"/>
      <c r="AR822"/>
      <c r="AS822"/>
      <c r="AT822"/>
      <c r="AU822"/>
      <c r="AV822"/>
      <c r="AW822"/>
      <c r="AX822"/>
      <c r="AY822"/>
      <c r="AZ822"/>
      <c r="BA822"/>
      <c r="BB822"/>
      <c r="BC822"/>
      <c r="BD822"/>
      <c r="BE822"/>
      <c r="BF822"/>
      <c r="BG822"/>
      <c r="BH822"/>
      <c r="BI822"/>
      <c r="BJ822"/>
      <c r="BK822"/>
      <c r="BL822"/>
      <c r="BM822"/>
      <c r="BN822"/>
      <c r="BO822"/>
      <c r="BP822"/>
      <c r="BQ822"/>
      <c r="BR822"/>
      <c r="BS822"/>
      <c r="BT822"/>
      <c r="BU822"/>
      <c r="BV822"/>
      <c r="BW822"/>
      <c r="BX822"/>
      <c r="BY822"/>
      <c r="BZ822"/>
      <c r="CA822"/>
      <c r="CB822"/>
      <c r="CC822"/>
      <c r="CD822"/>
      <c r="CE822"/>
      <c r="CF822"/>
      <c r="CG822"/>
      <c r="CH822"/>
      <c r="CI822"/>
      <c r="CJ822"/>
      <c r="CK822"/>
      <c r="CL822"/>
      <c r="CM822"/>
      <c r="CN822"/>
      <c r="CO822"/>
      <c r="CP822"/>
      <c r="CQ822"/>
      <c r="CR822"/>
      <c r="CS822"/>
      <c r="CT822"/>
      <c r="CU822"/>
      <c r="CV822"/>
      <c r="CW822"/>
      <c r="CX822"/>
      <c r="CY822"/>
      <c r="CZ822"/>
      <c r="DA822"/>
      <c r="DB822"/>
      <c r="DC822"/>
      <c r="DD822"/>
      <c r="DE822"/>
      <c r="DF822"/>
      <c r="DG822"/>
      <c r="DH822"/>
      <c r="DI822"/>
      <c r="DJ822"/>
      <c r="DK822"/>
      <c r="DL822"/>
      <c r="DM822"/>
      <c r="DN822"/>
      <c r="DO822"/>
      <c r="DP822"/>
      <c r="DQ822"/>
      <c r="DR822"/>
      <c r="DS822"/>
      <c r="DT822"/>
      <c r="DU822"/>
      <c r="DV822"/>
      <c r="DW822"/>
      <c r="DX822"/>
      <c r="DY822"/>
      <c r="DZ822"/>
      <c r="EA822"/>
      <c r="EB822"/>
      <c r="EC822"/>
      <c r="ED822"/>
      <c r="EE822"/>
      <c r="EF822"/>
      <c r="EG822"/>
      <c r="EH822"/>
      <c r="EI822"/>
      <c r="EJ822"/>
      <c r="EK822"/>
      <c r="EL822"/>
      <c r="EM822"/>
      <c r="EN822"/>
      <c r="EO822"/>
      <c r="EP822"/>
      <c r="EQ822"/>
      <c r="ER822"/>
      <c r="ES822"/>
      <c r="ET822"/>
      <c r="EU822"/>
      <c r="EV822"/>
      <c r="EW822"/>
      <c r="EX822"/>
      <c r="EY822"/>
      <c r="EZ822"/>
      <c r="FA822"/>
      <c r="FB822"/>
      <c r="FC822"/>
      <c r="FD822"/>
      <c r="FE822"/>
      <c r="FF822"/>
      <c r="FG822"/>
      <c r="FH822"/>
      <c r="FI822"/>
      <c r="FJ822"/>
      <c r="FK822"/>
      <c r="FL822"/>
      <c r="FM822"/>
      <c r="FN822"/>
      <c r="FO822"/>
      <c r="FP822"/>
      <c r="FQ822"/>
      <c r="FR822"/>
      <c r="FS822"/>
      <c r="FT822"/>
      <c r="FU822"/>
      <c r="FV822"/>
      <c r="FW822"/>
      <c r="FX822"/>
      <c r="FY822"/>
      <c r="FZ822"/>
      <c r="GA822"/>
      <c r="GB822"/>
      <c r="GC822"/>
      <c r="GD822"/>
      <c r="GE822"/>
      <c r="GF822"/>
      <c r="GG822"/>
      <c r="GH822"/>
      <c r="GI822"/>
      <c r="GJ822"/>
      <c r="GK822"/>
      <c r="GL822"/>
      <c r="GM822"/>
      <c r="GN822"/>
      <c r="GO822"/>
      <c r="GP822"/>
      <c r="GQ822"/>
      <c r="GR822"/>
      <c r="GS822"/>
      <c r="GT822"/>
      <c r="GU822"/>
      <c r="GV822"/>
      <c r="GW822"/>
      <c r="GX822"/>
      <c r="GY822"/>
      <c r="GZ822"/>
      <c r="HA822"/>
      <c r="HB822"/>
      <c r="HC822"/>
      <c r="HD822"/>
      <c r="HE822"/>
      <c r="HF822"/>
      <c r="HG822"/>
      <c r="HH822"/>
      <c r="HI822"/>
      <c r="HJ822"/>
      <c r="HK822"/>
      <c r="HL822"/>
      <c r="HM822"/>
      <c r="HN822"/>
      <c r="HO822"/>
      <c r="HP822"/>
      <c r="HQ822"/>
      <c r="HR822"/>
      <c r="HS822"/>
      <c r="HT822"/>
      <c r="HU822"/>
      <c r="HV822"/>
      <c r="HW822"/>
      <c r="HX822"/>
      <c r="HY822"/>
      <c r="HZ822"/>
      <c r="IA822"/>
      <c r="IB822"/>
      <c r="IC822"/>
      <c r="ID822"/>
      <c r="IE822"/>
      <c r="IF822"/>
      <c r="IG822"/>
      <c r="IH822"/>
      <c r="II822"/>
      <c r="IJ822"/>
      <c r="IK822"/>
      <c r="IL822"/>
      <c r="IM822"/>
      <c r="IN822"/>
      <c r="IO822"/>
      <c r="IP822"/>
      <c r="IQ822"/>
      <c r="IR822"/>
      <c r="IS822"/>
      <c r="IT822"/>
      <c r="IU822"/>
      <c r="IV822"/>
      <c r="IW822"/>
      <c r="IX822"/>
    </row>
    <row r="823" spans="1:259" ht="12.75" customHeight="1" x14ac:dyDescent="0.2">
      <c r="A823" s="851"/>
      <c r="B823" s="1808" t="s">
        <v>1470</v>
      </c>
      <c r="C823" s="1809">
        <f>SUM(C824:C825)</f>
        <v>3400000</v>
      </c>
      <c r="D823" s="2079">
        <f t="shared" ref="D823:H823" si="176">D824+D825</f>
        <v>3400000</v>
      </c>
      <c r="E823" s="2080">
        <f t="shared" si="176"/>
        <v>3400000</v>
      </c>
      <c r="F823" s="2079">
        <f t="shared" si="176"/>
        <v>3100000</v>
      </c>
      <c r="G823" s="2079">
        <f t="shared" si="176"/>
        <v>1307858.42</v>
      </c>
      <c r="H823" s="1810">
        <f t="shared" si="176"/>
        <v>1115847.6200000001</v>
      </c>
      <c r="I823" s="1809">
        <f>I824+I825</f>
        <v>4250000</v>
      </c>
      <c r="J823" s="735"/>
      <c r="K823" s="1367"/>
      <c r="L823" s="848"/>
      <c r="M823" s="887"/>
      <c r="N823" s="843"/>
      <c r="O823"/>
      <c r="P823"/>
      <c r="Q823"/>
      <c r="R823"/>
      <c r="S823"/>
      <c r="T823"/>
      <c r="U823"/>
      <c r="V823"/>
      <c r="W823"/>
      <c r="X823"/>
      <c r="Y823"/>
      <c r="Z823"/>
      <c r="AA823"/>
      <c r="AB823"/>
      <c r="AC823"/>
      <c r="AD823"/>
      <c r="AE823"/>
      <c r="AF823"/>
      <c r="AG823"/>
      <c r="AH823"/>
      <c r="AI823"/>
      <c r="AJ823"/>
      <c r="AK823"/>
      <c r="AL823"/>
      <c r="AM823"/>
      <c r="AN823"/>
      <c r="AO823"/>
      <c r="AP823"/>
      <c r="AQ823"/>
      <c r="AR823"/>
      <c r="AS823"/>
      <c r="AT823"/>
      <c r="AU823"/>
      <c r="AV823"/>
      <c r="AW823"/>
      <c r="AX823"/>
      <c r="AY823"/>
      <c r="AZ823"/>
      <c r="BA823"/>
      <c r="BB823"/>
      <c r="BC823"/>
      <c r="BD823"/>
      <c r="BE823"/>
      <c r="BF823"/>
      <c r="BG823"/>
      <c r="BH823"/>
      <c r="BI823"/>
      <c r="BJ823"/>
      <c r="BK823"/>
      <c r="BL823"/>
      <c r="BM823"/>
      <c r="BN823"/>
      <c r="BO823"/>
      <c r="BP823"/>
      <c r="BQ823"/>
      <c r="BR823"/>
      <c r="BS823"/>
      <c r="BT823"/>
      <c r="BU823"/>
      <c r="BV823"/>
      <c r="BW823"/>
      <c r="BX823"/>
      <c r="BY823"/>
      <c r="BZ823"/>
      <c r="CA823"/>
      <c r="CB823"/>
      <c r="CC823"/>
      <c r="CD823"/>
      <c r="CE823"/>
      <c r="CF823"/>
      <c r="CG823"/>
      <c r="CH823"/>
      <c r="CI823"/>
      <c r="CJ823"/>
      <c r="CK823"/>
      <c r="CL823"/>
      <c r="CM823"/>
      <c r="CN823"/>
      <c r="CO823"/>
      <c r="CP823"/>
      <c r="CQ823"/>
      <c r="CR823"/>
      <c r="CS823"/>
      <c r="CT823"/>
      <c r="CU823"/>
      <c r="CV823"/>
      <c r="CW823"/>
      <c r="CX823"/>
      <c r="CY823"/>
      <c r="CZ823"/>
      <c r="DA823"/>
      <c r="DB823"/>
      <c r="DC823"/>
      <c r="DD823"/>
      <c r="DE823"/>
      <c r="DF823"/>
      <c r="DG823"/>
      <c r="DH823"/>
      <c r="DI823"/>
      <c r="DJ823"/>
      <c r="DK823"/>
      <c r="DL823"/>
      <c r="DM823"/>
      <c r="DN823"/>
      <c r="DO823"/>
      <c r="DP823"/>
      <c r="DQ823"/>
      <c r="DR823"/>
      <c r="DS823"/>
      <c r="DT823"/>
      <c r="DU823"/>
      <c r="DV823"/>
      <c r="DW823"/>
      <c r="DX823"/>
      <c r="DY823"/>
      <c r="DZ823"/>
      <c r="EA823"/>
      <c r="EB823"/>
      <c r="EC823"/>
      <c r="ED823"/>
      <c r="EE823"/>
      <c r="EF823"/>
      <c r="EG823"/>
      <c r="EH823"/>
      <c r="EI823"/>
      <c r="EJ823"/>
      <c r="EK823"/>
      <c r="EL823"/>
      <c r="EM823"/>
      <c r="EN823"/>
      <c r="EO823"/>
      <c r="EP823"/>
      <c r="EQ823"/>
      <c r="ER823"/>
      <c r="ES823"/>
      <c r="ET823"/>
      <c r="EU823"/>
      <c r="EV823"/>
      <c r="EW823"/>
      <c r="EX823"/>
      <c r="EY823"/>
      <c r="EZ823"/>
      <c r="FA823"/>
      <c r="FB823"/>
      <c r="FC823"/>
      <c r="FD823"/>
      <c r="FE823"/>
      <c r="FF823"/>
      <c r="FG823"/>
      <c r="FH823"/>
      <c r="FI823"/>
      <c r="FJ823"/>
      <c r="FK823"/>
      <c r="FL823"/>
      <c r="FM823"/>
      <c r="FN823"/>
      <c r="FO823"/>
      <c r="FP823"/>
      <c r="FQ823"/>
      <c r="FR823"/>
      <c r="FS823"/>
      <c r="FT823"/>
      <c r="FU823"/>
      <c r="FV823"/>
      <c r="FW823"/>
      <c r="FX823"/>
      <c r="FY823"/>
      <c r="FZ823"/>
      <c r="GA823"/>
      <c r="GB823"/>
      <c r="GC823"/>
      <c r="GD823"/>
      <c r="GE823"/>
      <c r="GF823"/>
      <c r="GG823"/>
      <c r="GH823"/>
      <c r="GI823"/>
      <c r="GJ823"/>
      <c r="GK823"/>
      <c r="GL823"/>
      <c r="GM823"/>
      <c r="GN823"/>
      <c r="GO823"/>
      <c r="GP823"/>
      <c r="GQ823"/>
      <c r="GR823"/>
      <c r="GS823"/>
      <c r="GT823"/>
      <c r="GU823"/>
      <c r="GV823"/>
      <c r="GW823"/>
      <c r="GX823"/>
      <c r="GY823"/>
      <c r="GZ823"/>
      <c r="HA823"/>
      <c r="HB823"/>
      <c r="HC823"/>
      <c r="HD823"/>
      <c r="HE823"/>
      <c r="HF823"/>
      <c r="HG823"/>
      <c r="HH823"/>
      <c r="HI823"/>
      <c r="HJ823"/>
      <c r="HK823"/>
      <c r="HL823"/>
      <c r="HM823"/>
      <c r="HN823"/>
      <c r="HO823"/>
      <c r="HP823"/>
      <c r="HQ823"/>
      <c r="HR823"/>
      <c r="HS823"/>
      <c r="HT823"/>
      <c r="HU823"/>
      <c r="HV823"/>
      <c r="HW823"/>
      <c r="HX823"/>
      <c r="HY823"/>
      <c r="HZ823"/>
      <c r="IA823"/>
      <c r="IB823"/>
      <c r="IC823"/>
      <c r="ID823"/>
      <c r="IE823"/>
      <c r="IF823"/>
      <c r="IG823"/>
      <c r="IH823"/>
      <c r="II823"/>
      <c r="IJ823"/>
      <c r="IK823"/>
      <c r="IL823"/>
      <c r="IM823"/>
      <c r="IN823"/>
      <c r="IO823"/>
      <c r="IP823"/>
      <c r="IQ823"/>
      <c r="IR823"/>
      <c r="IS823"/>
      <c r="IT823"/>
      <c r="IU823"/>
      <c r="IV823"/>
      <c r="IW823"/>
      <c r="IX823"/>
    </row>
    <row r="824" spans="1:259" ht="12.75" customHeight="1" x14ac:dyDescent="0.2">
      <c r="A824" s="798"/>
      <c r="B824" s="1553" t="s">
        <v>1079</v>
      </c>
      <c r="C824" s="1572">
        <v>3000000</v>
      </c>
      <c r="D824" s="733">
        <v>3000000</v>
      </c>
      <c r="E824" s="904">
        <v>3000000</v>
      </c>
      <c r="F824" s="733">
        <v>2790000</v>
      </c>
      <c r="G824" s="733">
        <v>1307858.42</v>
      </c>
      <c r="H824" s="1176">
        <v>1115847.6200000001</v>
      </c>
      <c r="I824" s="1572">
        <v>3000000</v>
      </c>
      <c r="J824" s="1047"/>
      <c r="K824" s="1367"/>
      <c r="L824" s="848"/>
      <c r="M824" s="887"/>
      <c r="N824" s="843"/>
      <c r="O824"/>
      <c r="P824"/>
      <c r="Q824"/>
      <c r="R824"/>
      <c r="S824"/>
      <c r="T824"/>
      <c r="U824"/>
      <c r="V824"/>
      <c r="W824"/>
      <c r="X824"/>
      <c r="Y824"/>
      <c r="Z824"/>
      <c r="AA824"/>
      <c r="AB824"/>
      <c r="AC824"/>
      <c r="AD824"/>
      <c r="AE824"/>
      <c r="AF824"/>
      <c r="AG824"/>
      <c r="AH824"/>
      <c r="AI824"/>
      <c r="AJ824"/>
      <c r="AK824"/>
      <c r="AL824"/>
      <c r="AM824"/>
      <c r="AN824"/>
      <c r="AO824"/>
      <c r="AP824"/>
      <c r="AQ824"/>
      <c r="AR824"/>
      <c r="AS824"/>
      <c r="AT824"/>
      <c r="AU824"/>
      <c r="AV824"/>
      <c r="AW824"/>
      <c r="AX824"/>
      <c r="AY824"/>
      <c r="AZ824"/>
      <c r="BA824"/>
      <c r="BB824"/>
      <c r="BC824"/>
      <c r="BD824"/>
      <c r="BE824"/>
      <c r="BF824"/>
      <c r="BG824"/>
      <c r="BH824"/>
      <c r="BI824"/>
      <c r="BJ824"/>
      <c r="BK824"/>
      <c r="BL824"/>
      <c r="BM824"/>
      <c r="BN824"/>
      <c r="BO824"/>
      <c r="BP824"/>
      <c r="BQ824"/>
      <c r="BR824"/>
      <c r="BS824"/>
      <c r="BT824"/>
      <c r="BU824"/>
      <c r="BV824"/>
      <c r="BW824"/>
      <c r="BX824"/>
      <c r="BY824"/>
      <c r="BZ824"/>
      <c r="CA824"/>
      <c r="CB824"/>
      <c r="CC824"/>
      <c r="CD824"/>
      <c r="CE824"/>
      <c r="CF824"/>
      <c r="CG824"/>
      <c r="CH824"/>
      <c r="CI824"/>
      <c r="CJ824"/>
      <c r="CK824"/>
      <c r="CL824"/>
      <c r="CM824"/>
      <c r="CN824"/>
      <c r="CO824"/>
      <c r="CP824"/>
      <c r="CQ824"/>
      <c r="CR824"/>
      <c r="CS824"/>
      <c r="CT824"/>
      <c r="CU824"/>
      <c r="CV824"/>
      <c r="CW824"/>
      <c r="CX824"/>
      <c r="CY824"/>
      <c r="CZ824"/>
      <c r="DA824"/>
      <c r="DB824"/>
      <c r="DC824"/>
      <c r="DD824"/>
      <c r="DE824"/>
      <c r="DF824"/>
      <c r="DG824"/>
      <c r="DH824"/>
      <c r="DI824"/>
      <c r="DJ824"/>
      <c r="DK824"/>
      <c r="DL824"/>
      <c r="DM824"/>
      <c r="DN824"/>
      <c r="DO824"/>
      <c r="DP824"/>
      <c r="DQ824"/>
      <c r="DR824"/>
      <c r="DS824"/>
      <c r="DT824"/>
      <c r="DU824"/>
      <c r="DV824"/>
      <c r="DW824"/>
      <c r="DX824"/>
      <c r="DY824"/>
      <c r="DZ824"/>
      <c r="EA824"/>
      <c r="EB824"/>
      <c r="EC824"/>
      <c r="ED824"/>
      <c r="EE824"/>
      <c r="EF824"/>
      <c r="EG824"/>
      <c r="EH824"/>
      <c r="EI824"/>
      <c r="EJ824"/>
      <c r="EK824"/>
      <c r="EL824"/>
      <c r="EM824"/>
      <c r="EN824"/>
      <c r="EO824"/>
      <c r="EP824"/>
      <c r="EQ824"/>
      <c r="ER824"/>
      <c r="ES824"/>
      <c r="ET824"/>
      <c r="EU824"/>
      <c r="EV824"/>
      <c r="EW824"/>
      <c r="EX824"/>
      <c r="EY824"/>
      <c r="EZ824"/>
      <c r="FA824"/>
      <c r="FB824"/>
      <c r="FC824"/>
      <c r="FD824"/>
      <c r="FE824"/>
      <c r="FF824"/>
      <c r="FG824"/>
      <c r="FH824"/>
      <c r="FI824"/>
      <c r="FJ824"/>
      <c r="FK824"/>
      <c r="FL824"/>
      <c r="FM824"/>
      <c r="FN824"/>
      <c r="FO824"/>
      <c r="FP824"/>
      <c r="FQ824"/>
      <c r="FR824"/>
      <c r="FS824"/>
      <c r="FT824"/>
      <c r="FU824"/>
      <c r="FV824"/>
      <c r="FW824"/>
      <c r="FX824"/>
      <c r="FY824"/>
      <c r="FZ824"/>
      <c r="GA824"/>
      <c r="GB824"/>
      <c r="GC824"/>
      <c r="GD824"/>
      <c r="GE824"/>
      <c r="GF824"/>
      <c r="GG824"/>
      <c r="GH824"/>
      <c r="GI824"/>
      <c r="GJ824"/>
      <c r="GK824"/>
      <c r="GL824"/>
      <c r="GM824"/>
      <c r="GN824"/>
      <c r="GO824"/>
      <c r="GP824"/>
      <c r="GQ824"/>
      <c r="GR824"/>
      <c r="GS824"/>
      <c r="GT824"/>
      <c r="GU824"/>
      <c r="GV824"/>
      <c r="GW824"/>
      <c r="GX824"/>
      <c r="GY824"/>
      <c r="GZ824"/>
      <c r="HA824"/>
      <c r="HB824"/>
      <c r="HC824"/>
      <c r="HD824"/>
      <c r="HE824"/>
      <c r="HF824"/>
      <c r="HG824"/>
      <c r="HH824"/>
      <c r="HI824"/>
      <c r="HJ824"/>
      <c r="HK824"/>
      <c r="HL824"/>
      <c r="HM824"/>
      <c r="HN824"/>
      <c r="HO824"/>
      <c r="HP824"/>
      <c r="HQ824"/>
      <c r="HR824"/>
      <c r="HS824"/>
      <c r="HT824"/>
      <c r="HU824"/>
      <c r="HV824"/>
      <c r="HW824"/>
      <c r="HX824"/>
      <c r="HY824"/>
      <c r="HZ824"/>
      <c r="IA824"/>
      <c r="IB824"/>
      <c r="IC824"/>
      <c r="ID824"/>
      <c r="IE824"/>
      <c r="IF824"/>
      <c r="IG824"/>
      <c r="IH824"/>
      <c r="II824"/>
      <c r="IJ824"/>
      <c r="IK824"/>
      <c r="IL824"/>
      <c r="IM824"/>
      <c r="IN824"/>
      <c r="IO824"/>
      <c r="IP824"/>
      <c r="IQ824"/>
      <c r="IR824"/>
      <c r="IS824"/>
      <c r="IT824"/>
      <c r="IU824"/>
      <c r="IV824"/>
      <c r="IW824"/>
      <c r="IX824"/>
    </row>
    <row r="825" spans="1:259" ht="12.75" customHeight="1" x14ac:dyDescent="0.2">
      <c r="A825" s="798"/>
      <c r="B825" s="1811" t="s">
        <v>851</v>
      </c>
      <c r="C825" s="1572">
        <f>SUM(C828)</f>
        <v>400000</v>
      </c>
      <c r="D825" s="733">
        <f>SUM(D828)</f>
        <v>400000</v>
      </c>
      <c r="E825" s="904">
        <f>SUM(E828)</f>
        <v>400000</v>
      </c>
      <c r="F825" s="733">
        <f>SUM(F828)</f>
        <v>310000</v>
      </c>
      <c r="G825" s="733">
        <v>0</v>
      </c>
      <c r="H825" s="1176">
        <f>SUM(H828)</f>
        <v>0</v>
      </c>
      <c r="I825" s="1572">
        <f>SUM(I826:I828)</f>
        <v>1250000</v>
      </c>
      <c r="J825" s="735"/>
      <c r="K825" s="1367"/>
      <c r="L825" s="848"/>
      <c r="M825" s="887"/>
      <c r="N825" s="843"/>
      <c r="O825"/>
      <c r="P825"/>
      <c r="Q825"/>
      <c r="R825"/>
      <c r="S825"/>
      <c r="T825"/>
      <c r="U825"/>
      <c r="V825"/>
      <c r="W825"/>
      <c r="X825"/>
      <c r="Y825"/>
      <c r="Z825"/>
      <c r="AA825"/>
      <c r="AB825"/>
      <c r="AC825"/>
      <c r="AD825"/>
      <c r="AE825"/>
      <c r="AF825"/>
      <c r="AG825"/>
      <c r="AH825"/>
      <c r="AI825"/>
      <c r="AJ825"/>
      <c r="AK825"/>
      <c r="AL825"/>
      <c r="AM825"/>
      <c r="AN825"/>
      <c r="AO825"/>
      <c r="AP825"/>
      <c r="AQ825"/>
      <c r="AR825"/>
      <c r="AS825"/>
      <c r="AT825"/>
      <c r="AU825"/>
      <c r="AV825"/>
      <c r="AW825"/>
      <c r="AX825"/>
      <c r="AY825"/>
      <c r="AZ825"/>
      <c r="BA825"/>
      <c r="BB825"/>
      <c r="BC825"/>
      <c r="BD825"/>
      <c r="BE825"/>
      <c r="BF825"/>
      <c r="BG825"/>
      <c r="BH825"/>
      <c r="BI825"/>
      <c r="BJ825"/>
      <c r="BK825"/>
      <c r="BL825"/>
      <c r="BM825"/>
      <c r="BN825"/>
      <c r="BO825"/>
      <c r="BP825"/>
      <c r="BQ825"/>
      <c r="BR825"/>
      <c r="BS825"/>
      <c r="BT825"/>
      <c r="BU825"/>
      <c r="BV825"/>
      <c r="BW825"/>
      <c r="BX825"/>
      <c r="BY825"/>
      <c r="BZ825"/>
      <c r="CA825"/>
      <c r="CB825"/>
      <c r="CC825"/>
      <c r="CD825"/>
      <c r="CE825"/>
      <c r="CF825"/>
      <c r="CG825"/>
      <c r="CH825"/>
      <c r="CI825"/>
      <c r="CJ825"/>
      <c r="CK825"/>
      <c r="CL825"/>
      <c r="CM825"/>
      <c r="CN825"/>
      <c r="CO825"/>
      <c r="CP825"/>
      <c r="CQ825"/>
      <c r="CR825"/>
      <c r="CS825"/>
      <c r="CT825"/>
      <c r="CU825"/>
      <c r="CV825"/>
      <c r="CW825"/>
      <c r="CX825"/>
      <c r="CY825"/>
      <c r="CZ825"/>
      <c r="DA825"/>
      <c r="DB825"/>
      <c r="DC825"/>
      <c r="DD825"/>
      <c r="DE825"/>
      <c r="DF825"/>
      <c r="DG825"/>
      <c r="DH825"/>
      <c r="DI825"/>
      <c r="DJ825"/>
      <c r="DK825"/>
      <c r="DL825"/>
      <c r="DM825"/>
      <c r="DN825"/>
      <c r="DO825"/>
      <c r="DP825"/>
      <c r="DQ825"/>
      <c r="DR825"/>
      <c r="DS825"/>
      <c r="DT825"/>
      <c r="DU825"/>
      <c r="DV825"/>
      <c r="DW825"/>
      <c r="DX825"/>
      <c r="DY825"/>
      <c r="DZ825"/>
      <c r="EA825"/>
      <c r="EB825"/>
      <c r="EC825"/>
      <c r="ED825"/>
      <c r="EE825"/>
      <c r="EF825"/>
      <c r="EG825"/>
      <c r="EH825"/>
      <c r="EI825"/>
      <c r="EJ825"/>
      <c r="EK825"/>
      <c r="EL825"/>
      <c r="EM825"/>
      <c r="EN825"/>
      <c r="EO825"/>
      <c r="EP825"/>
      <c r="EQ825"/>
      <c r="ER825"/>
      <c r="ES825"/>
      <c r="ET825"/>
      <c r="EU825"/>
      <c r="EV825"/>
      <c r="EW825"/>
      <c r="EX825"/>
      <c r="EY825"/>
      <c r="EZ825"/>
      <c r="FA825"/>
      <c r="FB825"/>
      <c r="FC825"/>
      <c r="FD825"/>
      <c r="FE825"/>
      <c r="FF825"/>
      <c r="FG825"/>
      <c r="FH825"/>
      <c r="FI825"/>
      <c r="FJ825"/>
      <c r="FK825"/>
      <c r="FL825"/>
      <c r="FM825"/>
      <c r="FN825"/>
      <c r="FO825"/>
      <c r="FP825"/>
      <c r="FQ825"/>
      <c r="FR825"/>
      <c r="FS825"/>
      <c r="FT825"/>
      <c r="FU825"/>
      <c r="FV825"/>
      <c r="FW825"/>
      <c r="FX825"/>
      <c r="FY825"/>
      <c r="FZ825"/>
      <c r="GA825"/>
      <c r="GB825"/>
      <c r="GC825"/>
      <c r="GD825"/>
      <c r="GE825"/>
      <c r="GF825"/>
      <c r="GG825"/>
      <c r="GH825"/>
      <c r="GI825"/>
      <c r="GJ825"/>
      <c r="GK825"/>
      <c r="GL825"/>
      <c r="GM825"/>
      <c r="GN825"/>
      <c r="GO825"/>
      <c r="GP825"/>
      <c r="GQ825"/>
      <c r="GR825"/>
      <c r="GS825"/>
      <c r="GT825"/>
      <c r="GU825"/>
      <c r="GV825"/>
      <c r="GW825"/>
      <c r="GX825"/>
      <c r="GY825"/>
      <c r="GZ825"/>
      <c r="HA825"/>
      <c r="HB825"/>
      <c r="HC825"/>
      <c r="HD825"/>
      <c r="HE825"/>
      <c r="HF825"/>
      <c r="HG825"/>
      <c r="HH825"/>
      <c r="HI825"/>
      <c r="HJ825"/>
      <c r="HK825"/>
      <c r="HL825"/>
      <c r="HM825"/>
      <c r="HN825"/>
      <c r="HO825"/>
      <c r="HP825"/>
      <c r="HQ825"/>
      <c r="HR825"/>
      <c r="HS825"/>
      <c r="HT825"/>
      <c r="HU825"/>
      <c r="HV825"/>
      <c r="HW825"/>
      <c r="HX825"/>
      <c r="HY825"/>
      <c r="HZ825"/>
      <c r="IA825"/>
      <c r="IB825"/>
      <c r="IC825"/>
      <c r="ID825"/>
      <c r="IE825"/>
      <c r="IF825"/>
      <c r="IG825"/>
      <c r="IH825"/>
      <c r="II825"/>
      <c r="IJ825"/>
      <c r="IK825"/>
      <c r="IL825"/>
      <c r="IM825"/>
      <c r="IN825"/>
      <c r="IO825"/>
      <c r="IP825"/>
      <c r="IQ825"/>
      <c r="IR825"/>
      <c r="IS825"/>
      <c r="IT825"/>
      <c r="IU825"/>
      <c r="IV825"/>
      <c r="IW825"/>
      <c r="IX825"/>
    </row>
    <row r="826" spans="1:259" ht="12.75" customHeight="1" x14ac:dyDescent="0.2">
      <c r="A826" s="798"/>
      <c r="B826" s="1567" t="s">
        <v>1471</v>
      </c>
      <c r="C826" s="1572">
        <v>0</v>
      </c>
      <c r="D826" s="733">
        <v>0</v>
      </c>
      <c r="E826" s="904">
        <v>0</v>
      </c>
      <c r="F826" s="733">
        <v>0</v>
      </c>
      <c r="G826" s="733">
        <v>0</v>
      </c>
      <c r="H826" s="1176">
        <v>0</v>
      </c>
      <c r="I826" s="1572">
        <v>350000</v>
      </c>
      <c r="J826" s="1047"/>
      <c r="K826" s="1367"/>
      <c r="L826" s="848"/>
      <c r="M826" s="887"/>
      <c r="N826" s="843"/>
      <c r="O826"/>
      <c r="P826"/>
      <c r="Q826"/>
      <c r="R826"/>
      <c r="S826"/>
      <c r="T826"/>
      <c r="U826"/>
      <c r="V826"/>
      <c r="W826"/>
      <c r="X826"/>
      <c r="Y826"/>
      <c r="Z826"/>
      <c r="AA826"/>
      <c r="AB826"/>
      <c r="AC826"/>
      <c r="AD826"/>
      <c r="AE826"/>
      <c r="AF826"/>
      <c r="AG826"/>
      <c r="AH826"/>
      <c r="AI826"/>
      <c r="AJ826"/>
      <c r="AK826"/>
      <c r="AL826"/>
      <c r="AM826"/>
      <c r="AN826"/>
      <c r="AO826"/>
      <c r="AP826"/>
      <c r="AQ826"/>
      <c r="AR826"/>
      <c r="AS826"/>
      <c r="AT826"/>
      <c r="AU826"/>
      <c r="AV826"/>
      <c r="AW826"/>
      <c r="AX826"/>
      <c r="AY826"/>
      <c r="AZ826"/>
      <c r="BA826"/>
      <c r="BB826"/>
      <c r="BC826"/>
      <c r="BD826"/>
      <c r="BE826"/>
      <c r="BF826"/>
      <c r="BG826"/>
      <c r="BH826"/>
      <c r="BI826"/>
      <c r="BJ826"/>
      <c r="BK826"/>
      <c r="BL826"/>
      <c r="BM826"/>
      <c r="BN826"/>
      <c r="BO826"/>
      <c r="BP826"/>
      <c r="BQ826"/>
      <c r="BR826"/>
      <c r="BS826"/>
      <c r="BT826"/>
      <c r="BU826"/>
      <c r="BV826"/>
      <c r="BW826"/>
      <c r="BX826"/>
      <c r="BY826"/>
      <c r="BZ826"/>
      <c r="CA826"/>
      <c r="CB826"/>
      <c r="CC826"/>
      <c r="CD826"/>
      <c r="CE826"/>
      <c r="CF826"/>
      <c r="CG826"/>
      <c r="CH826"/>
      <c r="CI826"/>
      <c r="CJ826"/>
      <c r="CK826"/>
      <c r="CL826"/>
      <c r="CM826"/>
      <c r="CN826"/>
      <c r="CO826"/>
      <c r="CP826"/>
      <c r="CQ826"/>
      <c r="CR826"/>
      <c r="CS826"/>
      <c r="CT826"/>
      <c r="CU826"/>
      <c r="CV826"/>
      <c r="CW826"/>
      <c r="CX826"/>
      <c r="CY826"/>
      <c r="CZ826"/>
      <c r="DA826"/>
      <c r="DB826"/>
      <c r="DC826"/>
      <c r="DD826"/>
      <c r="DE826"/>
      <c r="DF826"/>
      <c r="DG826"/>
      <c r="DH826"/>
      <c r="DI826"/>
      <c r="DJ826"/>
      <c r="DK826"/>
      <c r="DL826"/>
      <c r="DM826"/>
      <c r="DN826"/>
      <c r="DO826"/>
      <c r="DP826"/>
      <c r="DQ826"/>
      <c r="DR826"/>
      <c r="DS826"/>
      <c r="DT826"/>
      <c r="DU826"/>
      <c r="DV826"/>
      <c r="DW826"/>
      <c r="DX826"/>
      <c r="DY826"/>
      <c r="DZ826"/>
      <c r="EA826"/>
      <c r="EB826"/>
      <c r="EC826"/>
      <c r="ED826"/>
      <c r="EE826"/>
      <c r="EF826"/>
      <c r="EG826"/>
      <c r="EH826"/>
      <c r="EI826"/>
      <c r="EJ826"/>
      <c r="EK826"/>
      <c r="EL826"/>
      <c r="EM826"/>
      <c r="EN826"/>
      <c r="EO826"/>
      <c r="EP826"/>
      <c r="EQ826"/>
      <c r="ER826"/>
      <c r="ES826"/>
      <c r="ET826"/>
      <c r="EU826"/>
      <c r="EV826"/>
      <c r="EW826"/>
      <c r="EX826"/>
      <c r="EY826"/>
      <c r="EZ826"/>
      <c r="FA826"/>
      <c r="FB826"/>
      <c r="FC826"/>
      <c r="FD826"/>
      <c r="FE826"/>
      <c r="FF826"/>
      <c r="FG826"/>
      <c r="FH826"/>
      <c r="FI826"/>
      <c r="FJ826"/>
      <c r="FK826"/>
      <c r="FL826"/>
      <c r="FM826"/>
      <c r="FN826"/>
      <c r="FO826"/>
      <c r="FP826"/>
      <c r="FQ826"/>
      <c r="FR826"/>
      <c r="FS826"/>
      <c r="FT826"/>
      <c r="FU826"/>
      <c r="FV826"/>
      <c r="FW826"/>
      <c r="FX826"/>
      <c r="FY826"/>
      <c r="FZ826"/>
      <c r="GA826"/>
      <c r="GB826"/>
      <c r="GC826"/>
      <c r="GD826"/>
      <c r="GE826"/>
      <c r="GF826"/>
      <c r="GG826"/>
      <c r="GH826"/>
      <c r="GI826"/>
      <c r="GJ826"/>
      <c r="GK826"/>
      <c r="GL826"/>
      <c r="GM826"/>
      <c r="GN826"/>
      <c r="GO826"/>
      <c r="GP826"/>
      <c r="GQ826"/>
      <c r="GR826"/>
      <c r="GS826"/>
      <c r="GT826"/>
      <c r="GU826"/>
      <c r="GV826"/>
      <c r="GW826"/>
      <c r="GX826"/>
      <c r="GY826"/>
      <c r="GZ826"/>
      <c r="HA826"/>
      <c r="HB826"/>
      <c r="HC826"/>
      <c r="HD826"/>
      <c r="HE826"/>
      <c r="HF826"/>
      <c r="HG826"/>
      <c r="HH826"/>
      <c r="HI826"/>
      <c r="HJ826"/>
      <c r="HK826"/>
      <c r="HL826"/>
      <c r="HM826"/>
      <c r="HN826"/>
      <c r="HO826"/>
      <c r="HP826"/>
      <c r="HQ826"/>
      <c r="HR826"/>
      <c r="HS826"/>
      <c r="HT826"/>
      <c r="HU826"/>
      <c r="HV826"/>
      <c r="HW826"/>
      <c r="HX826"/>
      <c r="HY826"/>
      <c r="HZ826"/>
      <c r="IA826"/>
      <c r="IB826"/>
      <c r="IC826"/>
      <c r="ID826"/>
      <c r="IE826"/>
      <c r="IF826"/>
      <c r="IG826"/>
      <c r="IH826"/>
      <c r="II826"/>
      <c r="IJ826"/>
      <c r="IK826"/>
      <c r="IL826"/>
      <c r="IM826"/>
      <c r="IN826"/>
      <c r="IO826"/>
      <c r="IP826"/>
      <c r="IQ826"/>
      <c r="IR826"/>
      <c r="IS826"/>
      <c r="IT826"/>
      <c r="IU826"/>
      <c r="IV826"/>
      <c r="IW826"/>
      <c r="IX826"/>
    </row>
    <row r="827" spans="1:259" s="607" customFormat="1" ht="12.75" customHeight="1" x14ac:dyDescent="0.2">
      <c r="A827" s="798"/>
      <c r="B827" s="1722" t="s">
        <v>1129</v>
      </c>
      <c r="C827" s="1099">
        <v>0</v>
      </c>
      <c r="D827" s="1090">
        <v>0</v>
      </c>
      <c r="E827" s="1088">
        <v>0</v>
      </c>
      <c r="F827" s="733">
        <v>0</v>
      </c>
      <c r="G827" s="733">
        <v>0</v>
      </c>
      <c r="H827" s="1176">
        <v>0</v>
      </c>
      <c r="I827" s="1099">
        <v>500000</v>
      </c>
      <c r="J827" s="1419"/>
      <c r="K827" s="1367">
        <f>K828+K835+K842+K851+SUM(K857:K866)</f>
        <v>0</v>
      </c>
      <c r="L827" s="1079"/>
      <c r="M827" s="889"/>
      <c r="N827" s="847"/>
      <c r="IY827" s="706"/>
    </row>
    <row r="828" spans="1:259" ht="12.75" customHeight="1" x14ac:dyDescent="0.2">
      <c r="A828" s="798"/>
      <c r="B828" s="1722" t="s">
        <v>1715</v>
      </c>
      <c r="C828" s="1572">
        <v>400000</v>
      </c>
      <c r="D828" s="733">
        <v>400000</v>
      </c>
      <c r="E828" s="904">
        <v>400000</v>
      </c>
      <c r="F828" s="733">
        <v>310000</v>
      </c>
      <c r="G828" s="733">
        <v>0</v>
      </c>
      <c r="H828" s="1176">
        <v>0</v>
      </c>
      <c r="I828" s="1572">
        <v>400000</v>
      </c>
      <c r="J828" s="1420"/>
      <c r="K828" s="1369">
        <f>SUM(K829:K834)</f>
        <v>0</v>
      </c>
      <c r="L828" s="848"/>
      <c r="M828" s="887"/>
      <c r="N828" s="843"/>
      <c r="O828"/>
      <c r="P828"/>
      <c r="Q828"/>
      <c r="R828"/>
      <c r="S828"/>
      <c r="T828"/>
      <c r="U828"/>
      <c r="V828"/>
      <c r="W828"/>
      <c r="X828"/>
      <c r="Y828"/>
      <c r="Z828"/>
      <c r="AA828"/>
      <c r="AB828"/>
      <c r="AC828"/>
      <c r="AD828"/>
      <c r="AE828"/>
      <c r="AF828"/>
      <c r="AG828"/>
      <c r="AH828"/>
      <c r="AI828"/>
      <c r="AJ828"/>
      <c r="AK828"/>
      <c r="AL828"/>
      <c r="AM828"/>
      <c r="AN828"/>
      <c r="AO828"/>
      <c r="AP828"/>
      <c r="AQ828"/>
      <c r="AR828"/>
      <c r="AS828"/>
      <c r="AT828"/>
      <c r="AU828"/>
      <c r="AV828"/>
      <c r="AW828"/>
      <c r="AX828"/>
      <c r="AY828"/>
      <c r="AZ828"/>
      <c r="BA828"/>
      <c r="BB828"/>
      <c r="BC828"/>
      <c r="BD828"/>
      <c r="BE828"/>
      <c r="BF828"/>
      <c r="BG828"/>
      <c r="BH828"/>
      <c r="BI828"/>
      <c r="BJ828"/>
      <c r="BK828"/>
      <c r="BL828"/>
      <c r="BM828"/>
      <c r="BN828"/>
      <c r="BO828"/>
      <c r="BP828"/>
      <c r="BQ828"/>
      <c r="BR828"/>
      <c r="BS828"/>
      <c r="BT828"/>
      <c r="BU828"/>
      <c r="BV828"/>
      <c r="BW828"/>
      <c r="BX828"/>
      <c r="BY828"/>
      <c r="BZ828"/>
      <c r="CA828"/>
      <c r="CB828"/>
      <c r="CC828"/>
      <c r="CD828"/>
      <c r="CE828"/>
      <c r="CF828"/>
      <c r="CG828"/>
      <c r="CH828"/>
      <c r="CI828"/>
      <c r="CJ828"/>
      <c r="CK828"/>
      <c r="CL828"/>
      <c r="CM828"/>
      <c r="CN828"/>
      <c r="CO828"/>
      <c r="CP828"/>
      <c r="CQ828"/>
      <c r="CR828"/>
      <c r="CS828"/>
      <c r="CT828"/>
      <c r="CU828"/>
      <c r="CV828"/>
      <c r="CW828"/>
      <c r="CX828"/>
      <c r="CY828"/>
      <c r="CZ828"/>
      <c r="DA828"/>
      <c r="DB828"/>
      <c r="DC828"/>
      <c r="DD828"/>
      <c r="DE828"/>
      <c r="DF828"/>
      <c r="DG828"/>
      <c r="DH828"/>
      <c r="DI828"/>
      <c r="DJ828"/>
      <c r="DK828"/>
      <c r="DL828"/>
      <c r="DM828"/>
      <c r="DN828"/>
      <c r="DO828"/>
      <c r="DP828"/>
      <c r="DQ828"/>
      <c r="DR828"/>
      <c r="DS828"/>
      <c r="DT828"/>
      <c r="DU828"/>
      <c r="DV828"/>
      <c r="DW828"/>
      <c r="DX828"/>
      <c r="DY828"/>
      <c r="DZ828"/>
      <c r="EA828"/>
      <c r="EB828"/>
      <c r="EC828"/>
      <c r="ED828"/>
      <c r="EE828"/>
      <c r="EF828"/>
      <c r="EG828"/>
      <c r="EH828"/>
      <c r="EI828"/>
      <c r="EJ828"/>
      <c r="EK828"/>
      <c r="EL828"/>
      <c r="EM828"/>
      <c r="EN828"/>
      <c r="EO828"/>
      <c r="EP828"/>
      <c r="EQ828"/>
      <c r="ER828"/>
      <c r="ES828"/>
      <c r="ET828"/>
      <c r="EU828"/>
      <c r="EV828"/>
      <c r="EW828"/>
      <c r="EX828"/>
      <c r="EY828"/>
      <c r="EZ828"/>
      <c r="FA828"/>
      <c r="FB828"/>
      <c r="FC828"/>
      <c r="FD828"/>
      <c r="FE828"/>
      <c r="FF828"/>
      <c r="FG828"/>
      <c r="FH828"/>
      <c r="FI828"/>
      <c r="FJ828"/>
      <c r="FK828"/>
      <c r="FL828"/>
      <c r="FM828"/>
      <c r="FN828"/>
      <c r="FO828"/>
      <c r="FP828"/>
      <c r="FQ828"/>
      <c r="FR828"/>
      <c r="FS828"/>
      <c r="FT828"/>
      <c r="FU828"/>
      <c r="FV828"/>
      <c r="FW828"/>
      <c r="FX828"/>
      <c r="FY828"/>
      <c r="FZ828"/>
      <c r="GA828"/>
      <c r="GB828"/>
      <c r="GC828"/>
      <c r="GD828"/>
      <c r="GE828"/>
      <c r="GF828"/>
      <c r="GG828"/>
      <c r="GH828"/>
      <c r="GI828"/>
      <c r="GJ828"/>
      <c r="GK828"/>
      <c r="GL828"/>
      <c r="GM828"/>
      <c r="GN828"/>
      <c r="GO828"/>
      <c r="GP828"/>
      <c r="GQ828"/>
      <c r="GR828"/>
      <c r="GS828"/>
      <c r="GT828"/>
      <c r="GU828"/>
      <c r="GV828"/>
      <c r="GW828"/>
      <c r="GX828"/>
      <c r="GY828"/>
      <c r="GZ828"/>
      <c r="HA828"/>
      <c r="HB828"/>
      <c r="HC828"/>
      <c r="HD828"/>
      <c r="HE828"/>
      <c r="HF828"/>
      <c r="HG828"/>
      <c r="HH828"/>
      <c r="HI828"/>
      <c r="HJ828"/>
      <c r="HK828"/>
      <c r="HL828"/>
      <c r="HM828"/>
      <c r="HN828"/>
      <c r="HO828"/>
      <c r="HP828"/>
      <c r="HQ828"/>
      <c r="HR828"/>
      <c r="HS828"/>
      <c r="HT828"/>
      <c r="HU828"/>
      <c r="HV828"/>
      <c r="HW828"/>
      <c r="HX828"/>
      <c r="HY828"/>
      <c r="HZ828"/>
      <c r="IA828"/>
      <c r="IB828"/>
      <c r="IC828"/>
      <c r="ID828"/>
      <c r="IE828"/>
      <c r="IF828"/>
      <c r="IG828"/>
      <c r="IH828"/>
      <c r="II828"/>
      <c r="IJ828"/>
      <c r="IK828"/>
      <c r="IL828"/>
      <c r="IM828"/>
      <c r="IN828"/>
      <c r="IO828"/>
      <c r="IP828"/>
      <c r="IQ828"/>
      <c r="IR828"/>
      <c r="IS828"/>
      <c r="IT828"/>
      <c r="IU828"/>
      <c r="IV828"/>
      <c r="IW828"/>
      <c r="IX828"/>
    </row>
    <row r="829" spans="1:259" ht="12.75" customHeight="1" x14ac:dyDescent="0.2">
      <c r="A829" s="853"/>
      <c r="B829" s="1812" t="s">
        <v>1472</v>
      </c>
      <c r="C829" s="1809">
        <f t="shared" ref="C829:H829" si="177">C830+C831</f>
        <v>5350000</v>
      </c>
      <c r="D829" s="2079">
        <f t="shared" si="177"/>
        <v>5363073</v>
      </c>
      <c r="E829" s="2080">
        <f t="shared" si="177"/>
        <v>5363073</v>
      </c>
      <c r="F829" s="2079">
        <f t="shared" si="177"/>
        <v>2032612.6</v>
      </c>
      <c r="G829" s="2079">
        <f t="shared" si="177"/>
        <v>1417453.97</v>
      </c>
      <c r="H829" s="1810">
        <f t="shared" si="177"/>
        <v>1219061.22</v>
      </c>
      <c r="I829" s="1809">
        <f>I830+I831</f>
        <v>5000000</v>
      </c>
      <c r="J829" s="1421"/>
      <c r="K829" s="1367"/>
      <c r="L829" s="848"/>
      <c r="M829" s="887"/>
      <c r="N829" s="843"/>
      <c r="O829"/>
      <c r="P829"/>
      <c r="Q829"/>
      <c r="R829"/>
      <c r="S829"/>
      <c r="T829"/>
      <c r="U829"/>
      <c r="V829"/>
      <c r="W829"/>
      <c r="X829"/>
      <c r="Y829"/>
      <c r="Z829"/>
      <c r="AA829"/>
      <c r="AB829"/>
      <c r="AC829"/>
      <c r="AD829"/>
      <c r="AE829"/>
      <c r="AF829"/>
      <c r="AG829"/>
      <c r="AH829"/>
      <c r="AI829"/>
      <c r="AJ829"/>
      <c r="AK829"/>
      <c r="AL829"/>
      <c r="AM829"/>
      <c r="AN829"/>
      <c r="AO829"/>
      <c r="AP829"/>
      <c r="AQ829"/>
      <c r="AR829"/>
      <c r="AS829"/>
      <c r="AT829"/>
      <c r="AU829"/>
      <c r="AV829"/>
      <c r="AW829"/>
      <c r="AX829"/>
      <c r="AY829"/>
      <c r="AZ829"/>
      <c r="BA829"/>
      <c r="BB829"/>
      <c r="BC829"/>
      <c r="BD829"/>
      <c r="BE829"/>
      <c r="BF829"/>
      <c r="BG829"/>
      <c r="BH829"/>
      <c r="BI829"/>
      <c r="BJ829"/>
      <c r="BK829"/>
      <c r="BL829"/>
      <c r="BM829"/>
      <c r="BN829"/>
      <c r="BO829"/>
      <c r="BP829"/>
      <c r="BQ829"/>
      <c r="BR829"/>
      <c r="BS829"/>
      <c r="BT829"/>
      <c r="BU829"/>
      <c r="BV829"/>
      <c r="BW829"/>
      <c r="BX829"/>
      <c r="BY829"/>
      <c r="BZ829"/>
      <c r="CA829"/>
      <c r="CB829"/>
      <c r="CC829"/>
      <c r="CD829"/>
      <c r="CE829"/>
      <c r="CF829"/>
      <c r="CG829"/>
      <c r="CH829"/>
      <c r="CI829"/>
      <c r="CJ829"/>
      <c r="CK829"/>
      <c r="CL829"/>
      <c r="CM829"/>
      <c r="CN829"/>
      <c r="CO829"/>
      <c r="CP829"/>
      <c r="CQ829"/>
      <c r="CR829"/>
      <c r="CS829"/>
      <c r="CT829"/>
      <c r="CU829"/>
      <c r="CV829"/>
      <c r="CW829"/>
      <c r="CX829"/>
      <c r="CY829"/>
      <c r="CZ829"/>
      <c r="DA829"/>
      <c r="DB829"/>
      <c r="DC829"/>
      <c r="DD829"/>
      <c r="DE829"/>
      <c r="DF829"/>
      <c r="DG829"/>
      <c r="DH829"/>
      <c r="DI829"/>
      <c r="DJ829"/>
      <c r="DK829"/>
      <c r="DL829"/>
      <c r="DM829"/>
      <c r="DN829"/>
      <c r="DO829"/>
      <c r="DP829"/>
      <c r="DQ829"/>
      <c r="DR829"/>
      <c r="DS829"/>
      <c r="DT829"/>
      <c r="DU829"/>
      <c r="DV829"/>
      <c r="DW829"/>
      <c r="DX829"/>
      <c r="DY829"/>
      <c r="DZ829"/>
      <c r="EA829"/>
      <c r="EB829"/>
      <c r="EC829"/>
      <c r="ED829"/>
      <c r="EE829"/>
      <c r="EF829"/>
      <c r="EG829"/>
      <c r="EH829"/>
      <c r="EI829"/>
      <c r="EJ829"/>
      <c r="EK829"/>
      <c r="EL829"/>
      <c r="EM829"/>
      <c r="EN829"/>
      <c r="EO829"/>
      <c r="EP829"/>
      <c r="EQ829"/>
      <c r="ER829"/>
      <c r="ES829"/>
      <c r="ET829"/>
      <c r="EU829"/>
      <c r="EV829"/>
      <c r="EW829"/>
      <c r="EX829"/>
      <c r="EY829"/>
      <c r="EZ829"/>
      <c r="FA829"/>
      <c r="FB829"/>
      <c r="FC829"/>
      <c r="FD829"/>
      <c r="FE829"/>
      <c r="FF829"/>
      <c r="FG829"/>
      <c r="FH829"/>
      <c r="FI829"/>
      <c r="FJ829"/>
      <c r="FK829"/>
      <c r="FL829"/>
      <c r="FM829"/>
      <c r="FN829"/>
      <c r="FO829"/>
      <c r="FP829"/>
      <c r="FQ829"/>
      <c r="FR829"/>
      <c r="FS829"/>
      <c r="FT829"/>
      <c r="FU829"/>
      <c r="FV829"/>
      <c r="FW829"/>
      <c r="FX829"/>
      <c r="FY829"/>
      <c r="FZ829"/>
      <c r="GA829"/>
      <c r="GB829"/>
      <c r="GC829"/>
      <c r="GD829"/>
      <c r="GE829"/>
      <c r="GF829"/>
      <c r="GG829"/>
      <c r="GH829"/>
      <c r="GI829"/>
      <c r="GJ829"/>
      <c r="GK829"/>
      <c r="GL829"/>
      <c r="GM829"/>
      <c r="GN829"/>
      <c r="GO829"/>
      <c r="GP829"/>
      <c r="GQ829"/>
      <c r="GR829"/>
      <c r="GS829"/>
      <c r="GT829"/>
      <c r="GU829"/>
      <c r="GV829"/>
      <c r="GW829"/>
      <c r="GX829"/>
      <c r="GY829"/>
      <c r="GZ829"/>
      <c r="HA829"/>
      <c r="HB829"/>
      <c r="HC829"/>
      <c r="HD829"/>
      <c r="HE829"/>
      <c r="HF829"/>
      <c r="HG829"/>
      <c r="HH829"/>
      <c r="HI829"/>
      <c r="HJ829"/>
      <c r="HK829"/>
      <c r="HL829"/>
      <c r="HM829"/>
      <c r="HN829"/>
      <c r="HO829"/>
      <c r="HP829"/>
      <c r="HQ829"/>
      <c r="HR829"/>
      <c r="HS829"/>
      <c r="HT829"/>
      <c r="HU829"/>
      <c r="HV829"/>
      <c r="HW829"/>
      <c r="HX829"/>
      <c r="HY829"/>
      <c r="HZ829"/>
      <c r="IA829"/>
      <c r="IB829"/>
      <c r="IC829"/>
      <c r="ID829"/>
      <c r="IE829"/>
      <c r="IF829"/>
      <c r="IG829"/>
      <c r="IH829"/>
      <c r="II829"/>
      <c r="IJ829"/>
      <c r="IK829"/>
      <c r="IL829"/>
      <c r="IM829"/>
      <c r="IN829"/>
      <c r="IO829"/>
      <c r="IP829"/>
      <c r="IQ829"/>
      <c r="IR829"/>
      <c r="IS829"/>
      <c r="IT829"/>
      <c r="IU829"/>
      <c r="IV829"/>
      <c r="IW829"/>
      <c r="IX829"/>
    </row>
    <row r="830" spans="1:259" ht="12.75" customHeight="1" x14ac:dyDescent="0.2">
      <c r="A830" s="853"/>
      <c r="B830" s="1813" t="s">
        <v>850</v>
      </c>
      <c r="C830" s="1814">
        <v>3000000</v>
      </c>
      <c r="D830" s="950">
        <v>3000000</v>
      </c>
      <c r="E830" s="2081">
        <v>3000000</v>
      </c>
      <c r="F830" s="950">
        <v>1219061.22</v>
      </c>
      <c r="G830" s="950">
        <v>1417453.97</v>
      </c>
      <c r="H830" s="1815">
        <v>1219061.22</v>
      </c>
      <c r="I830" s="1814">
        <v>4000000</v>
      </c>
      <c r="J830" s="1421"/>
      <c r="K830" s="1367"/>
      <c r="L830" s="848"/>
      <c r="M830" s="887"/>
      <c r="N830" s="843"/>
      <c r="O830"/>
      <c r="P830"/>
      <c r="Q830"/>
      <c r="R830"/>
      <c r="S830"/>
      <c r="T830"/>
      <c r="U830"/>
      <c r="V830"/>
      <c r="W830"/>
      <c r="X830"/>
      <c r="Y830"/>
      <c r="Z830"/>
      <c r="AA830"/>
      <c r="AB830"/>
      <c r="AC830"/>
      <c r="AD830"/>
      <c r="AE830"/>
      <c r="AF830"/>
      <c r="AG830"/>
      <c r="AH830"/>
      <c r="AI830"/>
      <c r="AJ830"/>
      <c r="AK830"/>
      <c r="AL830"/>
      <c r="AM830"/>
      <c r="AN830"/>
      <c r="AO830"/>
      <c r="AP830"/>
      <c r="AQ830"/>
      <c r="AR830"/>
      <c r="AS830"/>
      <c r="AT830"/>
      <c r="AU830"/>
      <c r="AV830"/>
      <c r="AW830"/>
      <c r="AX830"/>
      <c r="AY830"/>
      <c r="AZ830"/>
      <c r="BA830"/>
      <c r="BB830"/>
      <c r="BC830"/>
      <c r="BD830"/>
      <c r="BE830"/>
      <c r="BF830"/>
      <c r="BG830"/>
      <c r="BH830"/>
      <c r="BI830"/>
      <c r="BJ830"/>
      <c r="BK830"/>
      <c r="BL830"/>
      <c r="BM830"/>
      <c r="BN830"/>
      <c r="BO830"/>
      <c r="BP830"/>
      <c r="BQ830"/>
      <c r="BR830"/>
      <c r="BS830"/>
      <c r="BT830"/>
      <c r="BU830"/>
      <c r="BV830"/>
      <c r="BW830"/>
      <c r="BX830"/>
      <c r="BY830"/>
      <c r="BZ830"/>
      <c r="CA830"/>
      <c r="CB830"/>
      <c r="CC830"/>
      <c r="CD830"/>
      <c r="CE830"/>
      <c r="CF830"/>
      <c r="CG830"/>
      <c r="CH830"/>
      <c r="CI830"/>
      <c r="CJ830"/>
      <c r="CK830"/>
      <c r="CL830"/>
      <c r="CM830"/>
      <c r="CN830"/>
      <c r="CO830"/>
      <c r="CP830"/>
      <c r="CQ830"/>
      <c r="CR830"/>
      <c r="CS830"/>
      <c r="CT830"/>
      <c r="CU830"/>
      <c r="CV830"/>
      <c r="CW830"/>
      <c r="CX830"/>
      <c r="CY830"/>
      <c r="CZ830"/>
      <c r="DA830"/>
      <c r="DB830"/>
      <c r="DC830"/>
      <c r="DD830"/>
      <c r="DE830"/>
      <c r="DF830"/>
      <c r="DG830"/>
      <c r="DH830"/>
      <c r="DI830"/>
      <c r="DJ830"/>
      <c r="DK830"/>
      <c r="DL830"/>
      <c r="DM830"/>
      <c r="DN830"/>
      <c r="DO830"/>
      <c r="DP830"/>
      <c r="DQ830"/>
      <c r="DR830"/>
      <c r="DS830"/>
      <c r="DT830"/>
      <c r="DU830"/>
      <c r="DV830"/>
      <c r="DW830"/>
      <c r="DX830"/>
      <c r="DY830"/>
      <c r="DZ830"/>
      <c r="EA830"/>
      <c r="EB830"/>
      <c r="EC830"/>
      <c r="ED830"/>
      <c r="EE830"/>
      <c r="EF830"/>
      <c r="EG830"/>
      <c r="EH830"/>
      <c r="EI830"/>
      <c r="EJ830"/>
      <c r="EK830"/>
      <c r="EL830"/>
      <c r="EM830"/>
      <c r="EN830"/>
      <c r="EO830"/>
      <c r="EP830"/>
      <c r="EQ830"/>
      <c r="ER830"/>
      <c r="ES830"/>
      <c r="ET830"/>
      <c r="EU830"/>
      <c r="EV830"/>
      <c r="EW830"/>
      <c r="EX830"/>
      <c r="EY830"/>
      <c r="EZ830"/>
      <c r="FA830"/>
      <c r="FB830"/>
      <c r="FC830"/>
      <c r="FD830"/>
      <c r="FE830"/>
      <c r="FF830"/>
      <c r="FG830"/>
      <c r="FH830"/>
      <c r="FI830"/>
      <c r="FJ830"/>
      <c r="FK830"/>
      <c r="FL830"/>
      <c r="FM830"/>
      <c r="FN830"/>
      <c r="FO830"/>
      <c r="FP830"/>
      <c r="FQ830"/>
      <c r="FR830"/>
      <c r="FS830"/>
      <c r="FT830"/>
      <c r="FU830"/>
      <c r="FV830"/>
      <c r="FW830"/>
      <c r="FX830"/>
      <c r="FY830"/>
      <c r="FZ830"/>
      <c r="GA830"/>
      <c r="GB830"/>
      <c r="GC830"/>
      <c r="GD830"/>
      <c r="GE830"/>
      <c r="GF830"/>
      <c r="GG830"/>
      <c r="GH830"/>
      <c r="GI830"/>
      <c r="GJ830"/>
      <c r="GK830"/>
      <c r="GL830"/>
      <c r="GM830"/>
      <c r="GN830"/>
      <c r="GO830"/>
      <c r="GP830"/>
      <c r="GQ830"/>
      <c r="GR830"/>
      <c r="GS830"/>
      <c r="GT830"/>
      <c r="GU830"/>
      <c r="GV830"/>
      <c r="GW830"/>
      <c r="GX830"/>
      <c r="GY830"/>
      <c r="GZ830"/>
      <c r="HA830"/>
      <c r="HB830"/>
      <c r="HC830"/>
      <c r="HD830"/>
      <c r="HE830"/>
      <c r="HF830"/>
      <c r="HG830"/>
      <c r="HH830"/>
      <c r="HI830"/>
      <c r="HJ830"/>
      <c r="HK830"/>
      <c r="HL830"/>
      <c r="HM830"/>
      <c r="HN830"/>
      <c r="HO830"/>
      <c r="HP830"/>
      <c r="HQ830"/>
      <c r="HR830"/>
      <c r="HS830"/>
      <c r="HT830"/>
      <c r="HU830"/>
      <c r="HV830"/>
      <c r="HW830"/>
      <c r="HX830"/>
      <c r="HY830"/>
      <c r="HZ830"/>
      <c r="IA830"/>
      <c r="IB830"/>
      <c r="IC830"/>
      <c r="ID830"/>
      <c r="IE830"/>
      <c r="IF830"/>
      <c r="IG830"/>
      <c r="IH830"/>
      <c r="II830"/>
      <c r="IJ830"/>
      <c r="IK830"/>
      <c r="IL830"/>
      <c r="IM830"/>
      <c r="IN830"/>
      <c r="IO830"/>
      <c r="IP830"/>
      <c r="IQ830"/>
      <c r="IR830"/>
      <c r="IS830"/>
      <c r="IT830"/>
      <c r="IU830"/>
      <c r="IV830"/>
      <c r="IW830"/>
      <c r="IX830"/>
    </row>
    <row r="831" spans="1:259" s="607" customFormat="1" ht="15" customHeight="1" x14ac:dyDescent="0.2">
      <c r="A831" s="798"/>
      <c r="B831" s="1811" t="s">
        <v>855</v>
      </c>
      <c r="C831" s="1572">
        <f t="shared" ref="C831:I831" si="178">SUM(C832:C835)</f>
        <v>2350000</v>
      </c>
      <c r="D831" s="733">
        <f t="shared" si="178"/>
        <v>2363073</v>
      </c>
      <c r="E831" s="904">
        <f t="shared" si="178"/>
        <v>2363073</v>
      </c>
      <c r="F831" s="733">
        <f t="shared" si="178"/>
        <v>813551.38</v>
      </c>
      <c r="G831" s="733">
        <f t="shared" si="178"/>
        <v>0</v>
      </c>
      <c r="H831" s="1176">
        <f t="shared" si="178"/>
        <v>0</v>
      </c>
      <c r="I831" s="1572">
        <f t="shared" si="178"/>
        <v>1000000</v>
      </c>
      <c r="J831" s="1421"/>
      <c r="K831" s="1367"/>
      <c r="L831" s="1079"/>
      <c r="M831" s="889"/>
      <c r="N831" s="847"/>
    </row>
    <row r="832" spans="1:259" ht="12.75" customHeight="1" x14ac:dyDescent="0.2">
      <c r="A832" s="798"/>
      <c r="B832" s="1567" t="s">
        <v>1128</v>
      </c>
      <c r="C832" s="1572">
        <v>500000</v>
      </c>
      <c r="D832" s="733">
        <v>500000</v>
      </c>
      <c r="E832" s="904">
        <v>500000</v>
      </c>
      <c r="F832" s="733">
        <v>246740</v>
      </c>
      <c r="G832" s="733">
        <v>0</v>
      </c>
      <c r="H832" s="1176">
        <v>0</v>
      </c>
      <c r="I832" s="1572">
        <v>0</v>
      </c>
      <c r="J832" s="1422"/>
      <c r="K832" s="1369"/>
      <c r="L832" s="848"/>
      <c r="M832" s="887"/>
      <c r="N832" s="843"/>
      <c r="O832"/>
      <c r="P832"/>
      <c r="Q832"/>
      <c r="R832"/>
      <c r="S832"/>
      <c r="T832"/>
      <c r="U832"/>
      <c r="V832"/>
      <c r="W832"/>
      <c r="X832"/>
      <c r="Y832"/>
      <c r="Z832"/>
      <c r="AA832"/>
      <c r="AB832"/>
      <c r="AC832"/>
      <c r="AD832"/>
      <c r="AE832"/>
      <c r="AF832"/>
      <c r="AG832"/>
      <c r="AH832"/>
      <c r="AI832"/>
      <c r="AJ832"/>
      <c r="AK832"/>
      <c r="AL832"/>
      <c r="AM832"/>
      <c r="AN832"/>
      <c r="AO832"/>
      <c r="AP832"/>
      <c r="AQ832"/>
      <c r="AR832"/>
      <c r="AS832"/>
      <c r="AT832"/>
      <c r="AU832"/>
      <c r="AV832"/>
      <c r="AW832"/>
      <c r="AX832"/>
      <c r="AY832"/>
      <c r="AZ832"/>
      <c r="BA832"/>
      <c r="BB832"/>
      <c r="BC832"/>
      <c r="BD832"/>
      <c r="BE832"/>
      <c r="BF832"/>
      <c r="BG832"/>
      <c r="BH832"/>
      <c r="BI832"/>
      <c r="BJ832"/>
      <c r="BK832"/>
      <c r="BL832"/>
      <c r="BM832"/>
      <c r="BN832"/>
      <c r="BO832"/>
      <c r="BP832"/>
      <c r="BQ832"/>
      <c r="BR832"/>
      <c r="BS832"/>
      <c r="BT832"/>
      <c r="BU832"/>
      <c r="BV832"/>
      <c r="BW832"/>
      <c r="BX832"/>
      <c r="BY832"/>
      <c r="BZ832"/>
      <c r="CA832"/>
      <c r="CB832"/>
      <c r="CC832"/>
      <c r="CD832"/>
      <c r="CE832"/>
      <c r="CF832"/>
      <c r="CG832"/>
      <c r="CH832"/>
      <c r="CI832"/>
      <c r="CJ832"/>
      <c r="CK832"/>
      <c r="CL832"/>
      <c r="CM832"/>
      <c r="CN832"/>
      <c r="CO832"/>
      <c r="CP832"/>
      <c r="CQ832"/>
      <c r="CR832"/>
      <c r="CS832"/>
      <c r="CT832"/>
      <c r="CU832"/>
      <c r="CV832"/>
      <c r="CW832"/>
      <c r="CX832"/>
      <c r="CY832"/>
      <c r="CZ832"/>
      <c r="DA832"/>
      <c r="DB832"/>
      <c r="DC832"/>
      <c r="DD832"/>
      <c r="DE832"/>
      <c r="DF832"/>
      <c r="DG832"/>
      <c r="DH832"/>
      <c r="DI832"/>
      <c r="DJ832"/>
      <c r="DK832"/>
      <c r="DL832"/>
      <c r="DM832"/>
      <c r="DN832"/>
      <c r="DO832"/>
      <c r="DP832"/>
      <c r="DQ832"/>
      <c r="DR832"/>
      <c r="DS832"/>
      <c r="DT832"/>
      <c r="DU832"/>
      <c r="DV832"/>
      <c r="DW832"/>
      <c r="DX832"/>
      <c r="DY832"/>
      <c r="DZ832"/>
      <c r="EA832"/>
      <c r="EB832"/>
      <c r="EC832"/>
      <c r="ED832"/>
      <c r="EE832"/>
      <c r="EF832"/>
      <c r="EG832"/>
      <c r="EH832"/>
      <c r="EI832"/>
      <c r="EJ832"/>
      <c r="EK832"/>
      <c r="EL832"/>
      <c r="EM832"/>
      <c r="EN832"/>
      <c r="EO832"/>
      <c r="EP832"/>
      <c r="EQ832"/>
      <c r="ER832"/>
      <c r="ES832"/>
      <c r="ET832"/>
      <c r="EU832"/>
      <c r="EV832"/>
      <c r="EW832"/>
      <c r="EX832"/>
      <c r="EY832"/>
      <c r="EZ832"/>
      <c r="FA832"/>
      <c r="FB832"/>
      <c r="FC832"/>
      <c r="FD832"/>
      <c r="FE832"/>
      <c r="FF832"/>
      <c r="FG832"/>
      <c r="FH832"/>
      <c r="FI832"/>
      <c r="FJ832"/>
      <c r="FK832"/>
      <c r="FL832"/>
      <c r="FM832"/>
      <c r="FN832"/>
      <c r="FO832"/>
      <c r="FP832"/>
      <c r="FQ832"/>
      <c r="FR832"/>
      <c r="FS832"/>
      <c r="FT832"/>
      <c r="FU832"/>
      <c r="FV832"/>
      <c r="FW832"/>
      <c r="FX832"/>
      <c r="FY832"/>
      <c r="FZ832"/>
      <c r="GA832"/>
      <c r="GB832"/>
      <c r="GC832"/>
      <c r="GD832"/>
      <c r="GE832"/>
      <c r="GF832"/>
      <c r="GG832"/>
      <c r="GH832"/>
      <c r="GI832"/>
      <c r="GJ832"/>
      <c r="GK832"/>
      <c r="GL832"/>
      <c r="GM832"/>
      <c r="GN832"/>
      <c r="GO832"/>
      <c r="GP832"/>
      <c r="GQ832"/>
      <c r="GR832"/>
      <c r="GS832"/>
      <c r="GT832"/>
      <c r="GU832"/>
      <c r="GV832"/>
      <c r="GW832"/>
      <c r="GX832"/>
      <c r="GY832"/>
      <c r="GZ832"/>
      <c r="HA832"/>
      <c r="HB832"/>
      <c r="HC832"/>
      <c r="HD832"/>
      <c r="HE832"/>
      <c r="HF832"/>
      <c r="HG832"/>
      <c r="HH832"/>
      <c r="HI832"/>
      <c r="HJ832"/>
      <c r="HK832"/>
      <c r="HL832"/>
      <c r="HM832"/>
      <c r="HN832"/>
      <c r="HO832"/>
      <c r="HP832"/>
      <c r="HQ832"/>
      <c r="HR832"/>
      <c r="HS832"/>
      <c r="HT832"/>
      <c r="HU832"/>
      <c r="HV832"/>
      <c r="HW832"/>
      <c r="HX832"/>
      <c r="HY832"/>
      <c r="HZ832"/>
      <c r="IA832"/>
      <c r="IB832"/>
      <c r="IC832"/>
      <c r="ID832"/>
      <c r="IE832"/>
      <c r="IF832"/>
      <c r="IG832"/>
      <c r="IH832"/>
      <c r="II832"/>
      <c r="IJ832"/>
      <c r="IK832"/>
      <c r="IL832"/>
      <c r="IM832"/>
      <c r="IN832"/>
      <c r="IO832"/>
      <c r="IP832"/>
      <c r="IQ832"/>
      <c r="IR832"/>
      <c r="IS832"/>
      <c r="IT832"/>
      <c r="IU832"/>
      <c r="IV832"/>
      <c r="IW832"/>
      <c r="IX832"/>
    </row>
    <row r="833" spans="1:259" ht="12.75" customHeight="1" x14ac:dyDescent="0.2">
      <c r="A833" s="798"/>
      <c r="B833" s="1722" t="s">
        <v>1129</v>
      </c>
      <c r="C833" s="1099">
        <v>250000</v>
      </c>
      <c r="D833" s="1090">
        <f>250000+13073</f>
        <v>263073</v>
      </c>
      <c r="E833" s="1088">
        <f>250000+13073</f>
        <v>263073</v>
      </c>
      <c r="F833" s="733">
        <v>0</v>
      </c>
      <c r="G833" s="733">
        <v>0</v>
      </c>
      <c r="H833" s="1176">
        <v>0</v>
      </c>
      <c r="I833" s="1099">
        <v>0</v>
      </c>
      <c r="J833" s="1421"/>
      <c r="K833" s="1367"/>
      <c r="L833" s="848"/>
      <c r="M833" s="887"/>
      <c r="N833" s="843"/>
      <c r="O833"/>
      <c r="P833"/>
      <c r="Q833"/>
      <c r="R833"/>
      <c r="S833"/>
      <c r="T833"/>
      <c r="U833"/>
      <c r="V833"/>
      <c r="W833"/>
      <c r="X833"/>
      <c r="Y833"/>
      <c r="Z833"/>
      <c r="AA833"/>
      <c r="AB833"/>
      <c r="AC833"/>
      <c r="AD833"/>
      <c r="AE833"/>
      <c r="AF833"/>
      <c r="AG833"/>
      <c r="AH833"/>
      <c r="AI833"/>
      <c r="AJ833"/>
      <c r="AK833"/>
      <c r="AL833"/>
      <c r="AM833"/>
      <c r="AN833"/>
      <c r="AO833"/>
      <c r="AP833"/>
      <c r="AQ833"/>
      <c r="AR833"/>
      <c r="AS833"/>
      <c r="AT833"/>
      <c r="AU833"/>
      <c r="AV833"/>
      <c r="AW833"/>
      <c r="AX833"/>
      <c r="AY833"/>
      <c r="AZ833"/>
      <c r="BA833"/>
      <c r="BB833"/>
      <c r="BC833"/>
      <c r="BD833"/>
      <c r="BE833"/>
      <c r="BF833"/>
      <c r="BG833"/>
      <c r="BH833"/>
      <c r="BI833"/>
      <c r="BJ833"/>
      <c r="BK833"/>
      <c r="BL833"/>
      <c r="BM833"/>
      <c r="BN833"/>
      <c r="BO833"/>
      <c r="BP833"/>
      <c r="BQ833"/>
      <c r="BR833"/>
      <c r="BS833"/>
      <c r="BT833"/>
      <c r="BU833"/>
      <c r="BV833"/>
      <c r="BW833"/>
      <c r="BX833"/>
      <c r="BY833"/>
      <c r="BZ833"/>
      <c r="CA833"/>
      <c r="CB833"/>
      <c r="CC833"/>
      <c r="CD833"/>
      <c r="CE833"/>
      <c r="CF833"/>
      <c r="CG833"/>
      <c r="CH833"/>
      <c r="CI833"/>
      <c r="CJ833"/>
      <c r="CK833"/>
      <c r="CL833"/>
      <c r="CM833"/>
      <c r="CN833"/>
      <c r="CO833"/>
      <c r="CP833"/>
      <c r="CQ833"/>
      <c r="CR833"/>
      <c r="CS833"/>
      <c r="CT833"/>
      <c r="CU833"/>
      <c r="CV833"/>
      <c r="CW833"/>
      <c r="CX833"/>
      <c r="CY833"/>
      <c r="CZ833"/>
      <c r="DA833"/>
      <c r="DB833"/>
      <c r="DC833"/>
      <c r="DD833"/>
      <c r="DE833"/>
      <c r="DF833"/>
      <c r="DG833"/>
      <c r="DH833"/>
      <c r="DI833"/>
      <c r="DJ833"/>
      <c r="DK833"/>
      <c r="DL833"/>
      <c r="DM833"/>
      <c r="DN833"/>
      <c r="DO833"/>
      <c r="DP833"/>
      <c r="DQ833"/>
      <c r="DR833"/>
      <c r="DS833"/>
      <c r="DT833"/>
      <c r="DU833"/>
      <c r="DV833"/>
      <c r="DW833"/>
      <c r="DX833"/>
      <c r="DY833"/>
      <c r="DZ833"/>
      <c r="EA833"/>
      <c r="EB833"/>
      <c r="EC833"/>
      <c r="ED833"/>
      <c r="EE833"/>
      <c r="EF833"/>
      <c r="EG833"/>
      <c r="EH833"/>
      <c r="EI833"/>
      <c r="EJ833"/>
      <c r="EK833"/>
      <c r="EL833"/>
      <c r="EM833"/>
      <c r="EN833"/>
      <c r="EO833"/>
      <c r="EP833"/>
      <c r="EQ833"/>
      <c r="ER833"/>
      <c r="ES833"/>
      <c r="ET833"/>
      <c r="EU833"/>
      <c r="EV833"/>
      <c r="EW833"/>
      <c r="EX833"/>
      <c r="EY833"/>
      <c r="EZ833"/>
      <c r="FA833"/>
      <c r="FB833"/>
      <c r="FC833"/>
      <c r="FD833"/>
      <c r="FE833"/>
      <c r="FF833"/>
      <c r="FG833"/>
      <c r="FH833"/>
      <c r="FI833"/>
      <c r="FJ833"/>
      <c r="FK833"/>
      <c r="FL833"/>
      <c r="FM833"/>
      <c r="FN833"/>
      <c r="FO833"/>
      <c r="FP833"/>
      <c r="FQ833"/>
      <c r="FR833"/>
      <c r="FS833"/>
      <c r="FT833"/>
      <c r="FU833"/>
      <c r="FV833"/>
      <c r="FW833"/>
      <c r="FX833"/>
      <c r="FY833"/>
      <c r="FZ833"/>
      <c r="GA833"/>
      <c r="GB833"/>
      <c r="GC833"/>
      <c r="GD833"/>
      <c r="GE833"/>
      <c r="GF833"/>
      <c r="GG833"/>
      <c r="GH833"/>
      <c r="GI833"/>
      <c r="GJ833"/>
      <c r="GK833"/>
      <c r="GL833"/>
      <c r="GM833"/>
      <c r="GN833"/>
      <c r="GO833"/>
      <c r="GP833"/>
      <c r="GQ833"/>
      <c r="GR833"/>
      <c r="GS833"/>
      <c r="GT833"/>
      <c r="GU833"/>
      <c r="GV833"/>
      <c r="GW833"/>
      <c r="GX833"/>
      <c r="GY833"/>
      <c r="GZ833"/>
      <c r="HA833"/>
      <c r="HB833"/>
      <c r="HC833"/>
      <c r="HD833"/>
      <c r="HE833"/>
      <c r="HF833"/>
      <c r="HG833"/>
      <c r="HH833"/>
      <c r="HI833"/>
      <c r="HJ833"/>
      <c r="HK833"/>
      <c r="HL833"/>
      <c r="HM833"/>
      <c r="HN833"/>
      <c r="HO833"/>
      <c r="HP833"/>
      <c r="HQ833"/>
      <c r="HR833"/>
      <c r="HS833"/>
      <c r="HT833"/>
      <c r="HU833"/>
      <c r="HV833"/>
      <c r="HW833"/>
      <c r="HX833"/>
      <c r="HY833"/>
      <c r="HZ833"/>
      <c r="IA833"/>
      <c r="IB833"/>
      <c r="IC833"/>
      <c r="ID833"/>
      <c r="IE833"/>
      <c r="IF833"/>
      <c r="IG833"/>
      <c r="IH833"/>
      <c r="II833"/>
      <c r="IJ833"/>
      <c r="IK833"/>
      <c r="IL833"/>
      <c r="IM833"/>
      <c r="IN833"/>
      <c r="IO833"/>
      <c r="IP833"/>
      <c r="IQ833"/>
      <c r="IR833"/>
      <c r="IS833"/>
      <c r="IT833"/>
      <c r="IU833"/>
      <c r="IV833"/>
      <c r="IW833"/>
      <c r="IX833"/>
    </row>
    <row r="834" spans="1:259" s="426" customFormat="1" ht="12.75" customHeight="1" x14ac:dyDescent="0.25">
      <c r="A834" s="853"/>
      <c r="B834" s="1553" t="s">
        <v>1130</v>
      </c>
      <c r="C834" s="1572">
        <v>600000</v>
      </c>
      <c r="D834" s="733">
        <v>600000</v>
      </c>
      <c r="E834" s="904">
        <v>600000</v>
      </c>
      <c r="F834" s="733">
        <v>286811.38</v>
      </c>
      <c r="G834" s="733">
        <v>0</v>
      </c>
      <c r="H834" s="1176">
        <v>0</v>
      </c>
      <c r="I834" s="1572">
        <v>0</v>
      </c>
      <c r="J834" s="1416"/>
      <c r="K834" s="1367"/>
      <c r="L834" s="1078"/>
      <c r="M834" s="890"/>
      <c r="N834" s="845"/>
      <c r="IY834" s="116"/>
    </row>
    <row r="835" spans="1:259" ht="12.75" customHeight="1" x14ac:dyDescent="0.2">
      <c r="A835" s="853"/>
      <c r="B835" s="1553" t="s">
        <v>1131</v>
      </c>
      <c r="C835" s="1572">
        <v>1000000</v>
      </c>
      <c r="D835" s="733">
        <v>1000000</v>
      </c>
      <c r="E835" s="904">
        <v>1000000</v>
      </c>
      <c r="F835" s="733">
        <v>280000</v>
      </c>
      <c r="G835" s="733">
        <v>0</v>
      </c>
      <c r="H835" s="1176">
        <v>0</v>
      </c>
      <c r="I835" s="1572">
        <v>1000000</v>
      </c>
      <c r="J835" s="1423"/>
      <c r="K835" s="1367">
        <f>K836+K837</f>
        <v>0</v>
      </c>
      <c r="L835" s="848"/>
      <c r="M835" s="887"/>
      <c r="N835" s="843"/>
      <c r="O835"/>
      <c r="P835"/>
      <c r="Q835"/>
      <c r="R835"/>
      <c r="S835"/>
      <c r="T835"/>
      <c r="U835"/>
      <c r="V835"/>
      <c r="W835"/>
      <c r="X835"/>
      <c r="Y835"/>
      <c r="Z835"/>
      <c r="AA835"/>
      <c r="AB835"/>
      <c r="AC835"/>
      <c r="AD835"/>
      <c r="AE835"/>
      <c r="AF835"/>
      <c r="AG835"/>
      <c r="AH835"/>
      <c r="AI835"/>
      <c r="AJ835"/>
      <c r="AK835"/>
      <c r="AL835"/>
      <c r="AM835"/>
      <c r="AN835"/>
      <c r="AO835"/>
      <c r="AP835"/>
      <c r="AQ835"/>
      <c r="AR835"/>
      <c r="AS835"/>
      <c r="AT835"/>
      <c r="AU835"/>
      <c r="AV835"/>
      <c r="AW835"/>
      <c r="AX835"/>
      <c r="AY835"/>
      <c r="AZ835"/>
      <c r="BA835"/>
      <c r="BB835"/>
      <c r="BC835"/>
      <c r="BD835"/>
      <c r="BE835"/>
      <c r="BF835"/>
      <c r="BG835"/>
      <c r="BH835"/>
      <c r="BI835"/>
      <c r="BJ835"/>
      <c r="BK835"/>
      <c r="BL835"/>
      <c r="BM835"/>
      <c r="BN835"/>
      <c r="BO835"/>
      <c r="BP835"/>
      <c r="BQ835"/>
      <c r="BR835"/>
      <c r="BS835"/>
      <c r="BT835"/>
      <c r="BU835"/>
      <c r="BV835"/>
      <c r="BW835"/>
      <c r="BX835"/>
      <c r="BY835"/>
      <c r="BZ835"/>
      <c r="CA835"/>
      <c r="CB835"/>
      <c r="CC835"/>
      <c r="CD835"/>
      <c r="CE835"/>
      <c r="CF835"/>
      <c r="CG835"/>
      <c r="CH835"/>
      <c r="CI835"/>
      <c r="CJ835"/>
      <c r="CK835"/>
      <c r="CL835"/>
      <c r="CM835"/>
      <c r="CN835"/>
      <c r="CO835"/>
      <c r="CP835"/>
      <c r="CQ835"/>
      <c r="CR835"/>
      <c r="CS835"/>
      <c r="CT835"/>
      <c r="CU835"/>
      <c r="CV835"/>
      <c r="CW835"/>
      <c r="CX835"/>
      <c r="CY835"/>
      <c r="CZ835"/>
      <c r="DA835"/>
      <c r="DB835"/>
      <c r="DC835"/>
      <c r="DD835"/>
      <c r="DE835"/>
      <c r="DF835"/>
      <c r="DG835"/>
      <c r="DH835"/>
      <c r="DI835"/>
      <c r="DJ835"/>
      <c r="DK835"/>
      <c r="DL835"/>
      <c r="DM835"/>
      <c r="DN835"/>
      <c r="DO835"/>
      <c r="DP835"/>
      <c r="DQ835"/>
      <c r="DR835"/>
      <c r="DS835"/>
      <c r="DT835"/>
      <c r="DU835"/>
      <c r="DV835"/>
      <c r="DW835"/>
      <c r="DX835"/>
      <c r="DY835"/>
      <c r="DZ835"/>
      <c r="EA835"/>
      <c r="EB835"/>
      <c r="EC835"/>
      <c r="ED835"/>
      <c r="EE835"/>
      <c r="EF835"/>
      <c r="EG835"/>
      <c r="EH835"/>
      <c r="EI835"/>
      <c r="EJ835"/>
      <c r="EK835"/>
      <c r="EL835"/>
      <c r="EM835"/>
      <c r="EN835"/>
      <c r="EO835"/>
      <c r="EP835"/>
      <c r="EQ835"/>
      <c r="ER835"/>
      <c r="ES835"/>
      <c r="ET835"/>
      <c r="EU835"/>
      <c r="EV835"/>
      <c r="EW835"/>
      <c r="EX835"/>
      <c r="EY835"/>
      <c r="EZ835"/>
      <c r="FA835"/>
      <c r="FB835"/>
      <c r="FC835"/>
      <c r="FD835"/>
      <c r="FE835"/>
      <c r="FF835"/>
      <c r="FG835"/>
      <c r="FH835"/>
      <c r="FI835"/>
      <c r="FJ835"/>
      <c r="FK835"/>
      <c r="FL835"/>
      <c r="FM835"/>
      <c r="FN835"/>
      <c r="FO835"/>
      <c r="FP835"/>
      <c r="FQ835"/>
      <c r="FR835"/>
      <c r="FS835"/>
      <c r="FT835"/>
      <c r="FU835"/>
      <c r="FV835"/>
      <c r="FW835"/>
      <c r="FX835"/>
      <c r="FY835"/>
      <c r="FZ835"/>
      <c r="GA835"/>
      <c r="GB835"/>
      <c r="GC835"/>
      <c r="GD835"/>
      <c r="GE835"/>
      <c r="GF835"/>
      <c r="GG835"/>
      <c r="GH835"/>
      <c r="GI835"/>
      <c r="GJ835"/>
      <c r="GK835"/>
      <c r="GL835"/>
      <c r="GM835"/>
      <c r="GN835"/>
      <c r="GO835"/>
      <c r="GP835"/>
      <c r="GQ835"/>
      <c r="GR835"/>
      <c r="GS835"/>
      <c r="GT835"/>
      <c r="GU835"/>
      <c r="GV835"/>
      <c r="GW835"/>
      <c r="GX835"/>
      <c r="GY835"/>
      <c r="GZ835"/>
      <c r="HA835"/>
      <c r="HB835"/>
      <c r="HC835"/>
      <c r="HD835"/>
      <c r="HE835"/>
      <c r="HF835"/>
      <c r="HG835"/>
      <c r="HH835"/>
      <c r="HI835"/>
      <c r="HJ835"/>
      <c r="HK835"/>
      <c r="HL835"/>
      <c r="HM835"/>
      <c r="HN835"/>
      <c r="HO835"/>
      <c r="HP835"/>
      <c r="HQ835"/>
      <c r="HR835"/>
      <c r="HS835"/>
      <c r="HT835"/>
      <c r="HU835"/>
      <c r="HV835"/>
      <c r="HW835"/>
      <c r="HX835"/>
      <c r="HY835"/>
      <c r="HZ835"/>
      <c r="IA835"/>
      <c r="IB835"/>
      <c r="IC835"/>
      <c r="ID835"/>
      <c r="IE835"/>
      <c r="IF835"/>
      <c r="IG835"/>
      <c r="IH835"/>
      <c r="II835"/>
      <c r="IJ835"/>
      <c r="IK835"/>
      <c r="IL835"/>
      <c r="IM835"/>
      <c r="IN835"/>
      <c r="IO835"/>
      <c r="IP835"/>
      <c r="IQ835"/>
      <c r="IR835"/>
      <c r="IS835"/>
      <c r="IT835"/>
      <c r="IU835"/>
      <c r="IV835"/>
      <c r="IW835"/>
      <c r="IX835"/>
    </row>
    <row r="836" spans="1:259" ht="12.75" customHeight="1" x14ac:dyDescent="0.2">
      <c r="A836" s="853"/>
      <c r="B836" s="1816" t="s">
        <v>1473</v>
      </c>
      <c r="C836" s="1817">
        <f t="shared" ref="C836:H836" si="179">C837+C838</f>
        <v>2750000</v>
      </c>
      <c r="D836" s="2082">
        <f t="shared" si="179"/>
        <v>2750000</v>
      </c>
      <c r="E836" s="2083">
        <f t="shared" si="179"/>
        <v>2500000</v>
      </c>
      <c r="F836" s="2082">
        <f t="shared" si="179"/>
        <v>1780000</v>
      </c>
      <c r="G836" s="2082">
        <f t="shared" si="179"/>
        <v>1294415.7</v>
      </c>
      <c r="H836" s="1818">
        <f t="shared" si="179"/>
        <v>1120649.3999999999</v>
      </c>
      <c r="I836" s="1817">
        <v>0</v>
      </c>
      <c r="J836" s="1416"/>
      <c r="K836" s="1367"/>
      <c r="L836" s="848"/>
      <c r="M836" s="887"/>
      <c r="N836" s="843"/>
      <c r="O836"/>
      <c r="P836"/>
      <c r="Q836"/>
      <c r="R836"/>
      <c r="S836"/>
      <c r="T836"/>
      <c r="U836"/>
      <c r="V836"/>
      <c r="W836"/>
      <c r="X836"/>
      <c r="Y836"/>
      <c r="Z836"/>
      <c r="AA836"/>
      <c r="AB836"/>
      <c r="AC836"/>
      <c r="AD836"/>
      <c r="AE836"/>
      <c r="AF836"/>
      <c r="AG836"/>
      <c r="AH836"/>
      <c r="AI836"/>
      <c r="AJ836"/>
      <c r="AK836"/>
      <c r="AL836"/>
      <c r="AM836"/>
      <c r="AN836"/>
      <c r="AO836"/>
      <c r="AP836"/>
      <c r="AQ836"/>
      <c r="AR836"/>
      <c r="AS836"/>
      <c r="AT836"/>
      <c r="AU836"/>
      <c r="AV836"/>
      <c r="AW836"/>
      <c r="AX836"/>
      <c r="AY836"/>
      <c r="AZ836"/>
      <c r="BA836"/>
      <c r="BB836"/>
      <c r="BC836"/>
      <c r="BD836"/>
      <c r="BE836"/>
      <c r="BF836"/>
      <c r="BG836"/>
      <c r="BH836"/>
      <c r="BI836"/>
      <c r="BJ836"/>
      <c r="BK836"/>
      <c r="BL836"/>
      <c r="BM836"/>
      <c r="BN836"/>
      <c r="BO836"/>
      <c r="BP836"/>
      <c r="BQ836"/>
      <c r="BR836"/>
      <c r="BS836"/>
      <c r="BT836"/>
      <c r="BU836"/>
      <c r="BV836"/>
      <c r="BW836"/>
      <c r="BX836"/>
      <c r="BY836"/>
      <c r="BZ836"/>
      <c r="CA836"/>
      <c r="CB836"/>
      <c r="CC836"/>
      <c r="CD836"/>
      <c r="CE836"/>
      <c r="CF836"/>
      <c r="CG836"/>
      <c r="CH836"/>
      <c r="CI836"/>
      <c r="CJ836"/>
      <c r="CK836"/>
      <c r="CL836"/>
      <c r="CM836"/>
      <c r="CN836"/>
      <c r="CO836"/>
      <c r="CP836"/>
      <c r="CQ836"/>
      <c r="CR836"/>
      <c r="CS836"/>
      <c r="CT836"/>
      <c r="CU836"/>
      <c r="CV836"/>
      <c r="CW836"/>
      <c r="CX836"/>
      <c r="CY836"/>
      <c r="CZ836"/>
      <c r="DA836"/>
      <c r="DB836"/>
      <c r="DC836"/>
      <c r="DD836"/>
      <c r="DE836"/>
      <c r="DF836"/>
      <c r="DG836"/>
      <c r="DH836"/>
      <c r="DI836"/>
      <c r="DJ836"/>
      <c r="DK836"/>
      <c r="DL836"/>
      <c r="DM836"/>
      <c r="DN836"/>
      <c r="DO836"/>
      <c r="DP836"/>
      <c r="DQ836"/>
      <c r="DR836"/>
      <c r="DS836"/>
      <c r="DT836"/>
      <c r="DU836"/>
      <c r="DV836"/>
      <c r="DW836"/>
      <c r="DX836"/>
      <c r="DY836"/>
      <c r="DZ836"/>
      <c r="EA836"/>
      <c r="EB836"/>
      <c r="EC836"/>
      <c r="ED836"/>
      <c r="EE836"/>
      <c r="EF836"/>
      <c r="EG836"/>
      <c r="EH836"/>
      <c r="EI836"/>
      <c r="EJ836"/>
      <c r="EK836"/>
      <c r="EL836"/>
      <c r="EM836"/>
      <c r="EN836"/>
      <c r="EO836"/>
      <c r="EP836"/>
      <c r="EQ836"/>
      <c r="ER836"/>
      <c r="ES836"/>
      <c r="ET836"/>
      <c r="EU836"/>
      <c r="EV836"/>
      <c r="EW836"/>
      <c r="EX836"/>
      <c r="EY836"/>
      <c r="EZ836"/>
      <c r="FA836"/>
      <c r="FB836"/>
      <c r="FC836"/>
      <c r="FD836"/>
      <c r="FE836"/>
      <c r="FF836"/>
      <c r="FG836"/>
      <c r="FH836"/>
      <c r="FI836"/>
      <c r="FJ836"/>
      <c r="FK836"/>
      <c r="FL836"/>
      <c r="FM836"/>
      <c r="FN836"/>
      <c r="FO836"/>
      <c r="FP836"/>
      <c r="FQ836"/>
      <c r="FR836"/>
      <c r="FS836"/>
      <c r="FT836"/>
      <c r="FU836"/>
      <c r="FV836"/>
      <c r="FW836"/>
      <c r="FX836"/>
      <c r="FY836"/>
      <c r="FZ836"/>
      <c r="GA836"/>
      <c r="GB836"/>
      <c r="GC836"/>
      <c r="GD836"/>
      <c r="GE836"/>
      <c r="GF836"/>
      <c r="GG836"/>
      <c r="GH836"/>
      <c r="GI836"/>
      <c r="GJ836"/>
      <c r="GK836"/>
      <c r="GL836"/>
      <c r="GM836"/>
      <c r="GN836"/>
      <c r="GO836"/>
      <c r="GP836"/>
      <c r="GQ836"/>
      <c r="GR836"/>
      <c r="GS836"/>
      <c r="GT836"/>
      <c r="GU836"/>
      <c r="GV836"/>
      <c r="GW836"/>
      <c r="GX836"/>
      <c r="GY836"/>
      <c r="GZ836"/>
      <c r="HA836"/>
      <c r="HB836"/>
      <c r="HC836"/>
      <c r="HD836"/>
      <c r="HE836"/>
      <c r="HF836"/>
      <c r="HG836"/>
      <c r="HH836"/>
      <c r="HI836"/>
      <c r="HJ836"/>
      <c r="HK836"/>
      <c r="HL836"/>
      <c r="HM836"/>
      <c r="HN836"/>
      <c r="HO836"/>
      <c r="HP836"/>
      <c r="HQ836"/>
      <c r="HR836"/>
      <c r="HS836"/>
      <c r="HT836"/>
      <c r="HU836"/>
      <c r="HV836"/>
      <c r="HW836"/>
      <c r="HX836"/>
      <c r="HY836"/>
      <c r="HZ836"/>
      <c r="IA836"/>
      <c r="IB836"/>
      <c r="IC836"/>
      <c r="ID836"/>
      <c r="IE836"/>
      <c r="IF836"/>
      <c r="IG836"/>
      <c r="IH836"/>
      <c r="II836"/>
      <c r="IJ836"/>
      <c r="IK836"/>
      <c r="IL836"/>
      <c r="IM836"/>
      <c r="IN836"/>
      <c r="IO836"/>
      <c r="IP836"/>
      <c r="IQ836"/>
      <c r="IR836"/>
      <c r="IS836"/>
      <c r="IT836"/>
      <c r="IU836"/>
      <c r="IV836"/>
      <c r="IW836"/>
      <c r="IX836"/>
    </row>
    <row r="837" spans="1:259" ht="12.75" customHeight="1" x14ac:dyDescent="0.2">
      <c r="A837" s="853"/>
      <c r="B837" s="1813" t="s">
        <v>850</v>
      </c>
      <c r="C837" s="1099">
        <v>2500000</v>
      </c>
      <c r="D837" s="1090">
        <v>2500000</v>
      </c>
      <c r="E837" s="1088">
        <v>2500000</v>
      </c>
      <c r="F837" s="1090">
        <v>1780000</v>
      </c>
      <c r="G837" s="1090">
        <v>1294415.7</v>
      </c>
      <c r="H837" s="1548">
        <v>1120649.3999999999</v>
      </c>
      <c r="I837" s="1099">
        <v>0</v>
      </c>
      <c r="J837" s="1416"/>
      <c r="K837" s="1367"/>
      <c r="L837" s="848"/>
      <c r="M837" s="887"/>
      <c r="N837" s="843"/>
      <c r="O837"/>
      <c r="P837"/>
      <c r="Q837"/>
      <c r="R837"/>
      <c r="S837"/>
      <c r="T837"/>
      <c r="U837"/>
      <c r="V837"/>
      <c r="W837"/>
      <c r="X837"/>
      <c r="Y837"/>
      <c r="Z837"/>
      <c r="AA837"/>
      <c r="AB837"/>
      <c r="AC837"/>
      <c r="AD837"/>
      <c r="AE837"/>
      <c r="AF837"/>
      <c r="AG837"/>
      <c r="AH837"/>
      <c r="AI837"/>
      <c r="AJ837"/>
      <c r="AK837"/>
      <c r="AL837"/>
      <c r="AM837"/>
      <c r="AN837"/>
      <c r="AO837"/>
      <c r="AP837"/>
      <c r="AQ837"/>
      <c r="AR837"/>
      <c r="AS837"/>
      <c r="AT837"/>
      <c r="AU837"/>
      <c r="AV837"/>
      <c r="AW837"/>
      <c r="AX837"/>
      <c r="AY837"/>
      <c r="AZ837"/>
      <c r="BA837"/>
      <c r="BB837"/>
      <c r="BC837"/>
      <c r="BD837"/>
      <c r="BE837"/>
      <c r="BF837"/>
      <c r="BG837"/>
      <c r="BH837"/>
      <c r="BI837"/>
      <c r="BJ837"/>
      <c r="BK837"/>
      <c r="BL837"/>
      <c r="BM837"/>
      <c r="BN837"/>
      <c r="BO837"/>
      <c r="BP837"/>
      <c r="BQ837"/>
      <c r="BR837"/>
      <c r="BS837"/>
      <c r="BT837"/>
      <c r="BU837"/>
      <c r="BV837"/>
      <c r="BW837"/>
      <c r="BX837"/>
      <c r="BY837"/>
      <c r="BZ837"/>
      <c r="CA837"/>
      <c r="CB837"/>
      <c r="CC837"/>
      <c r="CD837"/>
      <c r="CE837"/>
      <c r="CF837"/>
      <c r="CG837"/>
      <c r="CH837"/>
      <c r="CI837"/>
      <c r="CJ837"/>
      <c r="CK837"/>
      <c r="CL837"/>
      <c r="CM837"/>
      <c r="CN837"/>
      <c r="CO837"/>
      <c r="CP837"/>
      <c r="CQ837"/>
      <c r="CR837"/>
      <c r="CS837"/>
      <c r="CT837"/>
      <c r="CU837"/>
      <c r="CV837"/>
      <c r="CW837"/>
      <c r="CX837"/>
      <c r="CY837"/>
      <c r="CZ837"/>
      <c r="DA837"/>
      <c r="DB837"/>
      <c r="DC837"/>
      <c r="DD837"/>
      <c r="DE837"/>
      <c r="DF837"/>
      <c r="DG837"/>
      <c r="DH837"/>
      <c r="DI837"/>
      <c r="DJ837"/>
      <c r="DK837"/>
      <c r="DL837"/>
      <c r="DM837"/>
      <c r="DN837"/>
      <c r="DO837"/>
      <c r="DP837"/>
      <c r="DQ837"/>
      <c r="DR837"/>
      <c r="DS837"/>
      <c r="DT837"/>
      <c r="DU837"/>
      <c r="DV837"/>
      <c r="DW837"/>
      <c r="DX837"/>
      <c r="DY837"/>
      <c r="DZ837"/>
      <c r="EA837"/>
      <c r="EB837"/>
      <c r="EC837"/>
      <c r="ED837"/>
      <c r="EE837"/>
      <c r="EF837"/>
      <c r="EG837"/>
      <c r="EH837"/>
      <c r="EI837"/>
      <c r="EJ837"/>
      <c r="EK837"/>
      <c r="EL837"/>
      <c r="EM837"/>
      <c r="EN837"/>
      <c r="EO837"/>
      <c r="EP837"/>
      <c r="EQ837"/>
      <c r="ER837"/>
      <c r="ES837"/>
      <c r="ET837"/>
      <c r="EU837"/>
      <c r="EV837"/>
      <c r="EW837"/>
      <c r="EX837"/>
      <c r="EY837"/>
      <c r="EZ837"/>
      <c r="FA837"/>
      <c r="FB837"/>
      <c r="FC837"/>
      <c r="FD837"/>
      <c r="FE837"/>
      <c r="FF837"/>
      <c r="FG837"/>
      <c r="FH837"/>
      <c r="FI837"/>
      <c r="FJ837"/>
      <c r="FK837"/>
      <c r="FL837"/>
      <c r="FM837"/>
      <c r="FN837"/>
      <c r="FO837"/>
      <c r="FP837"/>
      <c r="FQ837"/>
      <c r="FR837"/>
      <c r="FS837"/>
      <c r="FT837"/>
      <c r="FU837"/>
      <c r="FV837"/>
      <c r="FW837"/>
      <c r="FX837"/>
      <c r="FY837"/>
      <c r="FZ837"/>
      <c r="GA837"/>
      <c r="GB837"/>
      <c r="GC837"/>
      <c r="GD837"/>
      <c r="GE837"/>
      <c r="GF837"/>
      <c r="GG837"/>
      <c r="GH837"/>
      <c r="GI837"/>
      <c r="GJ837"/>
      <c r="GK837"/>
      <c r="GL837"/>
      <c r="GM837"/>
      <c r="GN837"/>
      <c r="GO837"/>
      <c r="GP837"/>
      <c r="GQ837"/>
      <c r="GR837"/>
      <c r="GS837"/>
      <c r="GT837"/>
      <c r="GU837"/>
      <c r="GV837"/>
      <c r="GW837"/>
      <c r="GX837"/>
      <c r="GY837"/>
      <c r="GZ837"/>
      <c r="HA837"/>
      <c r="HB837"/>
      <c r="HC837"/>
      <c r="HD837"/>
      <c r="HE837"/>
      <c r="HF837"/>
      <c r="HG837"/>
      <c r="HH837"/>
      <c r="HI837"/>
      <c r="HJ837"/>
      <c r="HK837"/>
      <c r="HL837"/>
      <c r="HM837"/>
      <c r="HN837"/>
      <c r="HO837"/>
      <c r="HP837"/>
      <c r="HQ837"/>
      <c r="HR837"/>
      <c r="HS837"/>
      <c r="HT837"/>
      <c r="HU837"/>
      <c r="HV837"/>
      <c r="HW837"/>
      <c r="HX837"/>
      <c r="HY837"/>
      <c r="HZ837"/>
      <c r="IA837"/>
      <c r="IB837"/>
      <c r="IC837"/>
      <c r="ID837"/>
      <c r="IE837"/>
      <c r="IF837"/>
      <c r="IG837"/>
      <c r="IH837"/>
      <c r="II837"/>
      <c r="IJ837"/>
      <c r="IK837"/>
      <c r="IL837"/>
      <c r="IM837"/>
      <c r="IN837"/>
      <c r="IO837"/>
      <c r="IP837"/>
      <c r="IQ837"/>
      <c r="IR837"/>
      <c r="IS837"/>
      <c r="IT837"/>
      <c r="IU837"/>
      <c r="IV837"/>
      <c r="IW837"/>
      <c r="IX837"/>
    </row>
    <row r="838" spans="1:259" ht="12.75" customHeight="1" x14ac:dyDescent="0.2">
      <c r="A838" s="798"/>
      <c r="B838" s="1567" t="s">
        <v>1474</v>
      </c>
      <c r="C838" s="1099">
        <f>SUM(C839)</f>
        <v>250000</v>
      </c>
      <c r="D838" s="1090">
        <f>SUM(D839)</f>
        <v>250000</v>
      </c>
      <c r="E838" s="904">
        <f>SUM(E839)</f>
        <v>0</v>
      </c>
      <c r="F838" s="1090">
        <v>0</v>
      </c>
      <c r="G838" s="1090">
        <v>0</v>
      </c>
      <c r="H838" s="1548">
        <v>0</v>
      </c>
      <c r="I838" s="1099">
        <v>0</v>
      </c>
      <c r="J838" s="1416"/>
      <c r="K838" s="1367"/>
      <c r="L838" s="848"/>
      <c r="M838" s="887"/>
      <c r="N838" s="843"/>
      <c r="O838"/>
      <c r="P838"/>
      <c r="Q838"/>
      <c r="R838"/>
      <c r="S838"/>
      <c r="T838"/>
      <c r="U838"/>
      <c r="V838"/>
      <c r="W838"/>
      <c r="X838"/>
      <c r="Y838"/>
      <c r="Z838"/>
      <c r="AA838"/>
      <c r="AB838"/>
      <c r="AC838"/>
      <c r="AD838"/>
      <c r="AE838"/>
      <c r="AF838"/>
      <c r="AG838"/>
      <c r="AH838"/>
      <c r="AI838"/>
      <c r="AJ838"/>
      <c r="AK838"/>
      <c r="AL838"/>
      <c r="AM838"/>
      <c r="AN838"/>
      <c r="AO838"/>
      <c r="AP838"/>
      <c r="AQ838"/>
      <c r="AR838"/>
      <c r="AS838"/>
      <c r="AT838"/>
      <c r="AU838"/>
      <c r="AV838"/>
      <c r="AW838"/>
      <c r="AX838"/>
      <c r="AY838"/>
      <c r="AZ838"/>
      <c r="BA838"/>
      <c r="BB838"/>
      <c r="BC838"/>
      <c r="BD838"/>
      <c r="BE838"/>
      <c r="BF838"/>
      <c r="BG838"/>
      <c r="BH838"/>
      <c r="BI838"/>
      <c r="BJ838"/>
      <c r="BK838"/>
      <c r="BL838"/>
      <c r="BM838"/>
      <c r="BN838"/>
      <c r="BO838"/>
      <c r="BP838"/>
      <c r="BQ838"/>
      <c r="BR838"/>
      <c r="BS838"/>
      <c r="BT838"/>
      <c r="BU838"/>
      <c r="BV838"/>
      <c r="BW838"/>
      <c r="BX838"/>
      <c r="BY838"/>
      <c r="BZ838"/>
      <c r="CA838"/>
      <c r="CB838"/>
      <c r="CC838"/>
      <c r="CD838"/>
      <c r="CE838"/>
      <c r="CF838"/>
      <c r="CG838"/>
      <c r="CH838"/>
      <c r="CI838"/>
      <c r="CJ838"/>
      <c r="CK838"/>
      <c r="CL838"/>
      <c r="CM838"/>
      <c r="CN838"/>
      <c r="CO838"/>
      <c r="CP838"/>
      <c r="CQ838"/>
      <c r="CR838"/>
      <c r="CS838"/>
      <c r="CT838"/>
      <c r="CU838"/>
      <c r="CV838"/>
      <c r="CW838"/>
      <c r="CX838"/>
      <c r="CY838"/>
      <c r="CZ838"/>
      <c r="DA838"/>
      <c r="DB838"/>
      <c r="DC838"/>
      <c r="DD838"/>
      <c r="DE838"/>
      <c r="DF838"/>
      <c r="DG838"/>
      <c r="DH838"/>
      <c r="DI838"/>
      <c r="DJ838"/>
      <c r="DK838"/>
      <c r="DL838"/>
      <c r="DM838"/>
      <c r="DN838"/>
      <c r="DO838"/>
      <c r="DP838"/>
      <c r="DQ838"/>
      <c r="DR838"/>
      <c r="DS838"/>
      <c r="DT838"/>
      <c r="DU838"/>
      <c r="DV838"/>
      <c r="DW838"/>
      <c r="DX838"/>
      <c r="DY838"/>
      <c r="DZ838"/>
      <c r="EA838"/>
      <c r="EB838"/>
      <c r="EC838"/>
      <c r="ED838"/>
      <c r="EE838"/>
      <c r="EF838"/>
      <c r="EG838"/>
      <c r="EH838"/>
      <c r="EI838"/>
      <c r="EJ838"/>
      <c r="EK838"/>
      <c r="EL838"/>
      <c r="EM838"/>
      <c r="EN838"/>
      <c r="EO838"/>
      <c r="EP838"/>
      <c r="EQ838"/>
      <c r="ER838"/>
      <c r="ES838"/>
      <c r="ET838"/>
      <c r="EU838"/>
      <c r="EV838"/>
      <c r="EW838"/>
      <c r="EX838"/>
      <c r="EY838"/>
      <c r="EZ838"/>
      <c r="FA838"/>
      <c r="FB838"/>
      <c r="FC838"/>
      <c r="FD838"/>
      <c r="FE838"/>
      <c r="FF838"/>
      <c r="FG838"/>
      <c r="FH838"/>
      <c r="FI838"/>
      <c r="FJ838"/>
      <c r="FK838"/>
      <c r="FL838"/>
      <c r="FM838"/>
      <c r="FN838"/>
      <c r="FO838"/>
      <c r="FP838"/>
      <c r="FQ838"/>
      <c r="FR838"/>
      <c r="FS838"/>
      <c r="FT838"/>
      <c r="FU838"/>
      <c r="FV838"/>
      <c r="FW838"/>
      <c r="FX838"/>
      <c r="FY838"/>
      <c r="FZ838"/>
      <c r="GA838"/>
      <c r="GB838"/>
      <c r="GC838"/>
      <c r="GD838"/>
      <c r="GE838"/>
      <c r="GF838"/>
      <c r="GG838"/>
      <c r="GH838"/>
      <c r="GI838"/>
      <c r="GJ838"/>
      <c r="GK838"/>
      <c r="GL838"/>
      <c r="GM838"/>
      <c r="GN838"/>
      <c r="GO838"/>
      <c r="GP838"/>
      <c r="GQ838"/>
      <c r="GR838"/>
      <c r="GS838"/>
      <c r="GT838"/>
      <c r="GU838"/>
      <c r="GV838"/>
      <c r="GW838"/>
      <c r="GX838"/>
      <c r="GY838"/>
      <c r="GZ838"/>
      <c r="HA838"/>
      <c r="HB838"/>
      <c r="HC838"/>
      <c r="HD838"/>
      <c r="HE838"/>
      <c r="HF838"/>
      <c r="HG838"/>
      <c r="HH838"/>
      <c r="HI838"/>
      <c r="HJ838"/>
      <c r="HK838"/>
      <c r="HL838"/>
      <c r="HM838"/>
      <c r="HN838"/>
      <c r="HO838"/>
      <c r="HP838"/>
      <c r="HQ838"/>
      <c r="HR838"/>
      <c r="HS838"/>
      <c r="HT838"/>
      <c r="HU838"/>
      <c r="HV838"/>
      <c r="HW838"/>
      <c r="HX838"/>
      <c r="HY838"/>
      <c r="HZ838"/>
      <c r="IA838"/>
      <c r="IB838"/>
      <c r="IC838"/>
      <c r="ID838"/>
      <c r="IE838"/>
      <c r="IF838"/>
      <c r="IG838"/>
      <c r="IH838"/>
      <c r="II838"/>
      <c r="IJ838"/>
      <c r="IK838"/>
      <c r="IL838"/>
      <c r="IM838"/>
      <c r="IN838"/>
      <c r="IO838"/>
      <c r="IP838"/>
      <c r="IQ838"/>
      <c r="IR838"/>
      <c r="IS838"/>
      <c r="IT838"/>
      <c r="IU838"/>
      <c r="IV838"/>
      <c r="IW838"/>
      <c r="IX838"/>
    </row>
    <row r="839" spans="1:259" ht="12.75" customHeight="1" x14ac:dyDescent="0.2">
      <c r="A839" s="798"/>
      <c r="B839" s="1567" t="s">
        <v>869</v>
      </c>
      <c r="C839" s="1501">
        <v>250000</v>
      </c>
      <c r="D839" s="1090">
        <v>250000</v>
      </c>
      <c r="E839" s="904">
        <v>0</v>
      </c>
      <c r="F839" s="1090">
        <v>0</v>
      </c>
      <c r="G839" s="1090">
        <v>0</v>
      </c>
      <c r="H839" s="1548">
        <v>0</v>
      </c>
      <c r="I839" s="1099">
        <v>0</v>
      </c>
      <c r="J839" s="1416"/>
      <c r="K839" s="1367"/>
      <c r="L839" s="848"/>
      <c r="M839" s="887"/>
      <c r="N839" s="843"/>
      <c r="O839"/>
      <c r="P839"/>
      <c r="Q839"/>
      <c r="R839"/>
      <c r="S839"/>
      <c r="T839"/>
      <c r="U839"/>
      <c r="V839"/>
      <c r="W839"/>
      <c r="X839"/>
      <c r="Y839"/>
      <c r="Z839"/>
      <c r="AA839"/>
      <c r="AB839"/>
      <c r="AC839"/>
      <c r="AD839"/>
      <c r="AE839"/>
      <c r="AF839"/>
      <c r="AG839"/>
      <c r="AH839"/>
      <c r="AI839"/>
      <c r="AJ839"/>
      <c r="AK839"/>
      <c r="AL839"/>
      <c r="AM839"/>
      <c r="AN839"/>
      <c r="AO839"/>
      <c r="AP839"/>
      <c r="AQ839"/>
      <c r="AR839"/>
      <c r="AS839"/>
      <c r="AT839"/>
      <c r="AU839"/>
      <c r="AV839"/>
      <c r="AW839"/>
      <c r="AX839"/>
      <c r="AY839"/>
      <c r="AZ839"/>
      <c r="BA839"/>
      <c r="BB839"/>
      <c r="BC839"/>
      <c r="BD839"/>
      <c r="BE839"/>
      <c r="BF839"/>
      <c r="BG839"/>
      <c r="BH839"/>
      <c r="BI839"/>
      <c r="BJ839"/>
      <c r="BK839"/>
      <c r="BL839"/>
      <c r="BM839"/>
      <c r="BN839"/>
      <c r="BO839"/>
      <c r="BP839"/>
      <c r="BQ839"/>
      <c r="BR839"/>
      <c r="BS839"/>
      <c r="BT839"/>
      <c r="BU839"/>
      <c r="BV839"/>
      <c r="BW839"/>
      <c r="BX839"/>
      <c r="BY839"/>
      <c r="BZ839"/>
      <c r="CA839"/>
      <c r="CB839"/>
      <c r="CC839"/>
      <c r="CD839"/>
      <c r="CE839"/>
      <c r="CF839"/>
      <c r="CG839"/>
      <c r="CH839"/>
      <c r="CI839"/>
      <c r="CJ839"/>
      <c r="CK839"/>
      <c r="CL839"/>
      <c r="CM839"/>
      <c r="CN839"/>
      <c r="CO839"/>
      <c r="CP839"/>
      <c r="CQ839"/>
      <c r="CR839"/>
      <c r="CS839"/>
      <c r="CT839"/>
      <c r="CU839"/>
      <c r="CV839"/>
      <c r="CW839"/>
      <c r="CX839"/>
      <c r="CY839"/>
      <c r="CZ839"/>
      <c r="DA839"/>
      <c r="DB839"/>
      <c r="DC839"/>
      <c r="DD839"/>
      <c r="DE839"/>
      <c r="DF839"/>
      <c r="DG839"/>
      <c r="DH839"/>
      <c r="DI839"/>
      <c r="DJ839"/>
      <c r="DK839"/>
      <c r="DL839"/>
      <c r="DM839"/>
      <c r="DN839"/>
      <c r="DO839"/>
      <c r="DP839"/>
      <c r="DQ839"/>
      <c r="DR839"/>
      <c r="DS839"/>
      <c r="DT839"/>
      <c r="DU839"/>
      <c r="DV839"/>
      <c r="DW839"/>
      <c r="DX839"/>
      <c r="DY839"/>
      <c r="DZ839"/>
      <c r="EA839"/>
      <c r="EB839"/>
      <c r="EC839"/>
      <c r="ED839"/>
      <c r="EE839"/>
      <c r="EF839"/>
      <c r="EG839"/>
      <c r="EH839"/>
      <c r="EI839"/>
      <c r="EJ839"/>
      <c r="EK839"/>
      <c r="EL839"/>
      <c r="EM839"/>
      <c r="EN839"/>
      <c r="EO839"/>
      <c r="EP839"/>
      <c r="EQ839"/>
      <c r="ER839"/>
      <c r="ES839"/>
      <c r="ET839"/>
      <c r="EU839"/>
      <c r="EV839"/>
      <c r="EW839"/>
      <c r="EX839"/>
      <c r="EY839"/>
      <c r="EZ839"/>
      <c r="FA839"/>
      <c r="FB839"/>
      <c r="FC839"/>
      <c r="FD839"/>
      <c r="FE839"/>
      <c r="FF839"/>
      <c r="FG839"/>
      <c r="FH839"/>
      <c r="FI839"/>
      <c r="FJ839"/>
      <c r="FK839"/>
      <c r="FL839"/>
      <c r="FM839"/>
      <c r="FN839"/>
      <c r="FO839"/>
      <c r="FP839"/>
      <c r="FQ839"/>
      <c r="FR839"/>
      <c r="FS839"/>
      <c r="FT839"/>
      <c r="FU839"/>
      <c r="FV839"/>
      <c r="FW839"/>
      <c r="FX839"/>
      <c r="FY839"/>
      <c r="FZ839"/>
      <c r="GA839"/>
      <c r="GB839"/>
      <c r="GC839"/>
      <c r="GD839"/>
      <c r="GE839"/>
      <c r="GF839"/>
      <c r="GG839"/>
      <c r="GH839"/>
      <c r="GI839"/>
      <c r="GJ839"/>
      <c r="GK839"/>
      <c r="GL839"/>
      <c r="GM839"/>
      <c r="GN839"/>
      <c r="GO839"/>
      <c r="GP839"/>
      <c r="GQ839"/>
      <c r="GR839"/>
      <c r="GS839"/>
      <c r="GT839"/>
      <c r="GU839"/>
      <c r="GV839"/>
      <c r="GW839"/>
      <c r="GX839"/>
      <c r="GY839"/>
      <c r="GZ839"/>
      <c r="HA839"/>
      <c r="HB839"/>
      <c r="HC839"/>
      <c r="HD839"/>
      <c r="HE839"/>
      <c r="HF839"/>
      <c r="HG839"/>
      <c r="HH839"/>
      <c r="HI839"/>
      <c r="HJ839"/>
      <c r="HK839"/>
      <c r="HL839"/>
      <c r="HM839"/>
      <c r="HN839"/>
      <c r="HO839"/>
      <c r="HP839"/>
      <c r="HQ839"/>
      <c r="HR839"/>
      <c r="HS839"/>
      <c r="HT839"/>
      <c r="HU839"/>
      <c r="HV839"/>
      <c r="HW839"/>
      <c r="HX839"/>
      <c r="HY839"/>
      <c r="HZ839"/>
      <c r="IA839"/>
      <c r="IB839"/>
      <c r="IC839"/>
      <c r="ID839"/>
      <c r="IE839"/>
      <c r="IF839"/>
      <c r="IG839"/>
      <c r="IH839"/>
      <c r="II839"/>
      <c r="IJ839"/>
      <c r="IK839"/>
      <c r="IL839"/>
      <c r="IM839"/>
      <c r="IN839"/>
      <c r="IO839"/>
      <c r="IP839"/>
      <c r="IQ839"/>
      <c r="IR839"/>
      <c r="IS839"/>
      <c r="IT839"/>
      <c r="IU839"/>
      <c r="IV839"/>
      <c r="IW839"/>
      <c r="IX839"/>
    </row>
    <row r="840" spans="1:259" ht="12.75" customHeight="1" x14ac:dyDescent="0.2">
      <c r="A840" s="853"/>
      <c r="B840" s="1819" t="s">
        <v>1800</v>
      </c>
      <c r="C840" s="1501">
        <v>400000</v>
      </c>
      <c r="D840" s="1090">
        <v>400000</v>
      </c>
      <c r="E840" s="904">
        <v>400000</v>
      </c>
      <c r="F840" s="1090">
        <v>219000</v>
      </c>
      <c r="G840" s="1090">
        <v>158872</v>
      </c>
      <c r="H840" s="1548">
        <v>131863</v>
      </c>
      <c r="I840" s="1099">
        <v>300000</v>
      </c>
      <c r="J840" s="1416"/>
      <c r="K840" s="1367"/>
      <c r="L840" s="848"/>
      <c r="M840" s="887"/>
      <c r="N840" s="843"/>
      <c r="O840"/>
      <c r="P840"/>
      <c r="Q840"/>
      <c r="R840"/>
      <c r="S840"/>
      <c r="T840"/>
      <c r="U840"/>
      <c r="V840"/>
      <c r="W840"/>
      <c r="X840"/>
      <c r="Y840"/>
      <c r="Z840"/>
      <c r="AA840"/>
      <c r="AB840"/>
      <c r="AC840"/>
      <c r="AD840"/>
      <c r="AE840"/>
      <c r="AF840"/>
      <c r="AG840"/>
      <c r="AH840"/>
      <c r="AI840"/>
      <c r="AJ840"/>
      <c r="AK840"/>
      <c r="AL840"/>
      <c r="AM840"/>
      <c r="AN840"/>
      <c r="AO840"/>
      <c r="AP840"/>
      <c r="AQ840"/>
      <c r="AR840"/>
      <c r="AS840"/>
      <c r="AT840"/>
      <c r="AU840"/>
      <c r="AV840"/>
      <c r="AW840"/>
      <c r="AX840"/>
      <c r="AY840"/>
      <c r="AZ840"/>
      <c r="BA840"/>
      <c r="BB840"/>
      <c r="BC840"/>
      <c r="BD840"/>
      <c r="BE840"/>
      <c r="BF840"/>
      <c r="BG840"/>
      <c r="BH840"/>
      <c r="BI840"/>
      <c r="BJ840"/>
      <c r="BK840"/>
      <c r="BL840"/>
      <c r="BM840"/>
      <c r="BN840"/>
      <c r="BO840"/>
      <c r="BP840"/>
      <c r="BQ840"/>
      <c r="BR840"/>
      <c r="BS840"/>
      <c r="BT840"/>
      <c r="BU840"/>
      <c r="BV840"/>
      <c r="BW840"/>
      <c r="BX840"/>
      <c r="BY840"/>
      <c r="BZ840"/>
      <c r="CA840"/>
      <c r="CB840"/>
      <c r="CC840"/>
      <c r="CD840"/>
      <c r="CE840"/>
      <c r="CF840"/>
      <c r="CG840"/>
      <c r="CH840"/>
      <c r="CI840"/>
      <c r="CJ840"/>
      <c r="CK840"/>
      <c r="CL840"/>
      <c r="CM840"/>
      <c r="CN840"/>
      <c r="CO840"/>
      <c r="CP840"/>
      <c r="CQ840"/>
      <c r="CR840"/>
      <c r="CS840"/>
      <c r="CT840"/>
      <c r="CU840"/>
      <c r="CV840"/>
      <c r="CW840"/>
      <c r="CX840"/>
      <c r="CY840"/>
      <c r="CZ840"/>
      <c r="DA840"/>
      <c r="DB840"/>
      <c r="DC840"/>
      <c r="DD840"/>
      <c r="DE840"/>
      <c r="DF840"/>
      <c r="DG840"/>
      <c r="DH840"/>
      <c r="DI840"/>
      <c r="DJ840"/>
      <c r="DK840"/>
      <c r="DL840"/>
      <c r="DM840"/>
      <c r="DN840"/>
      <c r="DO840"/>
      <c r="DP840"/>
      <c r="DQ840"/>
      <c r="DR840"/>
      <c r="DS840"/>
      <c r="DT840"/>
      <c r="DU840"/>
      <c r="DV840"/>
      <c r="DW840"/>
      <c r="DX840"/>
      <c r="DY840"/>
      <c r="DZ840"/>
      <c r="EA840"/>
      <c r="EB840"/>
      <c r="EC840"/>
      <c r="ED840"/>
      <c r="EE840"/>
      <c r="EF840"/>
      <c r="EG840"/>
      <c r="EH840"/>
      <c r="EI840"/>
      <c r="EJ840"/>
      <c r="EK840"/>
      <c r="EL840"/>
      <c r="EM840"/>
      <c r="EN840"/>
      <c r="EO840"/>
      <c r="EP840"/>
      <c r="EQ840"/>
      <c r="ER840"/>
      <c r="ES840"/>
      <c r="ET840"/>
      <c r="EU840"/>
      <c r="EV840"/>
      <c r="EW840"/>
      <c r="EX840"/>
      <c r="EY840"/>
      <c r="EZ840"/>
      <c r="FA840"/>
      <c r="FB840"/>
      <c r="FC840"/>
      <c r="FD840"/>
      <c r="FE840"/>
      <c r="FF840"/>
      <c r="FG840"/>
      <c r="FH840"/>
      <c r="FI840"/>
      <c r="FJ840"/>
      <c r="FK840"/>
      <c r="FL840"/>
      <c r="FM840"/>
      <c r="FN840"/>
      <c r="FO840"/>
      <c r="FP840"/>
      <c r="FQ840"/>
      <c r="FR840"/>
      <c r="FS840"/>
      <c r="FT840"/>
      <c r="FU840"/>
      <c r="FV840"/>
      <c r="FW840"/>
      <c r="FX840"/>
      <c r="FY840"/>
      <c r="FZ840"/>
      <c r="GA840"/>
      <c r="GB840"/>
      <c r="GC840"/>
      <c r="GD840"/>
      <c r="GE840"/>
      <c r="GF840"/>
      <c r="GG840"/>
      <c r="GH840"/>
      <c r="GI840"/>
      <c r="GJ840"/>
      <c r="GK840"/>
      <c r="GL840"/>
      <c r="GM840"/>
      <c r="GN840"/>
      <c r="GO840"/>
      <c r="GP840"/>
      <c r="GQ840"/>
      <c r="GR840"/>
      <c r="GS840"/>
      <c r="GT840"/>
      <c r="GU840"/>
      <c r="GV840"/>
      <c r="GW840"/>
      <c r="GX840"/>
      <c r="GY840"/>
      <c r="GZ840"/>
      <c r="HA840"/>
      <c r="HB840"/>
      <c r="HC840"/>
      <c r="HD840"/>
      <c r="HE840"/>
      <c r="HF840"/>
      <c r="HG840"/>
      <c r="HH840"/>
      <c r="HI840"/>
      <c r="HJ840"/>
      <c r="HK840"/>
      <c r="HL840"/>
      <c r="HM840"/>
      <c r="HN840"/>
      <c r="HO840"/>
      <c r="HP840"/>
      <c r="HQ840"/>
      <c r="HR840"/>
      <c r="HS840"/>
      <c r="HT840"/>
      <c r="HU840"/>
      <c r="HV840"/>
      <c r="HW840"/>
      <c r="HX840"/>
      <c r="HY840"/>
      <c r="HZ840"/>
      <c r="IA840"/>
      <c r="IB840"/>
      <c r="IC840"/>
      <c r="ID840"/>
      <c r="IE840"/>
      <c r="IF840"/>
      <c r="IG840"/>
      <c r="IH840"/>
      <c r="II840"/>
      <c r="IJ840"/>
      <c r="IK840"/>
      <c r="IL840"/>
      <c r="IM840"/>
      <c r="IN840"/>
      <c r="IO840"/>
      <c r="IP840"/>
      <c r="IQ840"/>
      <c r="IR840"/>
      <c r="IS840"/>
      <c r="IT840"/>
      <c r="IU840"/>
      <c r="IV840"/>
      <c r="IW840"/>
      <c r="IX840"/>
    </row>
    <row r="841" spans="1:259" s="607" customFormat="1" ht="12.75" customHeight="1" x14ac:dyDescent="0.2">
      <c r="A841" s="853"/>
      <c r="B841" s="1819" t="s">
        <v>1801</v>
      </c>
      <c r="C841" s="1501">
        <v>3000000</v>
      </c>
      <c r="D841" s="1090">
        <v>3000000</v>
      </c>
      <c r="E841" s="904">
        <v>3000000</v>
      </c>
      <c r="F841" s="1090">
        <v>2248000</v>
      </c>
      <c r="G841" s="1090">
        <v>1881014.04</v>
      </c>
      <c r="H841" s="1548">
        <v>1449154.71</v>
      </c>
      <c r="I841" s="1099">
        <v>3000000</v>
      </c>
      <c r="J841" s="1416"/>
      <c r="K841" s="1367"/>
      <c r="L841" s="1079"/>
      <c r="M841" s="889"/>
      <c r="N841" s="847"/>
    </row>
    <row r="842" spans="1:259" s="607" customFormat="1" ht="12.75" customHeight="1" x14ac:dyDescent="0.2">
      <c r="A842" s="853"/>
      <c r="B842" s="1820" t="s">
        <v>1080</v>
      </c>
      <c r="C842" s="1099">
        <v>100000</v>
      </c>
      <c r="D842" s="1090">
        <v>100000</v>
      </c>
      <c r="E842" s="904">
        <v>100000</v>
      </c>
      <c r="F842" s="1090">
        <v>90113</v>
      </c>
      <c r="G842" s="1090">
        <v>75501</v>
      </c>
      <c r="H842" s="1548">
        <v>59633</v>
      </c>
      <c r="I842" s="1099">
        <v>100000</v>
      </c>
      <c r="J842" s="1423"/>
      <c r="K842" s="1367">
        <f>K843+K844</f>
        <v>0</v>
      </c>
      <c r="L842" s="1079"/>
      <c r="M842" s="889"/>
      <c r="N842" s="847"/>
    </row>
    <row r="843" spans="1:259" s="607" customFormat="1" ht="12.75" customHeight="1" x14ac:dyDescent="0.2">
      <c r="A843" s="853"/>
      <c r="B843" s="1821" t="s">
        <v>1081</v>
      </c>
      <c r="C843" s="1572">
        <v>100000</v>
      </c>
      <c r="D843" s="733">
        <v>100000</v>
      </c>
      <c r="E843" s="904">
        <v>100000</v>
      </c>
      <c r="F843" s="733">
        <v>54200</v>
      </c>
      <c r="G843" s="733">
        <v>50526.1</v>
      </c>
      <c r="H843" s="1176">
        <v>46143.1</v>
      </c>
      <c r="I843" s="1572">
        <v>100000</v>
      </c>
      <c r="J843" s="1422"/>
      <c r="K843" s="1369"/>
      <c r="L843" s="1079"/>
      <c r="M843" s="889"/>
      <c r="N843" s="847"/>
    </row>
    <row r="844" spans="1:259" ht="12.75" customHeight="1" x14ac:dyDescent="0.2">
      <c r="A844" s="853"/>
      <c r="B844" s="1821" t="s">
        <v>1132</v>
      </c>
      <c r="C844" s="1099">
        <f t="shared" ref="C844:H844" si="180">C845+C846+C847+C848</f>
        <v>29050000</v>
      </c>
      <c r="D844" s="1090">
        <f t="shared" si="180"/>
        <v>29050000</v>
      </c>
      <c r="E844" s="1088">
        <f t="shared" si="180"/>
        <v>29050000</v>
      </c>
      <c r="F844" s="1090">
        <f t="shared" si="180"/>
        <v>27202000</v>
      </c>
      <c r="G844" s="1090">
        <f t="shared" si="180"/>
        <v>23027332.010000002</v>
      </c>
      <c r="H844" s="1548">
        <f t="shared" si="180"/>
        <v>18307273.280000001</v>
      </c>
      <c r="I844" s="1099">
        <f>I845+I846+I847+I848</f>
        <v>32450000</v>
      </c>
      <c r="J844" s="1416"/>
      <c r="K844" s="1369"/>
      <c r="L844" s="848"/>
      <c r="M844" s="887"/>
      <c r="N844" s="843"/>
      <c r="O844"/>
      <c r="P844"/>
      <c r="Q844"/>
      <c r="R844"/>
      <c r="S844"/>
      <c r="T844"/>
      <c r="U844"/>
      <c r="V844"/>
      <c r="W844"/>
      <c r="X844"/>
      <c r="Y844"/>
      <c r="Z844"/>
      <c r="AA844"/>
      <c r="AB844"/>
      <c r="AC844"/>
      <c r="AD844"/>
      <c r="AE844"/>
      <c r="AF844"/>
      <c r="AG844"/>
      <c r="AH844"/>
      <c r="AI844"/>
      <c r="AJ844"/>
      <c r="AK844"/>
      <c r="AL844"/>
      <c r="AM844"/>
      <c r="AN844"/>
      <c r="AO844"/>
      <c r="AP844"/>
      <c r="AQ844"/>
      <c r="AR844"/>
      <c r="AS844"/>
      <c r="AT844"/>
      <c r="AU844"/>
      <c r="AV844"/>
      <c r="AW844"/>
      <c r="AX844"/>
      <c r="AY844"/>
      <c r="AZ844"/>
      <c r="BA844"/>
      <c r="BB844"/>
      <c r="BC844"/>
      <c r="BD844"/>
      <c r="BE844"/>
      <c r="BF844"/>
      <c r="BG844"/>
      <c r="BH844"/>
      <c r="BI844"/>
      <c r="BJ844"/>
      <c r="BK844"/>
      <c r="BL844"/>
      <c r="BM844"/>
      <c r="BN844"/>
      <c r="BO844"/>
      <c r="BP844"/>
      <c r="BQ844"/>
      <c r="BR844"/>
      <c r="BS844"/>
      <c r="BT844"/>
      <c r="BU844"/>
      <c r="BV844"/>
      <c r="BW844"/>
      <c r="BX844"/>
      <c r="BY844"/>
      <c r="BZ844"/>
      <c r="CA844"/>
      <c r="CB844"/>
      <c r="CC844"/>
      <c r="CD844"/>
      <c r="CE844"/>
      <c r="CF844"/>
      <c r="CG844"/>
      <c r="CH844"/>
      <c r="CI844"/>
      <c r="CJ844"/>
      <c r="CK844"/>
      <c r="CL844"/>
      <c r="CM844"/>
      <c r="CN844"/>
      <c r="CO844"/>
      <c r="CP844"/>
      <c r="CQ844"/>
      <c r="CR844"/>
      <c r="CS844"/>
      <c r="CT844"/>
      <c r="CU844"/>
      <c r="CV844"/>
      <c r="CW844"/>
      <c r="CX844"/>
      <c r="CY844"/>
      <c r="CZ844"/>
      <c r="DA844"/>
      <c r="DB844"/>
      <c r="DC844"/>
      <c r="DD844"/>
      <c r="DE844"/>
      <c r="DF844"/>
      <c r="DG844"/>
      <c r="DH844"/>
      <c r="DI844"/>
      <c r="DJ844"/>
      <c r="DK844"/>
      <c r="DL844"/>
      <c r="DM844"/>
      <c r="DN844"/>
      <c r="DO844"/>
      <c r="DP844"/>
      <c r="DQ844"/>
      <c r="DR844"/>
      <c r="DS844"/>
      <c r="DT844"/>
      <c r="DU844"/>
      <c r="DV844"/>
      <c r="DW844"/>
      <c r="DX844"/>
      <c r="DY844"/>
      <c r="DZ844"/>
      <c r="EA844"/>
      <c r="EB844"/>
      <c r="EC844"/>
      <c r="ED844"/>
      <c r="EE844"/>
      <c r="EF844"/>
      <c r="EG844"/>
      <c r="EH844"/>
      <c r="EI844"/>
      <c r="EJ844"/>
      <c r="EK844"/>
      <c r="EL844"/>
      <c r="EM844"/>
      <c r="EN844"/>
      <c r="EO844"/>
      <c r="EP844"/>
      <c r="EQ844"/>
      <c r="ER844"/>
      <c r="ES844"/>
      <c r="ET844"/>
      <c r="EU844"/>
      <c r="EV844"/>
      <c r="EW844"/>
      <c r="EX844"/>
      <c r="EY844"/>
      <c r="EZ844"/>
      <c r="FA844"/>
      <c r="FB844"/>
      <c r="FC844"/>
      <c r="FD844"/>
      <c r="FE844"/>
      <c r="FF844"/>
      <c r="FG844"/>
      <c r="FH844"/>
      <c r="FI844"/>
      <c r="FJ844"/>
      <c r="FK844"/>
      <c r="FL844"/>
      <c r="FM844"/>
      <c r="FN844"/>
      <c r="FO844"/>
      <c r="FP844"/>
      <c r="FQ844"/>
      <c r="FR844"/>
      <c r="FS844"/>
      <c r="FT844"/>
      <c r="FU844"/>
      <c r="FV844"/>
      <c r="FW844"/>
      <c r="FX844"/>
      <c r="FY844"/>
      <c r="FZ844"/>
      <c r="GA844"/>
      <c r="GB844"/>
      <c r="GC844"/>
      <c r="GD844"/>
      <c r="GE844"/>
      <c r="GF844"/>
      <c r="GG844"/>
      <c r="GH844"/>
      <c r="GI844"/>
      <c r="GJ844"/>
      <c r="GK844"/>
      <c r="GL844"/>
      <c r="GM844"/>
      <c r="GN844"/>
      <c r="GO844"/>
      <c r="GP844"/>
      <c r="GQ844"/>
      <c r="GR844"/>
      <c r="GS844"/>
      <c r="GT844"/>
      <c r="GU844"/>
      <c r="GV844"/>
      <c r="GW844"/>
      <c r="GX844"/>
      <c r="GY844"/>
      <c r="GZ844"/>
      <c r="HA844"/>
      <c r="HB844"/>
      <c r="HC844"/>
      <c r="HD844"/>
      <c r="HE844"/>
      <c r="HF844"/>
      <c r="HG844"/>
      <c r="HH844"/>
      <c r="HI844"/>
      <c r="HJ844"/>
      <c r="HK844"/>
      <c r="HL844"/>
      <c r="HM844"/>
      <c r="HN844"/>
      <c r="HO844"/>
      <c r="HP844"/>
      <c r="HQ844"/>
      <c r="HR844"/>
      <c r="HS844"/>
      <c r="HT844"/>
      <c r="HU844"/>
      <c r="HV844"/>
      <c r="HW844"/>
      <c r="HX844"/>
      <c r="HY844"/>
      <c r="HZ844"/>
      <c r="IA844"/>
      <c r="IB844"/>
      <c r="IC844"/>
      <c r="ID844"/>
      <c r="IE844"/>
      <c r="IF844"/>
      <c r="IG844"/>
      <c r="IH844"/>
      <c r="II844"/>
      <c r="IJ844"/>
      <c r="IK844"/>
      <c r="IL844"/>
      <c r="IM844"/>
      <c r="IN844"/>
      <c r="IO844"/>
      <c r="IP844"/>
      <c r="IQ844"/>
      <c r="IR844"/>
      <c r="IS844"/>
      <c r="IT844"/>
      <c r="IU844"/>
      <c r="IV844"/>
      <c r="IW844"/>
      <c r="IX844"/>
    </row>
    <row r="845" spans="1:259" ht="12.75" customHeight="1" x14ac:dyDescent="0.2">
      <c r="A845" s="853"/>
      <c r="B845" s="1822" t="s">
        <v>1133</v>
      </c>
      <c r="C845" s="1572">
        <v>5600000</v>
      </c>
      <c r="D845" s="733">
        <v>5600000</v>
      </c>
      <c r="E845" s="904">
        <v>5600000</v>
      </c>
      <c r="F845" s="733">
        <v>6500000</v>
      </c>
      <c r="G845" s="733">
        <v>6295589.0599999996</v>
      </c>
      <c r="H845" s="1176">
        <v>4561447.68</v>
      </c>
      <c r="I845" s="1572">
        <v>7000000</v>
      </c>
      <c r="J845" s="1416"/>
      <c r="K845" s="1367"/>
      <c r="L845" s="848"/>
      <c r="M845" s="887"/>
      <c r="N845" s="843"/>
      <c r="O845"/>
      <c r="P845"/>
      <c r="Q845"/>
      <c r="R845"/>
      <c r="S845"/>
      <c r="T845"/>
      <c r="U845"/>
      <c r="V845"/>
      <c r="W845"/>
      <c r="X845"/>
      <c r="Y845"/>
      <c r="Z845"/>
      <c r="AA845"/>
      <c r="AB845"/>
      <c r="AC845"/>
      <c r="AD845"/>
      <c r="AE845"/>
      <c r="AF845"/>
      <c r="AG845"/>
      <c r="AH845"/>
      <c r="AI845"/>
      <c r="AJ845"/>
      <c r="AK845"/>
      <c r="AL845"/>
      <c r="AM845"/>
      <c r="AN845"/>
      <c r="AO845"/>
      <c r="AP845"/>
      <c r="AQ845"/>
      <c r="AR845"/>
      <c r="AS845"/>
      <c r="AT845"/>
      <c r="AU845"/>
      <c r="AV845"/>
      <c r="AW845"/>
      <c r="AX845"/>
      <c r="AY845"/>
      <c r="AZ845"/>
      <c r="BA845"/>
      <c r="BB845"/>
      <c r="BC845"/>
      <c r="BD845"/>
      <c r="BE845"/>
      <c r="BF845"/>
      <c r="BG845"/>
      <c r="BH845"/>
      <c r="BI845"/>
      <c r="BJ845"/>
      <c r="BK845"/>
      <c r="BL845"/>
      <c r="BM845"/>
      <c r="BN845"/>
      <c r="BO845"/>
      <c r="BP845"/>
      <c r="BQ845"/>
      <c r="BR845"/>
      <c r="BS845"/>
      <c r="BT845"/>
      <c r="BU845"/>
      <c r="BV845"/>
      <c r="BW845"/>
      <c r="BX845"/>
      <c r="BY845"/>
      <c r="BZ845"/>
      <c r="CA845"/>
      <c r="CB845"/>
      <c r="CC845"/>
      <c r="CD845"/>
      <c r="CE845"/>
      <c r="CF845"/>
      <c r="CG845"/>
      <c r="CH845"/>
      <c r="CI845"/>
      <c r="CJ845"/>
      <c r="CK845"/>
      <c r="CL845"/>
      <c r="CM845"/>
      <c r="CN845"/>
      <c r="CO845"/>
      <c r="CP845"/>
      <c r="CQ845"/>
      <c r="CR845"/>
      <c r="CS845"/>
      <c r="CT845"/>
      <c r="CU845"/>
      <c r="CV845"/>
      <c r="CW845"/>
      <c r="CX845"/>
      <c r="CY845"/>
      <c r="CZ845"/>
      <c r="DA845"/>
      <c r="DB845"/>
      <c r="DC845"/>
      <c r="DD845"/>
      <c r="DE845"/>
      <c r="DF845"/>
      <c r="DG845"/>
      <c r="DH845"/>
      <c r="DI845"/>
      <c r="DJ845"/>
      <c r="DK845"/>
      <c r="DL845"/>
      <c r="DM845"/>
      <c r="DN845"/>
      <c r="DO845"/>
      <c r="DP845"/>
      <c r="DQ845"/>
      <c r="DR845"/>
      <c r="DS845"/>
      <c r="DT845"/>
      <c r="DU845"/>
      <c r="DV845"/>
      <c r="DW845"/>
      <c r="DX845"/>
      <c r="DY845"/>
      <c r="DZ845"/>
      <c r="EA845"/>
      <c r="EB845"/>
      <c r="EC845"/>
      <c r="ED845"/>
      <c r="EE845"/>
      <c r="EF845"/>
      <c r="EG845"/>
      <c r="EH845"/>
      <c r="EI845"/>
      <c r="EJ845"/>
      <c r="EK845"/>
      <c r="EL845"/>
      <c r="EM845"/>
      <c r="EN845"/>
      <c r="EO845"/>
      <c r="EP845"/>
      <c r="EQ845"/>
      <c r="ER845"/>
      <c r="ES845"/>
      <c r="ET845"/>
      <c r="EU845"/>
      <c r="EV845"/>
      <c r="EW845"/>
      <c r="EX845"/>
      <c r="EY845"/>
      <c r="EZ845"/>
      <c r="FA845"/>
      <c r="FB845"/>
      <c r="FC845"/>
      <c r="FD845"/>
      <c r="FE845"/>
      <c r="FF845"/>
      <c r="FG845"/>
      <c r="FH845"/>
      <c r="FI845"/>
      <c r="FJ845"/>
      <c r="FK845"/>
      <c r="FL845"/>
      <c r="FM845"/>
      <c r="FN845"/>
      <c r="FO845"/>
      <c r="FP845"/>
      <c r="FQ845"/>
      <c r="FR845"/>
      <c r="FS845"/>
      <c r="FT845"/>
      <c r="FU845"/>
      <c r="FV845"/>
      <c r="FW845"/>
      <c r="FX845"/>
      <c r="FY845"/>
      <c r="FZ845"/>
      <c r="GA845"/>
      <c r="GB845"/>
      <c r="GC845"/>
      <c r="GD845"/>
      <c r="GE845"/>
      <c r="GF845"/>
      <c r="GG845"/>
      <c r="GH845"/>
      <c r="GI845"/>
      <c r="GJ845"/>
      <c r="GK845"/>
      <c r="GL845"/>
      <c r="GM845"/>
      <c r="GN845"/>
      <c r="GO845"/>
      <c r="GP845"/>
      <c r="GQ845"/>
      <c r="GR845"/>
      <c r="GS845"/>
      <c r="GT845"/>
      <c r="GU845"/>
      <c r="GV845"/>
      <c r="GW845"/>
      <c r="GX845"/>
      <c r="GY845"/>
      <c r="GZ845"/>
      <c r="HA845"/>
      <c r="HB845"/>
      <c r="HC845"/>
      <c r="HD845"/>
      <c r="HE845"/>
      <c r="HF845"/>
      <c r="HG845"/>
      <c r="HH845"/>
      <c r="HI845"/>
      <c r="HJ845"/>
      <c r="HK845"/>
      <c r="HL845"/>
      <c r="HM845"/>
      <c r="HN845"/>
      <c r="HO845"/>
      <c r="HP845"/>
      <c r="HQ845"/>
      <c r="HR845"/>
      <c r="HS845"/>
      <c r="HT845"/>
      <c r="HU845"/>
      <c r="HV845"/>
      <c r="HW845"/>
      <c r="HX845"/>
      <c r="HY845"/>
      <c r="HZ845"/>
      <c r="IA845"/>
      <c r="IB845"/>
      <c r="IC845"/>
      <c r="ID845"/>
      <c r="IE845"/>
      <c r="IF845"/>
      <c r="IG845"/>
      <c r="IH845"/>
      <c r="II845"/>
      <c r="IJ845"/>
      <c r="IK845"/>
      <c r="IL845"/>
      <c r="IM845"/>
      <c r="IN845"/>
      <c r="IO845"/>
      <c r="IP845"/>
      <c r="IQ845"/>
      <c r="IR845"/>
      <c r="IS845"/>
      <c r="IT845"/>
      <c r="IU845"/>
      <c r="IV845"/>
      <c r="IW845"/>
      <c r="IX845"/>
    </row>
    <row r="846" spans="1:259" ht="12.75" customHeight="1" x14ac:dyDescent="0.2">
      <c r="A846" s="798"/>
      <c r="B846" s="1823" t="s">
        <v>1134</v>
      </c>
      <c r="C846" s="1099">
        <v>20000000</v>
      </c>
      <c r="D846" s="1090">
        <v>20000000</v>
      </c>
      <c r="E846" s="1088">
        <v>20000000</v>
      </c>
      <c r="F846" s="1090">
        <v>18603000</v>
      </c>
      <c r="G846" s="1090">
        <v>15175343.619999999</v>
      </c>
      <c r="H846" s="1548">
        <v>12402377.460000001</v>
      </c>
      <c r="I846" s="1099">
        <v>22000000</v>
      </c>
      <c r="J846" s="1416"/>
      <c r="K846" s="1367"/>
      <c r="L846" s="848"/>
      <c r="M846" s="887"/>
      <c r="N846" s="843"/>
      <c r="O846"/>
      <c r="P846"/>
      <c r="Q846"/>
      <c r="R846"/>
      <c r="S846"/>
      <c r="T846"/>
      <c r="U846"/>
      <c r="V846"/>
      <c r="W846"/>
      <c r="X846"/>
      <c r="Y846"/>
      <c r="Z846"/>
      <c r="AA846"/>
      <c r="AB846"/>
      <c r="AC846"/>
      <c r="AD846"/>
      <c r="AE846"/>
      <c r="AF846"/>
      <c r="AG846"/>
      <c r="AH846"/>
      <c r="AI846"/>
      <c r="AJ846"/>
      <c r="AK846"/>
      <c r="AL846"/>
      <c r="AM846"/>
      <c r="AN846"/>
      <c r="AO846"/>
      <c r="AP846"/>
      <c r="AQ846"/>
      <c r="AR846"/>
      <c r="AS846"/>
      <c r="AT846"/>
      <c r="AU846"/>
      <c r="AV846"/>
      <c r="AW846"/>
      <c r="AX846"/>
      <c r="AY846"/>
      <c r="AZ846"/>
      <c r="BA846"/>
      <c r="BB846"/>
      <c r="BC846"/>
      <c r="BD846"/>
      <c r="BE846"/>
      <c r="BF846"/>
      <c r="BG846"/>
      <c r="BH846"/>
      <c r="BI846"/>
      <c r="BJ846"/>
      <c r="BK846"/>
      <c r="BL846"/>
      <c r="BM846"/>
      <c r="BN846"/>
      <c r="BO846"/>
      <c r="BP846"/>
      <c r="BQ846"/>
      <c r="BR846"/>
      <c r="BS846"/>
      <c r="BT846"/>
      <c r="BU846"/>
      <c r="BV846"/>
      <c r="BW846"/>
      <c r="BX846"/>
      <c r="BY846"/>
      <c r="BZ846"/>
      <c r="CA846"/>
      <c r="CB846"/>
      <c r="CC846"/>
      <c r="CD846"/>
      <c r="CE846"/>
      <c r="CF846"/>
      <c r="CG846"/>
      <c r="CH846"/>
      <c r="CI846"/>
      <c r="CJ846"/>
      <c r="CK846"/>
      <c r="CL846"/>
      <c r="CM846"/>
      <c r="CN846"/>
      <c r="CO846"/>
      <c r="CP846"/>
      <c r="CQ846"/>
      <c r="CR846"/>
      <c r="CS846"/>
      <c r="CT846"/>
      <c r="CU846"/>
      <c r="CV846"/>
      <c r="CW846"/>
      <c r="CX846"/>
      <c r="CY846"/>
      <c r="CZ846"/>
      <c r="DA846"/>
      <c r="DB846"/>
      <c r="DC846"/>
      <c r="DD846"/>
      <c r="DE846"/>
      <c r="DF846"/>
      <c r="DG846"/>
      <c r="DH846"/>
      <c r="DI846"/>
      <c r="DJ846"/>
      <c r="DK846"/>
      <c r="DL846"/>
      <c r="DM846"/>
      <c r="DN846"/>
      <c r="DO846"/>
      <c r="DP846"/>
      <c r="DQ846"/>
      <c r="DR846"/>
      <c r="DS846"/>
      <c r="DT846"/>
      <c r="DU846"/>
      <c r="DV846"/>
      <c r="DW846"/>
      <c r="DX846"/>
      <c r="DY846"/>
      <c r="DZ846"/>
      <c r="EA846"/>
      <c r="EB846"/>
      <c r="EC846"/>
      <c r="ED846"/>
      <c r="EE846"/>
      <c r="EF846"/>
      <c r="EG846"/>
      <c r="EH846"/>
      <c r="EI846"/>
      <c r="EJ846"/>
      <c r="EK846"/>
      <c r="EL846"/>
      <c r="EM846"/>
      <c r="EN846"/>
      <c r="EO846"/>
      <c r="EP846"/>
      <c r="EQ846"/>
      <c r="ER846"/>
      <c r="ES846"/>
      <c r="ET846"/>
      <c r="EU846"/>
      <c r="EV846"/>
      <c r="EW846"/>
      <c r="EX846"/>
      <c r="EY846"/>
      <c r="EZ846"/>
      <c r="FA846"/>
      <c r="FB846"/>
      <c r="FC846"/>
      <c r="FD846"/>
      <c r="FE846"/>
      <c r="FF846"/>
      <c r="FG846"/>
      <c r="FH846"/>
      <c r="FI846"/>
      <c r="FJ846"/>
      <c r="FK846"/>
      <c r="FL846"/>
      <c r="FM846"/>
      <c r="FN846"/>
      <c r="FO846"/>
      <c r="FP846"/>
      <c r="FQ846"/>
      <c r="FR846"/>
      <c r="FS846"/>
      <c r="FT846"/>
      <c r="FU846"/>
      <c r="FV846"/>
      <c r="FW846"/>
      <c r="FX846"/>
      <c r="FY846"/>
      <c r="FZ846"/>
      <c r="GA846"/>
      <c r="GB846"/>
      <c r="GC846"/>
      <c r="GD846"/>
      <c r="GE846"/>
      <c r="GF846"/>
      <c r="GG846"/>
      <c r="GH846"/>
      <c r="GI846"/>
      <c r="GJ846"/>
      <c r="GK846"/>
      <c r="GL846"/>
      <c r="GM846"/>
      <c r="GN846"/>
      <c r="GO846"/>
      <c r="GP846"/>
      <c r="GQ846"/>
      <c r="GR846"/>
      <c r="GS846"/>
      <c r="GT846"/>
      <c r="GU846"/>
      <c r="GV846"/>
      <c r="GW846"/>
      <c r="GX846"/>
      <c r="GY846"/>
      <c r="GZ846"/>
      <c r="HA846"/>
      <c r="HB846"/>
      <c r="HC846"/>
      <c r="HD846"/>
      <c r="HE846"/>
      <c r="HF846"/>
      <c r="HG846"/>
      <c r="HH846"/>
      <c r="HI846"/>
      <c r="HJ846"/>
      <c r="HK846"/>
      <c r="HL846"/>
      <c r="HM846"/>
      <c r="HN846"/>
      <c r="HO846"/>
      <c r="HP846"/>
      <c r="HQ846"/>
      <c r="HR846"/>
      <c r="HS846"/>
      <c r="HT846"/>
      <c r="HU846"/>
      <c r="HV846"/>
      <c r="HW846"/>
      <c r="HX846"/>
      <c r="HY846"/>
      <c r="HZ846"/>
      <c r="IA846"/>
      <c r="IB846"/>
      <c r="IC846"/>
      <c r="ID846"/>
      <c r="IE846"/>
      <c r="IF846"/>
      <c r="IG846"/>
      <c r="IH846"/>
      <c r="II846"/>
      <c r="IJ846"/>
      <c r="IK846"/>
      <c r="IL846"/>
      <c r="IM846"/>
      <c r="IN846"/>
      <c r="IO846"/>
      <c r="IP846"/>
      <c r="IQ846"/>
      <c r="IR846"/>
      <c r="IS846"/>
      <c r="IT846"/>
      <c r="IU846"/>
      <c r="IV846"/>
      <c r="IW846"/>
      <c r="IX846"/>
    </row>
    <row r="847" spans="1:259" ht="12.75" customHeight="1" x14ac:dyDescent="0.2">
      <c r="A847" s="798"/>
      <c r="B847" s="1567" t="s">
        <v>1135</v>
      </c>
      <c r="C847" s="1099">
        <v>900000</v>
      </c>
      <c r="D847" s="1090">
        <v>900000</v>
      </c>
      <c r="E847" s="1088">
        <v>900000</v>
      </c>
      <c r="F847" s="1090">
        <v>279000</v>
      </c>
      <c r="G847" s="1090">
        <v>155457.71</v>
      </c>
      <c r="H847" s="1548">
        <v>153079.97</v>
      </c>
      <c r="I847" s="1099">
        <v>900000</v>
      </c>
      <c r="J847" s="1416"/>
      <c r="K847" s="1367"/>
      <c r="L847" s="848"/>
      <c r="M847" s="887"/>
      <c r="N847" s="843"/>
      <c r="O847"/>
      <c r="P847"/>
      <c r="Q847"/>
      <c r="R847"/>
      <c r="S847"/>
      <c r="T847"/>
      <c r="U847"/>
      <c r="V847"/>
      <c r="W847"/>
      <c r="X847"/>
      <c r="Y847"/>
      <c r="Z847"/>
      <c r="AA847"/>
      <c r="AB847"/>
      <c r="AC847"/>
      <c r="AD847"/>
      <c r="AE847"/>
      <c r="AF847"/>
      <c r="AG847"/>
      <c r="AH847"/>
      <c r="AI847"/>
      <c r="AJ847"/>
      <c r="AK847"/>
      <c r="AL847"/>
      <c r="AM847"/>
      <c r="AN847"/>
      <c r="AO847"/>
      <c r="AP847"/>
      <c r="AQ847"/>
      <c r="AR847"/>
      <c r="AS847"/>
      <c r="AT847"/>
      <c r="AU847"/>
      <c r="AV847"/>
      <c r="AW847"/>
      <c r="AX847"/>
      <c r="AY847"/>
      <c r="AZ847"/>
      <c r="BA847"/>
      <c r="BB847"/>
      <c r="BC847"/>
      <c r="BD847"/>
      <c r="BE847"/>
      <c r="BF847"/>
      <c r="BG847"/>
      <c r="BH847"/>
      <c r="BI847"/>
      <c r="BJ847"/>
      <c r="BK847"/>
      <c r="BL847"/>
      <c r="BM847"/>
      <c r="BN847"/>
      <c r="BO847"/>
      <c r="BP847"/>
      <c r="BQ847"/>
      <c r="BR847"/>
      <c r="BS847"/>
      <c r="BT847"/>
      <c r="BU847"/>
      <c r="BV847"/>
      <c r="BW847"/>
      <c r="BX847"/>
      <c r="BY847"/>
      <c r="BZ847"/>
      <c r="CA847"/>
      <c r="CB847"/>
      <c r="CC847"/>
      <c r="CD847"/>
      <c r="CE847"/>
      <c r="CF847"/>
      <c r="CG847"/>
      <c r="CH847"/>
      <c r="CI847"/>
      <c r="CJ847"/>
      <c r="CK847"/>
      <c r="CL847"/>
      <c r="CM847"/>
      <c r="CN847"/>
      <c r="CO847"/>
      <c r="CP847"/>
      <c r="CQ847"/>
      <c r="CR847"/>
      <c r="CS847"/>
      <c r="CT847"/>
      <c r="CU847"/>
      <c r="CV847"/>
      <c r="CW847"/>
      <c r="CX847"/>
      <c r="CY847"/>
      <c r="CZ847"/>
      <c r="DA847"/>
      <c r="DB847"/>
      <c r="DC847"/>
      <c r="DD847"/>
      <c r="DE847"/>
      <c r="DF847"/>
      <c r="DG847"/>
      <c r="DH847"/>
      <c r="DI847"/>
      <c r="DJ847"/>
      <c r="DK847"/>
      <c r="DL847"/>
      <c r="DM847"/>
      <c r="DN847"/>
      <c r="DO847"/>
      <c r="DP847"/>
      <c r="DQ847"/>
      <c r="DR847"/>
      <c r="DS847"/>
      <c r="DT847"/>
      <c r="DU847"/>
      <c r="DV847"/>
      <c r="DW847"/>
      <c r="DX847"/>
      <c r="DY847"/>
      <c r="DZ847"/>
      <c r="EA847"/>
      <c r="EB847"/>
      <c r="EC847"/>
      <c r="ED847"/>
      <c r="EE847"/>
      <c r="EF847"/>
      <c r="EG847"/>
      <c r="EH847"/>
      <c r="EI847"/>
      <c r="EJ847"/>
      <c r="EK847"/>
      <c r="EL847"/>
      <c r="EM847"/>
      <c r="EN847"/>
      <c r="EO847"/>
      <c r="EP847"/>
      <c r="EQ847"/>
      <c r="ER847"/>
      <c r="ES847"/>
      <c r="ET847"/>
      <c r="EU847"/>
      <c r="EV847"/>
      <c r="EW847"/>
      <c r="EX847"/>
      <c r="EY847"/>
      <c r="EZ847"/>
      <c r="FA847"/>
      <c r="FB847"/>
      <c r="FC847"/>
      <c r="FD847"/>
      <c r="FE847"/>
      <c r="FF847"/>
      <c r="FG847"/>
      <c r="FH847"/>
      <c r="FI847"/>
      <c r="FJ847"/>
      <c r="FK847"/>
      <c r="FL847"/>
      <c r="FM847"/>
      <c r="FN847"/>
      <c r="FO847"/>
      <c r="FP847"/>
      <c r="FQ847"/>
      <c r="FR847"/>
      <c r="FS847"/>
      <c r="FT847"/>
      <c r="FU847"/>
      <c r="FV847"/>
      <c r="FW847"/>
      <c r="FX847"/>
      <c r="FY847"/>
      <c r="FZ847"/>
      <c r="GA847"/>
      <c r="GB847"/>
      <c r="GC847"/>
      <c r="GD847"/>
      <c r="GE847"/>
      <c r="GF847"/>
      <c r="GG847"/>
      <c r="GH847"/>
      <c r="GI847"/>
      <c r="GJ847"/>
      <c r="GK847"/>
      <c r="GL847"/>
      <c r="GM847"/>
      <c r="GN847"/>
      <c r="GO847"/>
      <c r="GP847"/>
      <c r="GQ847"/>
      <c r="GR847"/>
      <c r="GS847"/>
      <c r="GT847"/>
      <c r="GU847"/>
      <c r="GV847"/>
      <c r="GW847"/>
      <c r="GX847"/>
      <c r="GY847"/>
      <c r="GZ847"/>
      <c r="HA847"/>
      <c r="HB847"/>
      <c r="HC847"/>
      <c r="HD847"/>
      <c r="HE847"/>
      <c r="HF847"/>
      <c r="HG847"/>
      <c r="HH847"/>
      <c r="HI847"/>
      <c r="HJ847"/>
      <c r="HK847"/>
      <c r="HL847"/>
      <c r="HM847"/>
      <c r="HN847"/>
      <c r="HO847"/>
      <c r="HP847"/>
      <c r="HQ847"/>
      <c r="HR847"/>
      <c r="HS847"/>
      <c r="HT847"/>
      <c r="HU847"/>
      <c r="HV847"/>
      <c r="HW847"/>
      <c r="HX847"/>
      <c r="HY847"/>
      <c r="HZ847"/>
      <c r="IA847"/>
      <c r="IB847"/>
      <c r="IC847"/>
      <c r="ID847"/>
      <c r="IE847"/>
      <c r="IF847"/>
      <c r="IG847"/>
      <c r="IH847"/>
      <c r="II847"/>
      <c r="IJ847"/>
      <c r="IK847"/>
      <c r="IL847"/>
      <c r="IM847"/>
      <c r="IN847"/>
      <c r="IO847"/>
      <c r="IP847"/>
      <c r="IQ847"/>
      <c r="IR847"/>
      <c r="IS847"/>
      <c r="IT847"/>
      <c r="IU847"/>
      <c r="IV847"/>
      <c r="IW847"/>
      <c r="IX847"/>
    </row>
    <row r="848" spans="1:259" s="607" customFormat="1" ht="12.75" customHeight="1" x14ac:dyDescent="0.2">
      <c r="A848" s="798"/>
      <c r="B848" s="1553" t="s">
        <v>1136</v>
      </c>
      <c r="C848" s="1099">
        <v>2550000</v>
      </c>
      <c r="D848" s="1090">
        <v>2550000</v>
      </c>
      <c r="E848" s="1088">
        <v>2550000</v>
      </c>
      <c r="F848" s="1090">
        <v>1820000</v>
      </c>
      <c r="G848" s="1090">
        <v>1400941.62</v>
      </c>
      <c r="H848" s="1548">
        <v>1190368.17</v>
      </c>
      <c r="I848" s="1099">
        <v>2550000</v>
      </c>
      <c r="J848" s="1427"/>
      <c r="K848" s="1367"/>
      <c r="L848" s="1079"/>
      <c r="M848" s="889"/>
      <c r="N848" s="847"/>
    </row>
    <row r="849" spans="1:258" s="607" customFormat="1" ht="12.75" customHeight="1" x14ac:dyDescent="0.2">
      <c r="A849" s="798"/>
      <c r="B849" s="1553" t="s">
        <v>1475</v>
      </c>
      <c r="C849" s="1099">
        <v>100000</v>
      </c>
      <c r="D849" s="1090">
        <v>20000</v>
      </c>
      <c r="E849" s="1088">
        <v>20000</v>
      </c>
      <c r="F849" s="1090">
        <v>0</v>
      </c>
      <c r="G849" s="1090">
        <v>0</v>
      </c>
      <c r="H849" s="1548">
        <v>0</v>
      </c>
      <c r="I849" s="1099">
        <v>20000</v>
      </c>
      <c r="J849" s="1427"/>
      <c r="K849" s="2104"/>
      <c r="L849" s="1079"/>
      <c r="M849" s="889"/>
      <c r="N849" s="847"/>
    </row>
    <row r="850" spans="1:258" s="607" customFormat="1" ht="12.75" customHeight="1" x14ac:dyDescent="0.2">
      <c r="A850" s="851">
        <v>3613</v>
      </c>
      <c r="B850" s="1636" t="s">
        <v>879</v>
      </c>
      <c r="C850" s="1261">
        <f t="shared" ref="C850:H850" si="181">C851+C861+C862+C863+C868+C880+C882</f>
        <v>32875000</v>
      </c>
      <c r="D850" s="1089">
        <f t="shared" si="181"/>
        <v>29075000</v>
      </c>
      <c r="E850" s="1087">
        <f t="shared" si="181"/>
        <v>23975000</v>
      </c>
      <c r="F850" s="1089">
        <f t="shared" si="181"/>
        <v>14869855.129999999</v>
      </c>
      <c r="G850" s="1089">
        <f>G851+G861+G862+G863+G868+G880+G882</f>
        <v>9701677.0600000005</v>
      </c>
      <c r="H850" s="1478">
        <f t="shared" si="181"/>
        <v>7173441.7599999998</v>
      </c>
      <c r="I850" s="1261">
        <f>I851+I861+I862+I863+I868+I880+I881</f>
        <v>23745000</v>
      </c>
      <c r="J850" s="1427"/>
      <c r="K850" s="2105"/>
      <c r="L850" s="1079"/>
      <c r="M850" s="889"/>
      <c r="N850" s="847"/>
    </row>
    <row r="851" spans="1:258" s="607" customFormat="1" ht="12.75" customHeight="1" x14ac:dyDescent="0.2">
      <c r="A851" s="1104"/>
      <c r="B851" s="1824" t="s">
        <v>880</v>
      </c>
      <c r="C851" s="1800">
        <f>SUM(C852:C860)</f>
        <v>7570000</v>
      </c>
      <c r="D851" s="1102">
        <f>SUM(D852:D860)</f>
        <v>3720000</v>
      </c>
      <c r="E851" s="2072">
        <f>SUM(E852:E860)</f>
        <v>1820000</v>
      </c>
      <c r="F851" s="1102">
        <f>SUM(F852:F860)</f>
        <v>1391652.18</v>
      </c>
      <c r="G851" s="1102">
        <f>SUM(G852:G860)</f>
        <v>549022.17999999993</v>
      </c>
      <c r="H851" s="1801">
        <v>0</v>
      </c>
      <c r="I851" s="1800">
        <f>SUM(I852:I860)</f>
        <v>3990000</v>
      </c>
      <c r="J851" s="1530"/>
      <c r="K851" s="2106">
        <f>K852+K853</f>
        <v>0</v>
      </c>
      <c r="L851" s="1079"/>
      <c r="M851" s="889"/>
      <c r="N851" s="847"/>
    </row>
    <row r="852" spans="1:258" s="607" customFormat="1" ht="12.75" customHeight="1" x14ac:dyDescent="0.2">
      <c r="A852" s="1105"/>
      <c r="B852" s="1553" t="s">
        <v>1716</v>
      </c>
      <c r="C852" s="1099">
        <v>400000</v>
      </c>
      <c r="D852" s="1090">
        <v>400000</v>
      </c>
      <c r="E852" s="1088">
        <v>0</v>
      </c>
      <c r="F852" s="1090">
        <v>0</v>
      </c>
      <c r="G852" s="1090">
        <v>0</v>
      </c>
      <c r="H852" s="1548">
        <v>0</v>
      </c>
      <c r="I852" s="1099">
        <v>550000</v>
      </c>
      <c r="J852" s="858"/>
      <c r="K852" s="1370"/>
      <c r="L852" s="1079"/>
      <c r="M852" s="889"/>
      <c r="N852" s="847"/>
    </row>
    <row r="853" spans="1:258" ht="12.75" customHeight="1" x14ac:dyDescent="0.2">
      <c r="A853" s="854"/>
      <c r="B853" s="1553" t="s">
        <v>1225</v>
      </c>
      <c r="C853" s="1572">
        <v>220000</v>
      </c>
      <c r="D853" s="733">
        <v>220000</v>
      </c>
      <c r="E853" s="904">
        <v>220000</v>
      </c>
      <c r="F853" s="733">
        <v>220000</v>
      </c>
      <c r="G853" s="733">
        <v>0</v>
      </c>
      <c r="H853" s="1176">
        <v>0</v>
      </c>
      <c r="I853" s="1572">
        <v>0</v>
      </c>
      <c r="J853" s="858"/>
      <c r="K853" s="1369"/>
      <c r="L853" s="848"/>
      <c r="M853" s="887"/>
      <c r="N853" s="843"/>
      <c r="O853"/>
      <c r="P853"/>
      <c r="Q853"/>
      <c r="R853"/>
      <c r="S853"/>
      <c r="T853"/>
      <c r="U853"/>
      <c r="V853"/>
      <c r="W853"/>
      <c r="X853"/>
      <c r="Y853"/>
      <c r="Z853"/>
      <c r="AA853"/>
      <c r="AB853"/>
      <c r="AC853"/>
      <c r="AD853"/>
      <c r="AE853"/>
      <c r="AF853"/>
      <c r="AG853"/>
      <c r="AH853"/>
      <c r="AI853"/>
      <c r="AJ853"/>
      <c r="AK853"/>
      <c r="AL853"/>
      <c r="AM853"/>
      <c r="AN853"/>
      <c r="AO853"/>
      <c r="AP853"/>
      <c r="AQ853"/>
      <c r="AR853"/>
      <c r="AS853"/>
      <c r="AT853"/>
      <c r="AU853"/>
      <c r="AV853"/>
      <c r="AW853"/>
      <c r="AX853"/>
      <c r="AY853"/>
      <c r="AZ853"/>
      <c r="BA853"/>
      <c r="BB853"/>
      <c r="BC853"/>
      <c r="BD853"/>
      <c r="BE853"/>
      <c r="BF853"/>
      <c r="BG853"/>
      <c r="BH853"/>
      <c r="BI853"/>
      <c r="BJ853"/>
      <c r="BK853"/>
      <c r="BL853"/>
      <c r="BM853"/>
      <c r="BN853"/>
      <c r="BO853"/>
      <c r="BP853"/>
      <c r="BQ853"/>
      <c r="BR853"/>
      <c r="BS853"/>
      <c r="BT853"/>
      <c r="BU853"/>
      <c r="BV853"/>
      <c r="BW853"/>
      <c r="BX853"/>
      <c r="BY853"/>
      <c r="BZ853"/>
      <c r="CA853"/>
      <c r="CB853"/>
      <c r="CC853"/>
      <c r="CD853"/>
      <c r="CE853"/>
      <c r="CF853"/>
      <c r="CG853"/>
      <c r="CH853"/>
      <c r="CI853"/>
      <c r="CJ853"/>
      <c r="CK853"/>
      <c r="CL853"/>
      <c r="CM853"/>
      <c r="CN853"/>
      <c r="CO853"/>
      <c r="CP853"/>
      <c r="CQ853"/>
      <c r="CR853"/>
      <c r="CS853"/>
      <c r="CT853"/>
      <c r="CU853"/>
      <c r="CV853"/>
      <c r="CW853"/>
      <c r="CX853"/>
      <c r="CY853"/>
      <c r="CZ853"/>
      <c r="DA853"/>
      <c r="DB853"/>
      <c r="DC853"/>
      <c r="DD853"/>
      <c r="DE853"/>
      <c r="DF853"/>
      <c r="DG853"/>
      <c r="DH853"/>
      <c r="DI853"/>
      <c r="DJ853"/>
      <c r="DK853"/>
      <c r="DL853"/>
      <c r="DM853"/>
      <c r="DN853"/>
      <c r="DO853"/>
      <c r="DP853"/>
      <c r="DQ853"/>
      <c r="DR853"/>
      <c r="DS853"/>
      <c r="DT853"/>
      <c r="DU853"/>
      <c r="DV853"/>
      <c r="DW853"/>
      <c r="DX853"/>
      <c r="DY853"/>
      <c r="DZ853"/>
      <c r="EA853"/>
      <c r="EB853"/>
      <c r="EC853"/>
      <c r="ED853"/>
      <c r="EE853"/>
      <c r="EF853"/>
      <c r="EG853"/>
      <c r="EH853"/>
      <c r="EI853"/>
      <c r="EJ853"/>
      <c r="EK853"/>
      <c r="EL853"/>
      <c r="EM853"/>
      <c r="EN853"/>
      <c r="EO853"/>
      <c r="EP853"/>
      <c r="EQ853"/>
      <c r="ER853"/>
      <c r="ES853"/>
      <c r="ET853"/>
      <c r="EU853"/>
      <c r="EV853"/>
      <c r="EW853"/>
      <c r="EX853"/>
      <c r="EY853"/>
      <c r="EZ853"/>
      <c r="FA853"/>
      <c r="FB853"/>
      <c r="FC853"/>
      <c r="FD853"/>
      <c r="FE853"/>
      <c r="FF853"/>
      <c r="FG853"/>
      <c r="FH853"/>
      <c r="FI853"/>
      <c r="FJ853"/>
      <c r="FK853"/>
      <c r="FL853"/>
      <c r="FM853"/>
      <c r="FN853"/>
      <c r="FO853"/>
      <c r="FP853"/>
      <c r="FQ853"/>
      <c r="FR853"/>
      <c r="FS853"/>
      <c r="FT853"/>
      <c r="FU853"/>
      <c r="FV853"/>
      <c r="FW853"/>
      <c r="FX853"/>
      <c r="FY853"/>
      <c r="FZ853"/>
      <c r="GA853"/>
      <c r="GB853"/>
      <c r="GC853"/>
      <c r="GD853"/>
      <c r="GE853"/>
      <c r="GF853"/>
      <c r="GG853"/>
      <c r="GH853"/>
      <c r="GI853"/>
      <c r="GJ853"/>
      <c r="GK853"/>
      <c r="GL853"/>
      <c r="GM853"/>
      <c r="GN853"/>
      <c r="GO853"/>
      <c r="GP853"/>
      <c r="GQ853"/>
      <c r="GR853"/>
      <c r="GS853"/>
      <c r="GT853"/>
      <c r="GU853"/>
      <c r="GV853"/>
      <c r="GW853"/>
      <c r="GX853"/>
      <c r="GY853"/>
      <c r="GZ853"/>
      <c r="HA853"/>
      <c r="HB853"/>
      <c r="HC853"/>
      <c r="HD853"/>
      <c r="HE853"/>
      <c r="HF853"/>
      <c r="HG853"/>
      <c r="HH853"/>
      <c r="HI853"/>
      <c r="HJ853"/>
      <c r="HK853"/>
      <c r="HL853"/>
      <c r="HM853"/>
      <c r="HN853"/>
      <c r="HO853"/>
      <c r="HP853"/>
      <c r="HQ853"/>
      <c r="HR853"/>
      <c r="HS853"/>
      <c r="HT853"/>
      <c r="HU853"/>
      <c r="HV853"/>
      <c r="HW853"/>
      <c r="HX853"/>
      <c r="HY853"/>
      <c r="HZ853"/>
      <c r="IA853"/>
      <c r="IB853"/>
      <c r="IC853"/>
      <c r="ID853"/>
      <c r="IE853"/>
      <c r="IF853"/>
      <c r="IG853"/>
      <c r="IH853"/>
      <c r="II853"/>
      <c r="IJ853"/>
      <c r="IK853"/>
      <c r="IL853"/>
      <c r="IM853"/>
      <c r="IN853"/>
      <c r="IO853"/>
      <c r="IP853"/>
      <c r="IQ853"/>
      <c r="IR853"/>
      <c r="IS853"/>
      <c r="IT853"/>
      <c r="IU853"/>
      <c r="IV853"/>
      <c r="IW853"/>
      <c r="IX853"/>
    </row>
    <row r="854" spans="1:258" ht="12.75" customHeight="1" x14ac:dyDescent="0.2">
      <c r="A854" s="851"/>
      <c r="B854" s="1825" t="s">
        <v>1476</v>
      </c>
      <c r="C854" s="1099">
        <v>150000</v>
      </c>
      <c r="D854" s="1090">
        <f>150000+150000</f>
        <v>300000</v>
      </c>
      <c r="E854" s="1088">
        <f>150000+150000</f>
        <v>300000</v>
      </c>
      <c r="F854" s="1090">
        <v>39652.18</v>
      </c>
      <c r="G854" s="1090">
        <v>157022.18</v>
      </c>
      <c r="H854" s="1548">
        <v>0</v>
      </c>
      <c r="I854" s="1099">
        <v>0</v>
      </c>
      <c r="J854" s="858"/>
      <c r="K854" s="1367"/>
      <c r="L854" s="848"/>
      <c r="M854" s="887"/>
      <c r="N854" s="843"/>
      <c r="O854"/>
      <c r="P854"/>
      <c r="Q854"/>
      <c r="R854"/>
      <c r="S854"/>
      <c r="T854"/>
      <c r="U854"/>
      <c r="V854"/>
      <c r="W854"/>
      <c r="X854"/>
      <c r="Y854"/>
      <c r="Z854"/>
      <c r="AA854"/>
      <c r="AB854"/>
      <c r="AC854"/>
      <c r="AD854"/>
      <c r="AE854"/>
      <c r="AF854"/>
      <c r="AG854"/>
      <c r="AH854"/>
      <c r="AI854"/>
      <c r="AJ854"/>
      <c r="AK854"/>
      <c r="AL854"/>
      <c r="AM854"/>
      <c r="AN854"/>
      <c r="AO854"/>
      <c r="AP854"/>
      <c r="AQ854"/>
      <c r="AR854"/>
      <c r="AS854"/>
      <c r="AT854"/>
      <c r="AU854"/>
      <c r="AV854"/>
      <c r="AW854"/>
      <c r="AX854"/>
      <c r="AY854"/>
      <c r="AZ854"/>
      <c r="BA854"/>
      <c r="BB854"/>
      <c r="BC854"/>
      <c r="BD854"/>
      <c r="BE854"/>
      <c r="BF854"/>
      <c r="BG854"/>
      <c r="BH854"/>
      <c r="BI854"/>
      <c r="BJ854"/>
      <c r="BK854"/>
      <c r="BL854"/>
      <c r="BM854"/>
      <c r="BN854"/>
      <c r="BO854"/>
      <c r="BP854"/>
      <c r="BQ854"/>
      <c r="BR854"/>
      <c r="BS854"/>
      <c r="BT854"/>
      <c r="BU854"/>
      <c r="BV854"/>
      <c r="BW854"/>
      <c r="BX854"/>
      <c r="BY854"/>
      <c r="BZ854"/>
      <c r="CA854"/>
      <c r="CB854"/>
      <c r="CC854"/>
      <c r="CD854"/>
      <c r="CE854"/>
      <c r="CF854"/>
      <c r="CG854"/>
      <c r="CH854"/>
      <c r="CI854"/>
      <c r="CJ854"/>
      <c r="CK854"/>
      <c r="CL854"/>
      <c r="CM854"/>
      <c r="CN854"/>
      <c r="CO854"/>
      <c r="CP854"/>
      <c r="CQ854"/>
      <c r="CR854"/>
      <c r="CS854"/>
      <c r="CT854"/>
      <c r="CU854"/>
      <c r="CV854"/>
      <c r="CW854"/>
      <c r="CX854"/>
      <c r="CY854"/>
      <c r="CZ854"/>
      <c r="DA854"/>
      <c r="DB854"/>
      <c r="DC854"/>
      <c r="DD854"/>
      <c r="DE854"/>
      <c r="DF854"/>
      <c r="DG854"/>
      <c r="DH854"/>
      <c r="DI854"/>
      <c r="DJ854"/>
      <c r="DK854"/>
      <c r="DL854"/>
      <c r="DM854"/>
      <c r="DN854"/>
      <c r="DO854"/>
      <c r="DP854"/>
      <c r="DQ854"/>
      <c r="DR854"/>
      <c r="DS854"/>
      <c r="DT854"/>
      <c r="DU854"/>
      <c r="DV854"/>
      <c r="DW854"/>
      <c r="DX854"/>
      <c r="DY854"/>
      <c r="DZ854"/>
      <c r="EA854"/>
      <c r="EB854"/>
      <c r="EC854"/>
      <c r="ED854"/>
      <c r="EE854"/>
      <c r="EF854"/>
      <c r="EG854"/>
      <c r="EH854"/>
      <c r="EI854"/>
      <c r="EJ854"/>
      <c r="EK854"/>
      <c r="EL854"/>
      <c r="EM854"/>
      <c r="EN854"/>
      <c r="EO854"/>
      <c r="EP854"/>
      <c r="EQ854"/>
      <c r="ER854"/>
      <c r="ES854"/>
      <c r="ET854"/>
      <c r="EU854"/>
      <c r="EV854"/>
      <c r="EW854"/>
      <c r="EX854"/>
      <c r="EY854"/>
      <c r="EZ854"/>
      <c r="FA854"/>
      <c r="FB854"/>
      <c r="FC854"/>
      <c r="FD854"/>
      <c r="FE854"/>
      <c r="FF854"/>
      <c r="FG854"/>
      <c r="FH854"/>
      <c r="FI854"/>
      <c r="FJ854"/>
      <c r="FK854"/>
      <c r="FL854"/>
      <c r="FM854"/>
      <c r="FN854"/>
      <c r="FO854"/>
      <c r="FP854"/>
      <c r="FQ854"/>
      <c r="FR854"/>
      <c r="FS854"/>
      <c r="FT854"/>
      <c r="FU854"/>
      <c r="FV854"/>
      <c r="FW854"/>
      <c r="FX854"/>
      <c r="FY854"/>
      <c r="FZ854"/>
      <c r="GA854"/>
      <c r="GB854"/>
      <c r="GC854"/>
      <c r="GD854"/>
      <c r="GE854"/>
      <c r="GF854"/>
      <c r="GG854"/>
      <c r="GH854"/>
      <c r="GI854"/>
      <c r="GJ854"/>
      <c r="GK854"/>
      <c r="GL854"/>
      <c r="GM854"/>
      <c r="GN854"/>
      <c r="GO854"/>
      <c r="GP854"/>
      <c r="GQ854"/>
      <c r="GR854"/>
      <c r="GS854"/>
      <c r="GT854"/>
      <c r="GU854"/>
      <c r="GV854"/>
      <c r="GW854"/>
      <c r="GX854"/>
      <c r="GY854"/>
      <c r="GZ854"/>
      <c r="HA854"/>
      <c r="HB854"/>
      <c r="HC854"/>
      <c r="HD854"/>
      <c r="HE854"/>
      <c r="HF854"/>
      <c r="HG854"/>
      <c r="HH854"/>
      <c r="HI854"/>
      <c r="HJ854"/>
      <c r="HK854"/>
      <c r="HL854"/>
      <c r="HM854"/>
      <c r="HN854"/>
      <c r="HO854"/>
      <c r="HP854"/>
      <c r="HQ854"/>
      <c r="HR854"/>
      <c r="HS854"/>
      <c r="HT854"/>
      <c r="HU854"/>
      <c r="HV854"/>
      <c r="HW854"/>
      <c r="HX854"/>
      <c r="HY854"/>
      <c r="HZ854"/>
      <c r="IA854"/>
      <c r="IB854"/>
      <c r="IC854"/>
      <c r="ID854"/>
      <c r="IE854"/>
      <c r="IF854"/>
      <c r="IG854"/>
      <c r="IH854"/>
      <c r="II854"/>
      <c r="IJ854"/>
      <c r="IK854"/>
      <c r="IL854"/>
      <c r="IM854"/>
      <c r="IN854"/>
      <c r="IO854"/>
      <c r="IP854"/>
      <c r="IQ854"/>
      <c r="IR854"/>
      <c r="IS854"/>
      <c r="IT854"/>
      <c r="IU854"/>
      <c r="IV854"/>
      <c r="IW854"/>
      <c r="IX854"/>
    </row>
    <row r="855" spans="1:258" ht="12.75" customHeight="1" x14ac:dyDescent="0.2">
      <c r="A855" s="1105"/>
      <c r="B855" s="1825" t="s">
        <v>1477</v>
      </c>
      <c r="C855" s="1099">
        <v>0</v>
      </c>
      <c r="D855" s="1090">
        <v>0</v>
      </c>
      <c r="E855" s="1088">
        <v>0</v>
      </c>
      <c r="F855" s="1090">
        <v>0</v>
      </c>
      <c r="G855" s="1090">
        <v>0</v>
      </c>
      <c r="H855" s="1548">
        <v>0</v>
      </c>
      <c r="I855" s="1099">
        <v>600000</v>
      </c>
      <c r="J855" s="858"/>
      <c r="K855" s="1367"/>
      <c r="L855" s="848"/>
      <c r="M855" s="887"/>
      <c r="N855" s="843"/>
      <c r="O855"/>
      <c r="P855"/>
      <c r="Q855"/>
      <c r="R855"/>
      <c r="S855"/>
      <c r="T855"/>
      <c r="U855"/>
      <c r="V855"/>
      <c r="W855"/>
      <c r="X855"/>
      <c r="Y855"/>
      <c r="Z855"/>
      <c r="AA855"/>
      <c r="AB855"/>
      <c r="AC855"/>
      <c r="AD855"/>
      <c r="AE855"/>
      <c r="AF855"/>
      <c r="AG855"/>
      <c r="AH855"/>
      <c r="AI855"/>
      <c r="AJ855"/>
      <c r="AK855"/>
      <c r="AL855"/>
      <c r="AM855"/>
      <c r="AN855"/>
      <c r="AO855"/>
      <c r="AP855"/>
      <c r="AQ855"/>
      <c r="AR855"/>
      <c r="AS855"/>
      <c r="AT855"/>
      <c r="AU855"/>
      <c r="AV855"/>
      <c r="AW855"/>
      <c r="AX855"/>
      <c r="AY855"/>
      <c r="AZ855"/>
      <c r="BA855"/>
      <c r="BB855"/>
      <c r="BC855"/>
      <c r="BD855"/>
      <c r="BE855"/>
      <c r="BF855"/>
      <c r="BG855"/>
      <c r="BH855"/>
      <c r="BI855"/>
      <c r="BJ855"/>
      <c r="BK855"/>
      <c r="BL855"/>
      <c r="BM855"/>
      <c r="BN855"/>
      <c r="BO855"/>
      <c r="BP855"/>
      <c r="BQ855"/>
      <c r="BR855"/>
      <c r="BS855"/>
      <c r="BT855"/>
      <c r="BU855"/>
      <c r="BV855"/>
      <c r="BW855"/>
      <c r="BX855"/>
      <c r="BY855"/>
      <c r="BZ855"/>
      <c r="CA855"/>
      <c r="CB855"/>
      <c r="CC855"/>
      <c r="CD855"/>
      <c r="CE855"/>
      <c r="CF855"/>
      <c r="CG855"/>
      <c r="CH855"/>
      <c r="CI855"/>
      <c r="CJ855"/>
      <c r="CK855"/>
      <c r="CL855"/>
      <c r="CM855"/>
      <c r="CN855"/>
      <c r="CO855"/>
      <c r="CP855"/>
      <c r="CQ855"/>
      <c r="CR855"/>
      <c r="CS855"/>
      <c r="CT855"/>
      <c r="CU855"/>
      <c r="CV855"/>
      <c r="CW855"/>
      <c r="CX855"/>
      <c r="CY855"/>
      <c r="CZ855"/>
      <c r="DA855"/>
      <c r="DB855"/>
      <c r="DC855"/>
      <c r="DD855"/>
      <c r="DE855"/>
      <c r="DF855"/>
      <c r="DG855"/>
      <c r="DH855"/>
      <c r="DI855"/>
      <c r="DJ855"/>
      <c r="DK855"/>
      <c r="DL855"/>
      <c r="DM855"/>
      <c r="DN855"/>
      <c r="DO855"/>
      <c r="DP855"/>
      <c r="DQ855"/>
      <c r="DR855"/>
      <c r="DS855"/>
      <c r="DT855"/>
      <c r="DU855"/>
      <c r="DV855"/>
      <c r="DW855"/>
      <c r="DX855"/>
      <c r="DY855"/>
      <c r="DZ855"/>
      <c r="EA855"/>
      <c r="EB855"/>
      <c r="EC855"/>
      <c r="ED855"/>
      <c r="EE855"/>
      <c r="EF855"/>
      <c r="EG855"/>
      <c r="EH855"/>
      <c r="EI855"/>
      <c r="EJ855"/>
      <c r="EK855"/>
      <c r="EL855"/>
      <c r="EM855"/>
      <c r="EN855"/>
      <c r="EO855"/>
      <c r="EP855"/>
      <c r="EQ855"/>
      <c r="ER855"/>
      <c r="ES855"/>
      <c r="ET855"/>
      <c r="EU855"/>
      <c r="EV855"/>
      <c r="EW855"/>
      <c r="EX855"/>
      <c r="EY855"/>
      <c r="EZ855"/>
      <c r="FA855"/>
      <c r="FB855"/>
      <c r="FC855"/>
      <c r="FD855"/>
      <c r="FE855"/>
      <c r="FF855"/>
      <c r="FG855"/>
      <c r="FH855"/>
      <c r="FI855"/>
      <c r="FJ855"/>
      <c r="FK855"/>
      <c r="FL855"/>
      <c r="FM855"/>
      <c r="FN855"/>
      <c r="FO855"/>
      <c r="FP855"/>
      <c r="FQ855"/>
      <c r="FR855"/>
      <c r="FS855"/>
      <c r="FT855"/>
      <c r="FU855"/>
      <c r="FV855"/>
      <c r="FW855"/>
      <c r="FX855"/>
      <c r="FY855"/>
      <c r="FZ855"/>
      <c r="GA855"/>
      <c r="GB855"/>
      <c r="GC855"/>
      <c r="GD855"/>
      <c r="GE855"/>
      <c r="GF855"/>
      <c r="GG855"/>
      <c r="GH855"/>
      <c r="GI855"/>
      <c r="GJ855"/>
      <c r="GK855"/>
      <c r="GL855"/>
      <c r="GM855"/>
      <c r="GN855"/>
      <c r="GO855"/>
      <c r="GP855"/>
      <c r="GQ855"/>
      <c r="GR855"/>
      <c r="GS855"/>
      <c r="GT855"/>
      <c r="GU855"/>
      <c r="GV855"/>
      <c r="GW855"/>
      <c r="GX855"/>
      <c r="GY855"/>
      <c r="GZ855"/>
      <c r="HA855"/>
      <c r="HB855"/>
      <c r="HC855"/>
      <c r="HD855"/>
      <c r="HE855"/>
      <c r="HF855"/>
      <c r="HG855"/>
      <c r="HH855"/>
      <c r="HI855"/>
      <c r="HJ855"/>
      <c r="HK855"/>
      <c r="HL855"/>
      <c r="HM855"/>
      <c r="HN855"/>
      <c r="HO855"/>
      <c r="HP855"/>
      <c r="HQ855"/>
      <c r="HR855"/>
      <c r="HS855"/>
      <c r="HT855"/>
      <c r="HU855"/>
      <c r="HV855"/>
      <c r="HW855"/>
      <c r="HX855"/>
      <c r="HY855"/>
      <c r="HZ855"/>
      <c r="IA855"/>
      <c r="IB855"/>
      <c r="IC855"/>
      <c r="ID855"/>
      <c r="IE855"/>
      <c r="IF855"/>
      <c r="IG855"/>
      <c r="IH855"/>
      <c r="II855"/>
      <c r="IJ855"/>
      <c r="IK855"/>
      <c r="IL855"/>
      <c r="IM855"/>
      <c r="IN855"/>
      <c r="IO855"/>
      <c r="IP855"/>
      <c r="IQ855"/>
      <c r="IR855"/>
      <c r="IS855"/>
      <c r="IT855"/>
      <c r="IU855"/>
      <c r="IV855"/>
      <c r="IW855"/>
      <c r="IX855"/>
    </row>
    <row r="856" spans="1:258" s="607" customFormat="1" ht="12.75" customHeight="1" x14ac:dyDescent="0.2">
      <c r="A856" s="1105"/>
      <c r="B856" s="1825" t="s">
        <v>1082</v>
      </c>
      <c r="C856" s="1099">
        <v>800000</v>
      </c>
      <c r="D856" s="1090">
        <v>800000</v>
      </c>
      <c r="E856" s="1088">
        <v>200000</v>
      </c>
      <c r="F856" s="1090">
        <v>200000</v>
      </c>
      <c r="G856" s="1090">
        <v>0</v>
      </c>
      <c r="H856" s="1548">
        <v>0</v>
      </c>
      <c r="I856" s="1099">
        <v>1100000</v>
      </c>
      <c r="J856" s="858"/>
      <c r="K856" s="1367"/>
      <c r="L856" s="1079"/>
      <c r="M856" s="889"/>
      <c r="N856" s="847"/>
    </row>
    <row r="857" spans="1:258" s="607" customFormat="1" ht="12.75" customHeight="1" x14ac:dyDescent="0.2">
      <c r="A857" s="1105"/>
      <c r="B857" s="1567" t="s">
        <v>1137</v>
      </c>
      <c r="C857" s="1099">
        <v>4000000</v>
      </c>
      <c r="D857" s="1090">
        <f>4000000-4000000</f>
        <v>0</v>
      </c>
      <c r="E857" s="1088">
        <v>0</v>
      </c>
      <c r="F857" s="1090">
        <v>0</v>
      </c>
      <c r="G857" s="1090">
        <v>0</v>
      </c>
      <c r="H857" s="1548">
        <v>0</v>
      </c>
      <c r="I857" s="1099">
        <v>0</v>
      </c>
      <c r="J857" s="858"/>
      <c r="K857" s="1369"/>
      <c r="L857" s="1079"/>
      <c r="M857" s="889"/>
      <c r="N857" s="847"/>
    </row>
    <row r="858" spans="1:258" s="607" customFormat="1" ht="12.75" customHeight="1" x14ac:dyDescent="0.2">
      <c r="A858" s="1105"/>
      <c r="B858" s="1567" t="s">
        <v>1802</v>
      </c>
      <c r="C858" s="1099">
        <v>700000</v>
      </c>
      <c r="D858" s="1090">
        <v>700000</v>
      </c>
      <c r="E858" s="1088">
        <v>700000</v>
      </c>
      <c r="F858" s="1090">
        <v>700000</v>
      </c>
      <c r="G858" s="1090">
        <v>392000</v>
      </c>
      <c r="H858" s="1548">
        <v>0</v>
      </c>
      <c r="I858" s="1099">
        <v>840000</v>
      </c>
      <c r="J858" s="858"/>
      <c r="K858" s="1369"/>
      <c r="L858" s="1079"/>
      <c r="M858" s="889"/>
      <c r="N858" s="847"/>
    </row>
    <row r="859" spans="1:258" s="607" customFormat="1" ht="12.75" customHeight="1" x14ac:dyDescent="0.2">
      <c r="A859" s="1105"/>
      <c r="B859" s="1567" t="s">
        <v>1138</v>
      </c>
      <c r="C859" s="1099">
        <v>900000</v>
      </c>
      <c r="D859" s="1090">
        <v>900000</v>
      </c>
      <c r="E859" s="1088">
        <v>0</v>
      </c>
      <c r="F859" s="1090">
        <v>0</v>
      </c>
      <c r="G859" s="1090">
        <v>0</v>
      </c>
      <c r="H859" s="1548">
        <v>0</v>
      </c>
      <c r="I859" s="1099">
        <v>900000</v>
      </c>
      <c r="J859" s="858"/>
      <c r="K859" s="1369"/>
      <c r="L859" s="1079"/>
      <c r="M859" s="889"/>
      <c r="N859" s="847"/>
    </row>
    <row r="860" spans="1:258" s="607" customFormat="1" ht="12.75" customHeight="1" x14ac:dyDescent="0.2">
      <c r="A860" s="1105"/>
      <c r="B860" s="1826" t="s">
        <v>1773</v>
      </c>
      <c r="C860" s="1099">
        <v>400000</v>
      </c>
      <c r="D860" s="1090">
        <v>400000</v>
      </c>
      <c r="E860" s="1088">
        <v>400000</v>
      </c>
      <c r="F860" s="1090">
        <v>232000</v>
      </c>
      <c r="G860" s="1090">
        <v>0</v>
      </c>
      <c r="H860" s="1548">
        <v>0</v>
      </c>
      <c r="I860" s="1099">
        <v>0</v>
      </c>
      <c r="J860" s="858"/>
      <c r="K860" s="1369"/>
      <c r="L860" s="1079"/>
      <c r="M860" s="889"/>
      <c r="N860" s="847"/>
    </row>
    <row r="861" spans="1:258" s="607" customFormat="1" ht="12.75" customHeight="1" x14ac:dyDescent="0.2">
      <c r="A861" s="1105"/>
      <c r="B861" s="1799" t="s">
        <v>1083</v>
      </c>
      <c r="C861" s="1572">
        <v>30000</v>
      </c>
      <c r="D861" s="733">
        <v>34000</v>
      </c>
      <c r="E861" s="904">
        <v>134000</v>
      </c>
      <c r="F861" s="733">
        <v>60000</v>
      </c>
      <c r="G861" s="733">
        <v>83406.8</v>
      </c>
      <c r="H861" s="1176">
        <v>6354</v>
      </c>
      <c r="I861" s="1572">
        <v>30000</v>
      </c>
      <c r="J861" s="858"/>
      <c r="K861" s="1369"/>
      <c r="L861" s="1079"/>
      <c r="M861" s="889"/>
      <c r="N861" s="847"/>
    </row>
    <row r="862" spans="1:258" s="607" customFormat="1" ht="12.75" customHeight="1" x14ac:dyDescent="0.2">
      <c r="A862" s="1105"/>
      <c r="B862" s="1799" t="s">
        <v>1084</v>
      </c>
      <c r="C862" s="1800">
        <v>80000</v>
      </c>
      <c r="D862" s="1102">
        <v>80000</v>
      </c>
      <c r="E862" s="2072">
        <v>80000</v>
      </c>
      <c r="F862" s="1102">
        <v>10000</v>
      </c>
      <c r="G862" s="1102">
        <v>13976.75</v>
      </c>
      <c r="H862" s="1801">
        <v>5821.75</v>
      </c>
      <c r="I862" s="1800">
        <v>80000</v>
      </c>
      <c r="J862" s="735"/>
      <c r="K862" s="1369"/>
      <c r="L862" s="1079"/>
      <c r="M862" s="889"/>
      <c r="N862" s="847"/>
    </row>
    <row r="863" spans="1:258" s="607" customFormat="1" ht="12.75" customHeight="1" x14ac:dyDescent="0.2">
      <c r="A863" s="854"/>
      <c r="B863" s="1799" t="s">
        <v>1085</v>
      </c>
      <c r="C863" s="1800">
        <f t="shared" ref="C863:I863" si="182">C864+C865+C866+C867</f>
        <v>7900000</v>
      </c>
      <c r="D863" s="1102">
        <f t="shared" si="182"/>
        <v>7900000</v>
      </c>
      <c r="E863" s="2072">
        <f t="shared" si="182"/>
        <v>7900000</v>
      </c>
      <c r="F863" s="1102">
        <f t="shared" si="182"/>
        <v>6150000</v>
      </c>
      <c r="G863" s="1102">
        <f>G864+G865+G866+G867</f>
        <v>4372079.71</v>
      </c>
      <c r="H863" s="1801">
        <f t="shared" si="182"/>
        <v>3771614.0300000003</v>
      </c>
      <c r="I863" s="1800">
        <f t="shared" si="182"/>
        <v>8050000</v>
      </c>
      <c r="J863" s="858"/>
      <c r="K863" s="1369"/>
      <c r="L863" s="1079"/>
      <c r="M863" s="889"/>
      <c r="N863" s="847"/>
    </row>
    <row r="864" spans="1:258" ht="12.75" customHeight="1" x14ac:dyDescent="0.2">
      <c r="A864" s="854"/>
      <c r="B864" s="1799" t="s">
        <v>1133</v>
      </c>
      <c r="C864" s="1099">
        <v>1000000</v>
      </c>
      <c r="D864" s="1090">
        <v>1000000</v>
      </c>
      <c r="E864" s="1088">
        <v>1000000</v>
      </c>
      <c r="F864" s="1090">
        <v>600000</v>
      </c>
      <c r="G864" s="1090">
        <v>491558.81</v>
      </c>
      <c r="H864" s="1548">
        <v>372771.48</v>
      </c>
      <c r="I864" s="1099">
        <v>1200000</v>
      </c>
      <c r="J864" s="735"/>
      <c r="K864" s="1369"/>
      <c r="L864" s="848"/>
      <c r="M864" s="887"/>
      <c r="N864" s="843"/>
      <c r="O864"/>
      <c r="P864"/>
      <c r="Q864"/>
      <c r="R864"/>
      <c r="S864"/>
      <c r="T864"/>
      <c r="U864"/>
      <c r="V864"/>
      <c r="W864"/>
      <c r="X864"/>
      <c r="Y864"/>
      <c r="Z864"/>
      <c r="AA864"/>
      <c r="AB864"/>
      <c r="AC864"/>
      <c r="AD864"/>
      <c r="AE864"/>
      <c r="AF864"/>
      <c r="AG864"/>
      <c r="AH864"/>
      <c r="AI864"/>
      <c r="AJ864"/>
      <c r="AK864"/>
      <c r="AL864"/>
      <c r="AM864"/>
      <c r="AN864"/>
      <c r="AO864"/>
      <c r="AP864"/>
      <c r="AQ864"/>
      <c r="AR864"/>
      <c r="AS864"/>
      <c r="AT864"/>
      <c r="AU864"/>
      <c r="AV864"/>
      <c r="AW864"/>
      <c r="AX864"/>
      <c r="AY864"/>
      <c r="AZ864"/>
      <c r="BA864"/>
      <c r="BB864"/>
      <c r="BC864"/>
      <c r="BD864"/>
      <c r="BE864"/>
      <c r="BF864"/>
      <c r="BG864"/>
      <c r="BH864"/>
      <c r="BI864"/>
      <c r="BJ864"/>
      <c r="BK864"/>
      <c r="BL864"/>
      <c r="BM864"/>
      <c r="BN864"/>
      <c r="BO864"/>
      <c r="BP864"/>
      <c r="BQ864"/>
      <c r="BR864"/>
      <c r="BS864"/>
      <c r="BT864"/>
      <c r="BU864"/>
      <c r="BV864"/>
      <c r="BW864"/>
      <c r="BX864"/>
      <c r="BY864"/>
      <c r="BZ864"/>
      <c r="CA864"/>
      <c r="CB864"/>
      <c r="CC864"/>
      <c r="CD864"/>
      <c r="CE864"/>
      <c r="CF864"/>
      <c r="CG864"/>
      <c r="CH864"/>
      <c r="CI864"/>
      <c r="CJ864"/>
      <c r="CK864"/>
      <c r="CL864"/>
      <c r="CM864"/>
      <c r="CN864"/>
      <c r="CO864"/>
      <c r="CP864"/>
      <c r="CQ864"/>
      <c r="CR864"/>
      <c r="CS864"/>
      <c r="CT864"/>
      <c r="CU864"/>
      <c r="CV864"/>
      <c r="CW864"/>
      <c r="CX864"/>
      <c r="CY864"/>
      <c r="CZ864"/>
      <c r="DA864"/>
      <c r="DB864"/>
      <c r="DC864"/>
      <c r="DD864"/>
      <c r="DE864"/>
      <c r="DF864"/>
      <c r="DG864"/>
      <c r="DH864"/>
      <c r="DI864"/>
      <c r="DJ864"/>
      <c r="DK864"/>
      <c r="DL864"/>
      <c r="DM864"/>
      <c r="DN864"/>
      <c r="DO864"/>
      <c r="DP864"/>
      <c r="DQ864"/>
      <c r="DR864"/>
      <c r="DS864"/>
      <c r="DT864"/>
      <c r="DU864"/>
      <c r="DV864"/>
      <c r="DW864"/>
      <c r="DX864"/>
      <c r="DY864"/>
      <c r="DZ864"/>
      <c r="EA864"/>
      <c r="EB864"/>
      <c r="EC864"/>
      <c r="ED864"/>
      <c r="EE864"/>
      <c r="EF864"/>
      <c r="EG864"/>
      <c r="EH864"/>
      <c r="EI864"/>
      <c r="EJ864"/>
      <c r="EK864"/>
      <c r="EL864"/>
      <c r="EM864"/>
      <c r="EN864"/>
      <c r="EO864"/>
      <c r="EP864"/>
      <c r="EQ864"/>
      <c r="ER864"/>
      <c r="ES864"/>
      <c r="ET864"/>
      <c r="EU864"/>
      <c r="EV864"/>
      <c r="EW864"/>
      <c r="EX864"/>
      <c r="EY864"/>
      <c r="EZ864"/>
      <c r="FA864"/>
      <c r="FB864"/>
      <c r="FC864"/>
      <c r="FD864"/>
      <c r="FE864"/>
      <c r="FF864"/>
      <c r="FG864"/>
      <c r="FH864"/>
      <c r="FI864"/>
      <c r="FJ864"/>
      <c r="FK864"/>
      <c r="FL864"/>
      <c r="FM864"/>
      <c r="FN864"/>
      <c r="FO864"/>
      <c r="FP864"/>
      <c r="FQ864"/>
      <c r="FR864"/>
      <c r="FS864"/>
      <c r="FT864"/>
      <c r="FU864"/>
      <c r="FV864"/>
      <c r="FW864"/>
      <c r="FX864"/>
      <c r="FY864"/>
      <c r="FZ864"/>
      <c r="GA864"/>
      <c r="GB864"/>
      <c r="GC864"/>
      <c r="GD864"/>
      <c r="GE864"/>
      <c r="GF864"/>
      <c r="GG864"/>
      <c r="GH864"/>
      <c r="GI864"/>
      <c r="GJ864"/>
      <c r="GK864"/>
      <c r="GL864"/>
      <c r="GM864"/>
      <c r="GN864"/>
      <c r="GO864"/>
      <c r="GP864"/>
      <c r="GQ864"/>
      <c r="GR864"/>
      <c r="GS864"/>
      <c r="GT864"/>
      <c r="GU864"/>
      <c r="GV864"/>
      <c r="GW864"/>
      <c r="GX864"/>
      <c r="GY864"/>
      <c r="GZ864"/>
      <c r="HA864"/>
      <c r="HB864"/>
      <c r="HC864"/>
      <c r="HD864"/>
      <c r="HE864"/>
      <c r="HF864"/>
      <c r="HG864"/>
      <c r="HH864"/>
      <c r="HI864"/>
      <c r="HJ864"/>
      <c r="HK864"/>
      <c r="HL864"/>
      <c r="HM864"/>
      <c r="HN864"/>
      <c r="HO864"/>
      <c r="HP864"/>
      <c r="HQ864"/>
      <c r="HR864"/>
      <c r="HS864"/>
      <c r="HT864"/>
      <c r="HU864"/>
      <c r="HV864"/>
      <c r="HW864"/>
      <c r="HX864"/>
      <c r="HY864"/>
      <c r="HZ864"/>
      <c r="IA864"/>
      <c r="IB864"/>
      <c r="IC864"/>
      <c r="ID864"/>
      <c r="IE864"/>
      <c r="IF864"/>
      <c r="IG864"/>
      <c r="IH864"/>
      <c r="II864"/>
      <c r="IJ864"/>
      <c r="IK864"/>
      <c r="IL864"/>
      <c r="IM864"/>
      <c r="IN864"/>
      <c r="IO864"/>
      <c r="IP864"/>
      <c r="IQ864"/>
      <c r="IR864"/>
      <c r="IS864"/>
      <c r="IT864"/>
      <c r="IU864"/>
      <c r="IV864"/>
      <c r="IW864"/>
      <c r="IX864"/>
    </row>
    <row r="865" spans="1:259" ht="12.75" customHeight="1" x14ac:dyDescent="0.2">
      <c r="A865" s="854"/>
      <c r="B865" s="1799" t="s">
        <v>897</v>
      </c>
      <c r="C865" s="1099">
        <v>2000000</v>
      </c>
      <c r="D865" s="1090">
        <v>2000000</v>
      </c>
      <c r="E865" s="1088">
        <v>2000000</v>
      </c>
      <c r="F865" s="1090">
        <v>1400000</v>
      </c>
      <c r="G865" s="1090">
        <v>756560.93</v>
      </c>
      <c r="H865" s="1548">
        <v>747772.81</v>
      </c>
      <c r="I865" s="1099">
        <v>2000000</v>
      </c>
      <c r="J865" s="879"/>
      <c r="K865" s="1367"/>
      <c r="L865" s="848"/>
      <c r="M865" s="887"/>
      <c r="N865" s="843"/>
      <c r="O865"/>
      <c r="P865"/>
      <c r="Q865"/>
      <c r="R865"/>
      <c r="S865"/>
      <c r="T865"/>
      <c r="U865"/>
      <c r="V865"/>
      <c r="W865"/>
      <c r="X865"/>
      <c r="Y865"/>
      <c r="Z865"/>
      <c r="AA865"/>
      <c r="AB865"/>
      <c r="AC865"/>
      <c r="AD865"/>
      <c r="AE865"/>
      <c r="AF865"/>
      <c r="AG865"/>
      <c r="AH865"/>
      <c r="AI865"/>
      <c r="AJ865"/>
      <c r="AK865"/>
      <c r="AL865"/>
      <c r="AM865"/>
      <c r="AN865"/>
      <c r="AO865"/>
      <c r="AP865"/>
      <c r="AQ865"/>
      <c r="AR865"/>
      <c r="AS865"/>
      <c r="AT865"/>
      <c r="AU865"/>
      <c r="AV865"/>
      <c r="AW865"/>
      <c r="AX865"/>
      <c r="AY865"/>
      <c r="AZ865"/>
      <c r="BA865"/>
      <c r="BB865"/>
      <c r="BC865"/>
      <c r="BD865"/>
      <c r="BE865"/>
      <c r="BF865"/>
      <c r="BG865"/>
      <c r="BH865"/>
      <c r="BI865"/>
      <c r="BJ865"/>
      <c r="BK865"/>
      <c r="BL865"/>
      <c r="BM865"/>
      <c r="BN865"/>
      <c r="BO865"/>
      <c r="BP865"/>
      <c r="BQ865"/>
      <c r="BR865"/>
      <c r="BS865"/>
      <c r="BT865"/>
      <c r="BU865"/>
      <c r="BV865"/>
      <c r="BW865"/>
      <c r="BX865"/>
      <c r="BY865"/>
      <c r="BZ865"/>
      <c r="CA865"/>
      <c r="CB865"/>
      <c r="CC865"/>
      <c r="CD865"/>
      <c r="CE865"/>
      <c r="CF865"/>
      <c r="CG865"/>
      <c r="CH865"/>
      <c r="CI865"/>
      <c r="CJ865"/>
      <c r="CK865"/>
      <c r="CL865"/>
      <c r="CM865"/>
      <c r="CN865"/>
      <c r="CO865"/>
      <c r="CP865"/>
      <c r="CQ865"/>
      <c r="CR865"/>
      <c r="CS865"/>
      <c r="CT865"/>
      <c r="CU865"/>
      <c r="CV865"/>
      <c r="CW865"/>
      <c r="CX865"/>
      <c r="CY865"/>
      <c r="CZ865"/>
      <c r="DA865"/>
      <c r="DB865"/>
      <c r="DC865"/>
      <c r="DD865"/>
      <c r="DE865"/>
      <c r="DF865"/>
      <c r="DG865"/>
      <c r="DH865"/>
      <c r="DI865"/>
      <c r="DJ865"/>
      <c r="DK865"/>
      <c r="DL865"/>
      <c r="DM865"/>
      <c r="DN865"/>
      <c r="DO865"/>
      <c r="DP865"/>
      <c r="DQ865"/>
      <c r="DR865"/>
      <c r="DS865"/>
      <c r="DT865"/>
      <c r="DU865"/>
      <c r="DV865"/>
      <c r="DW865"/>
      <c r="DX865"/>
      <c r="DY865"/>
      <c r="DZ865"/>
      <c r="EA865"/>
      <c r="EB865"/>
      <c r="EC865"/>
      <c r="ED865"/>
      <c r="EE865"/>
      <c r="EF865"/>
      <c r="EG865"/>
      <c r="EH865"/>
      <c r="EI865"/>
      <c r="EJ865"/>
      <c r="EK865"/>
      <c r="EL865"/>
      <c r="EM865"/>
      <c r="EN865"/>
      <c r="EO865"/>
      <c r="EP865"/>
      <c r="EQ865"/>
      <c r="ER865"/>
      <c r="ES865"/>
      <c r="ET865"/>
      <c r="EU865"/>
      <c r="EV865"/>
      <c r="EW865"/>
      <c r="EX865"/>
      <c r="EY865"/>
      <c r="EZ865"/>
      <c r="FA865"/>
      <c r="FB865"/>
      <c r="FC865"/>
      <c r="FD865"/>
      <c r="FE865"/>
      <c r="FF865"/>
      <c r="FG865"/>
      <c r="FH865"/>
      <c r="FI865"/>
      <c r="FJ865"/>
      <c r="FK865"/>
      <c r="FL865"/>
      <c r="FM865"/>
      <c r="FN865"/>
      <c r="FO865"/>
      <c r="FP865"/>
      <c r="FQ865"/>
      <c r="FR865"/>
      <c r="FS865"/>
      <c r="FT865"/>
      <c r="FU865"/>
      <c r="FV865"/>
      <c r="FW865"/>
      <c r="FX865"/>
      <c r="FY865"/>
      <c r="FZ865"/>
      <c r="GA865"/>
      <c r="GB865"/>
      <c r="GC865"/>
      <c r="GD865"/>
      <c r="GE865"/>
      <c r="GF865"/>
      <c r="GG865"/>
      <c r="GH865"/>
      <c r="GI865"/>
      <c r="GJ865"/>
      <c r="GK865"/>
      <c r="GL865"/>
      <c r="GM865"/>
      <c r="GN865"/>
      <c r="GO865"/>
      <c r="GP865"/>
      <c r="GQ865"/>
      <c r="GR865"/>
      <c r="GS865"/>
      <c r="GT865"/>
      <c r="GU865"/>
      <c r="GV865"/>
      <c r="GW865"/>
      <c r="GX865"/>
      <c r="GY865"/>
      <c r="GZ865"/>
      <c r="HA865"/>
      <c r="HB865"/>
      <c r="HC865"/>
      <c r="HD865"/>
      <c r="HE865"/>
      <c r="HF865"/>
      <c r="HG865"/>
      <c r="HH865"/>
      <c r="HI865"/>
      <c r="HJ865"/>
      <c r="HK865"/>
      <c r="HL865"/>
      <c r="HM865"/>
      <c r="HN865"/>
      <c r="HO865"/>
      <c r="HP865"/>
      <c r="HQ865"/>
      <c r="HR865"/>
      <c r="HS865"/>
      <c r="HT865"/>
      <c r="HU865"/>
      <c r="HV865"/>
      <c r="HW865"/>
      <c r="HX865"/>
      <c r="HY865"/>
      <c r="HZ865"/>
      <c r="IA865"/>
      <c r="IB865"/>
      <c r="IC865"/>
      <c r="ID865"/>
      <c r="IE865"/>
      <c r="IF865"/>
      <c r="IG865"/>
      <c r="IH865"/>
      <c r="II865"/>
      <c r="IJ865"/>
      <c r="IK865"/>
      <c r="IL865"/>
      <c r="IM865"/>
      <c r="IN865"/>
      <c r="IO865"/>
      <c r="IP865"/>
      <c r="IQ865"/>
      <c r="IR865"/>
      <c r="IS865"/>
      <c r="IT865"/>
      <c r="IU865"/>
      <c r="IV865"/>
      <c r="IW865"/>
      <c r="IX865"/>
    </row>
    <row r="866" spans="1:259" ht="12.75" customHeight="1" x14ac:dyDescent="0.2">
      <c r="A866" s="851"/>
      <c r="B866" s="1823" t="s">
        <v>898</v>
      </c>
      <c r="C866" s="1572">
        <v>2050000</v>
      </c>
      <c r="D866" s="733">
        <v>2050000</v>
      </c>
      <c r="E866" s="904">
        <v>2050000</v>
      </c>
      <c r="F866" s="733">
        <v>1850000</v>
      </c>
      <c r="G866" s="733">
        <v>1402883.54</v>
      </c>
      <c r="H866" s="1176">
        <v>1140163.54</v>
      </c>
      <c r="I866" s="1572">
        <v>2000000</v>
      </c>
      <c r="J866" s="858"/>
      <c r="K866" s="1367"/>
      <c r="L866" s="848"/>
      <c r="M866" s="887"/>
      <c r="N866" s="843"/>
      <c r="O866"/>
      <c r="P866"/>
      <c r="Q866"/>
      <c r="R866"/>
      <c r="S866"/>
      <c r="T866"/>
      <c r="U866"/>
      <c r="V866"/>
      <c r="W866"/>
      <c r="X866"/>
      <c r="Y866"/>
      <c r="Z866"/>
      <c r="AA866"/>
      <c r="AB866"/>
      <c r="AC866"/>
      <c r="AD866"/>
      <c r="AE866"/>
      <c r="AF866"/>
      <c r="AG866"/>
      <c r="AH866"/>
      <c r="AI866"/>
      <c r="AJ866"/>
      <c r="AK866"/>
      <c r="AL866"/>
      <c r="AM866"/>
      <c r="AN866"/>
      <c r="AO866"/>
      <c r="AP866"/>
      <c r="AQ866"/>
      <c r="AR866"/>
      <c r="AS866"/>
      <c r="AT866"/>
      <c r="AU866"/>
      <c r="AV866"/>
      <c r="AW866"/>
      <c r="AX866"/>
      <c r="AY866"/>
      <c r="AZ866"/>
      <c r="BA866"/>
      <c r="BB866"/>
      <c r="BC866"/>
      <c r="BD866"/>
      <c r="BE866"/>
      <c r="BF866"/>
      <c r="BG866"/>
      <c r="BH866"/>
      <c r="BI866"/>
      <c r="BJ866"/>
      <c r="BK866"/>
      <c r="BL866"/>
      <c r="BM866"/>
      <c r="BN866"/>
      <c r="BO866"/>
      <c r="BP866"/>
      <c r="BQ866"/>
      <c r="BR866"/>
      <c r="BS866"/>
      <c r="BT866"/>
      <c r="BU866"/>
      <c r="BV866"/>
      <c r="BW866"/>
      <c r="BX866"/>
      <c r="BY866"/>
      <c r="BZ866"/>
      <c r="CA866"/>
      <c r="CB866"/>
      <c r="CC866"/>
      <c r="CD866"/>
      <c r="CE866"/>
      <c r="CF866"/>
      <c r="CG866"/>
      <c r="CH866"/>
      <c r="CI866"/>
      <c r="CJ866"/>
      <c r="CK866"/>
      <c r="CL866"/>
      <c r="CM866"/>
      <c r="CN866"/>
      <c r="CO866"/>
      <c r="CP866"/>
      <c r="CQ866"/>
      <c r="CR866"/>
      <c r="CS866"/>
      <c r="CT866"/>
      <c r="CU866"/>
      <c r="CV866"/>
      <c r="CW866"/>
      <c r="CX866"/>
      <c r="CY866"/>
      <c r="CZ866"/>
      <c r="DA866"/>
      <c r="DB866"/>
      <c r="DC866"/>
      <c r="DD866"/>
      <c r="DE866"/>
      <c r="DF866"/>
      <c r="DG866"/>
      <c r="DH866"/>
      <c r="DI866"/>
      <c r="DJ866"/>
      <c r="DK866"/>
      <c r="DL866"/>
      <c r="DM866"/>
      <c r="DN866"/>
      <c r="DO866"/>
      <c r="DP866"/>
      <c r="DQ866"/>
      <c r="DR866"/>
      <c r="DS866"/>
      <c r="DT866"/>
      <c r="DU866"/>
      <c r="DV866"/>
      <c r="DW866"/>
      <c r="DX866"/>
      <c r="DY866"/>
      <c r="DZ866"/>
      <c r="EA866"/>
      <c r="EB866"/>
      <c r="EC866"/>
      <c r="ED866"/>
      <c r="EE866"/>
      <c r="EF866"/>
      <c r="EG866"/>
      <c r="EH866"/>
      <c r="EI866"/>
      <c r="EJ866"/>
      <c r="EK866"/>
      <c r="EL866"/>
      <c r="EM866"/>
      <c r="EN866"/>
      <c r="EO866"/>
      <c r="EP866"/>
      <c r="EQ866"/>
      <c r="ER866"/>
      <c r="ES866"/>
      <c r="ET866"/>
      <c r="EU866"/>
      <c r="EV866"/>
      <c r="EW866"/>
      <c r="EX866"/>
      <c r="EY866"/>
      <c r="EZ866"/>
      <c r="FA866"/>
      <c r="FB866"/>
      <c r="FC866"/>
      <c r="FD866"/>
      <c r="FE866"/>
      <c r="FF866"/>
      <c r="FG866"/>
      <c r="FH866"/>
      <c r="FI866"/>
      <c r="FJ866"/>
      <c r="FK866"/>
      <c r="FL866"/>
      <c r="FM866"/>
      <c r="FN866"/>
      <c r="FO866"/>
      <c r="FP866"/>
      <c r="FQ866"/>
      <c r="FR866"/>
      <c r="FS866"/>
      <c r="FT866"/>
      <c r="FU866"/>
      <c r="FV866"/>
      <c r="FW866"/>
      <c r="FX866"/>
      <c r="FY866"/>
      <c r="FZ866"/>
      <c r="GA866"/>
      <c r="GB866"/>
      <c r="GC866"/>
      <c r="GD866"/>
      <c r="GE866"/>
      <c r="GF866"/>
      <c r="GG866"/>
      <c r="GH866"/>
      <c r="GI866"/>
      <c r="GJ866"/>
      <c r="GK866"/>
      <c r="GL866"/>
      <c r="GM866"/>
      <c r="GN866"/>
      <c r="GO866"/>
      <c r="GP866"/>
      <c r="GQ866"/>
      <c r="GR866"/>
      <c r="GS866"/>
      <c r="GT866"/>
      <c r="GU866"/>
      <c r="GV866"/>
      <c r="GW866"/>
      <c r="GX866"/>
      <c r="GY866"/>
      <c r="GZ866"/>
      <c r="HA866"/>
      <c r="HB866"/>
      <c r="HC866"/>
      <c r="HD866"/>
      <c r="HE866"/>
      <c r="HF866"/>
      <c r="HG866"/>
      <c r="HH866"/>
      <c r="HI866"/>
      <c r="HJ866"/>
      <c r="HK866"/>
      <c r="HL866"/>
      <c r="HM866"/>
      <c r="HN866"/>
      <c r="HO866"/>
      <c r="HP866"/>
      <c r="HQ866"/>
      <c r="HR866"/>
      <c r="HS866"/>
      <c r="HT866"/>
      <c r="HU866"/>
      <c r="HV866"/>
      <c r="HW866"/>
      <c r="HX866"/>
      <c r="HY866"/>
      <c r="HZ866"/>
      <c r="IA866"/>
      <c r="IB866"/>
      <c r="IC866"/>
      <c r="ID866"/>
      <c r="IE866"/>
      <c r="IF866"/>
      <c r="IG866"/>
      <c r="IH866"/>
      <c r="II866"/>
      <c r="IJ866"/>
      <c r="IK866"/>
      <c r="IL866"/>
      <c r="IM866"/>
      <c r="IN866"/>
      <c r="IO866"/>
      <c r="IP866"/>
      <c r="IQ866"/>
      <c r="IR866"/>
      <c r="IS866"/>
      <c r="IT866"/>
      <c r="IU866"/>
      <c r="IV866"/>
      <c r="IW866"/>
      <c r="IX866"/>
    </row>
    <row r="867" spans="1:259" s="426" customFormat="1" ht="12.75" customHeight="1" x14ac:dyDescent="0.25">
      <c r="A867" s="851"/>
      <c r="B867" s="1823" t="s">
        <v>1478</v>
      </c>
      <c r="C867" s="1572">
        <v>2850000</v>
      </c>
      <c r="D867" s="733">
        <v>2850000</v>
      </c>
      <c r="E867" s="904">
        <v>2850000</v>
      </c>
      <c r="F867" s="733">
        <v>2300000</v>
      </c>
      <c r="G867" s="733">
        <v>1721076.43</v>
      </c>
      <c r="H867" s="1176">
        <v>1510906.2</v>
      </c>
      <c r="I867" s="1572">
        <v>2850000</v>
      </c>
      <c r="J867" s="858">
        <v>0</v>
      </c>
      <c r="K867" s="1367">
        <v>0</v>
      </c>
      <c r="L867" s="1078"/>
      <c r="M867" s="890"/>
      <c r="N867" s="845"/>
      <c r="IY867" s="116"/>
    </row>
    <row r="868" spans="1:259" s="607" customFormat="1" ht="12.75" customHeight="1" x14ac:dyDescent="0.2">
      <c r="A868" s="851"/>
      <c r="B868" s="1824" t="s">
        <v>900</v>
      </c>
      <c r="C868" s="1796">
        <f t="shared" ref="C868:I868" si="183">SUM(C869:C879)</f>
        <v>7495000</v>
      </c>
      <c r="D868" s="852">
        <f t="shared" si="183"/>
        <v>7691000</v>
      </c>
      <c r="E868" s="1225">
        <f t="shared" si="183"/>
        <v>4801000</v>
      </c>
      <c r="F868" s="852">
        <f t="shared" si="183"/>
        <v>3624757.48</v>
      </c>
      <c r="G868" s="852">
        <f>SUM(G869:G879)</f>
        <v>2784413.58</v>
      </c>
      <c r="H868" s="1797">
        <f t="shared" si="183"/>
        <v>2234612.92</v>
      </c>
      <c r="I868" s="1796">
        <f t="shared" si="183"/>
        <v>4905000</v>
      </c>
      <c r="J868" s="1089">
        <f t="shared" ref="J868:K868" si="184">J869+J884+J885+J886+J891+J906+J907</f>
        <v>0</v>
      </c>
      <c r="K868" s="1139">
        <f t="shared" si="184"/>
        <v>0</v>
      </c>
      <c r="L868" s="1079"/>
      <c r="M868" s="889"/>
      <c r="N868" s="847"/>
      <c r="IY868" s="706"/>
    </row>
    <row r="869" spans="1:259" ht="12.75" customHeight="1" x14ac:dyDescent="0.2">
      <c r="A869" s="851"/>
      <c r="B869" s="1823" t="s">
        <v>1479</v>
      </c>
      <c r="C869" s="1572">
        <v>700000</v>
      </c>
      <c r="D869" s="733">
        <v>700000</v>
      </c>
      <c r="E869" s="904">
        <v>700000</v>
      </c>
      <c r="F869" s="733">
        <v>0</v>
      </c>
      <c r="G869" s="733">
        <v>0</v>
      </c>
      <c r="H869" s="1176">
        <v>0</v>
      </c>
      <c r="I869" s="1572">
        <v>700000</v>
      </c>
      <c r="J869" s="1102">
        <f>SUM(J870:J883)</f>
        <v>0</v>
      </c>
      <c r="K869" s="1368">
        <f>SUM(K870:K883)</f>
        <v>0</v>
      </c>
      <c r="L869" s="848"/>
      <c r="M869" s="887"/>
      <c r="N869" s="843"/>
      <c r="O869"/>
      <c r="P869"/>
      <c r="Q869"/>
      <c r="R869"/>
      <c r="S869"/>
      <c r="T869"/>
      <c r="U869"/>
      <c r="V869"/>
      <c r="W869"/>
      <c r="X869"/>
      <c r="Y869"/>
      <c r="Z869"/>
      <c r="AA869"/>
      <c r="AB869"/>
      <c r="AC869"/>
      <c r="AD869"/>
      <c r="AE869"/>
      <c r="AF869"/>
      <c r="AG869"/>
      <c r="AH869"/>
      <c r="AI869"/>
      <c r="AJ869"/>
      <c r="AK869"/>
      <c r="AL869"/>
      <c r="AM869"/>
      <c r="AN869"/>
      <c r="AO869"/>
      <c r="AP869"/>
      <c r="AQ869"/>
      <c r="AR869"/>
      <c r="AS869"/>
      <c r="AT869"/>
      <c r="AU869"/>
      <c r="AV869"/>
      <c r="AW869"/>
      <c r="AX869"/>
      <c r="AY869"/>
      <c r="AZ869"/>
      <c r="BA869"/>
      <c r="BB869"/>
      <c r="BC869"/>
      <c r="BD869"/>
      <c r="BE869"/>
      <c r="BF869"/>
      <c r="BG869"/>
      <c r="BH869"/>
      <c r="BI869"/>
      <c r="BJ869"/>
      <c r="BK869"/>
      <c r="BL869"/>
      <c r="BM869"/>
      <c r="BN869"/>
      <c r="BO869"/>
      <c r="BP869"/>
      <c r="BQ869"/>
      <c r="BR869"/>
      <c r="BS869"/>
      <c r="BT869"/>
      <c r="BU869"/>
      <c r="BV869"/>
      <c r="BW869"/>
      <c r="BX869"/>
      <c r="BY869"/>
      <c r="BZ869"/>
      <c r="CA869"/>
      <c r="CB869"/>
      <c r="CC869"/>
      <c r="CD869"/>
      <c r="CE869"/>
      <c r="CF869"/>
      <c r="CG869"/>
      <c r="CH869"/>
      <c r="CI869"/>
      <c r="CJ869"/>
      <c r="CK869"/>
      <c r="CL869"/>
      <c r="CM869"/>
      <c r="CN869"/>
      <c r="CO869"/>
      <c r="CP869"/>
      <c r="CQ869"/>
      <c r="CR869"/>
      <c r="CS869"/>
      <c r="CT869"/>
      <c r="CU869"/>
      <c r="CV869"/>
      <c r="CW869"/>
      <c r="CX869"/>
      <c r="CY869"/>
      <c r="CZ869"/>
      <c r="DA869"/>
      <c r="DB869"/>
      <c r="DC869"/>
      <c r="DD869"/>
      <c r="DE869"/>
      <c r="DF869"/>
      <c r="DG869"/>
      <c r="DH869"/>
      <c r="DI869"/>
      <c r="DJ869"/>
      <c r="DK869"/>
      <c r="DL869"/>
      <c r="DM869"/>
      <c r="DN869"/>
      <c r="DO869"/>
      <c r="DP869"/>
      <c r="DQ869"/>
      <c r="DR869"/>
      <c r="DS869"/>
      <c r="DT869"/>
      <c r="DU869"/>
      <c r="DV869"/>
      <c r="DW869"/>
      <c r="DX869"/>
      <c r="DY869"/>
      <c r="DZ869"/>
      <c r="EA869"/>
      <c r="EB869"/>
      <c r="EC869"/>
      <c r="ED869"/>
      <c r="EE869"/>
      <c r="EF869"/>
      <c r="EG869"/>
      <c r="EH869"/>
      <c r="EI869"/>
      <c r="EJ869"/>
      <c r="EK869"/>
      <c r="EL869"/>
      <c r="EM869"/>
      <c r="EN869"/>
      <c r="EO869"/>
      <c r="EP869"/>
      <c r="EQ869"/>
      <c r="ER869"/>
      <c r="ES869"/>
      <c r="ET869"/>
      <c r="EU869"/>
      <c r="EV869"/>
      <c r="EW869"/>
      <c r="EX869"/>
      <c r="EY869"/>
      <c r="EZ869"/>
      <c r="FA869"/>
      <c r="FB869"/>
      <c r="FC869"/>
      <c r="FD869"/>
      <c r="FE869"/>
      <c r="FF869"/>
      <c r="FG869"/>
      <c r="FH869"/>
      <c r="FI869"/>
      <c r="FJ869"/>
      <c r="FK869"/>
      <c r="FL869"/>
      <c r="FM869"/>
      <c r="FN869"/>
      <c r="FO869"/>
      <c r="FP869"/>
      <c r="FQ869"/>
      <c r="FR869"/>
      <c r="FS869"/>
      <c r="FT869"/>
      <c r="FU869"/>
      <c r="FV869"/>
      <c r="FW869"/>
      <c r="FX869"/>
      <c r="FY869"/>
      <c r="FZ869"/>
      <c r="GA869"/>
      <c r="GB869"/>
      <c r="GC869"/>
      <c r="GD869"/>
      <c r="GE869"/>
      <c r="GF869"/>
      <c r="GG869"/>
      <c r="GH869"/>
      <c r="GI869"/>
      <c r="GJ869"/>
      <c r="GK869"/>
      <c r="GL869"/>
      <c r="GM869"/>
      <c r="GN869"/>
      <c r="GO869"/>
      <c r="GP869"/>
      <c r="GQ869"/>
      <c r="GR869"/>
      <c r="GS869"/>
      <c r="GT869"/>
      <c r="GU869"/>
      <c r="GV869"/>
      <c r="GW869"/>
      <c r="GX869"/>
      <c r="GY869"/>
      <c r="GZ869"/>
      <c r="HA869"/>
      <c r="HB869"/>
      <c r="HC869"/>
      <c r="HD869"/>
      <c r="HE869"/>
      <c r="HF869"/>
      <c r="HG869"/>
      <c r="HH869"/>
      <c r="HI869"/>
      <c r="HJ869"/>
      <c r="HK869"/>
      <c r="HL869"/>
      <c r="HM869"/>
      <c r="HN869"/>
      <c r="HO869"/>
      <c r="HP869"/>
      <c r="HQ869"/>
      <c r="HR869"/>
      <c r="HS869"/>
      <c r="HT869"/>
      <c r="HU869"/>
      <c r="HV869"/>
      <c r="HW869"/>
      <c r="HX869"/>
      <c r="HY869"/>
      <c r="HZ869"/>
      <c r="IA869"/>
      <c r="IB869"/>
      <c r="IC869"/>
      <c r="ID869"/>
      <c r="IE869"/>
      <c r="IF869"/>
      <c r="IG869"/>
      <c r="IH869"/>
      <c r="II869"/>
      <c r="IJ869"/>
      <c r="IK869"/>
      <c r="IL869"/>
      <c r="IM869"/>
      <c r="IN869"/>
      <c r="IO869"/>
      <c r="IP869"/>
      <c r="IQ869"/>
      <c r="IR869"/>
      <c r="IS869"/>
      <c r="IT869"/>
      <c r="IU869"/>
      <c r="IV869"/>
      <c r="IW869"/>
      <c r="IX869"/>
    </row>
    <row r="870" spans="1:259" ht="12.75" customHeight="1" x14ac:dyDescent="0.2">
      <c r="A870" s="851"/>
      <c r="B870" s="1722" t="s">
        <v>1480</v>
      </c>
      <c r="C870" s="1572">
        <v>1300000</v>
      </c>
      <c r="D870" s="733">
        <v>1300000</v>
      </c>
      <c r="E870" s="904">
        <v>1200000</v>
      </c>
      <c r="F870" s="733">
        <v>750000</v>
      </c>
      <c r="G870" s="733">
        <v>635090.07999999996</v>
      </c>
      <c r="H870" s="1176">
        <v>506020.44</v>
      </c>
      <c r="I870" s="1572">
        <v>1000000</v>
      </c>
      <c r="J870" s="735"/>
      <c r="K870" s="1367"/>
      <c r="L870" s="848"/>
      <c r="M870" s="887"/>
      <c r="N870" s="843"/>
      <c r="O870"/>
      <c r="P870"/>
      <c r="Q870"/>
      <c r="R870"/>
      <c r="S870"/>
      <c r="T870"/>
      <c r="U870"/>
      <c r="V870"/>
      <c r="W870"/>
      <c r="X870"/>
      <c r="Y870"/>
      <c r="Z870"/>
      <c r="AA870"/>
      <c r="AB870"/>
      <c r="AC870"/>
      <c r="AD870"/>
      <c r="AE870"/>
      <c r="AF870"/>
      <c r="AG870"/>
      <c r="AH870"/>
      <c r="AI870"/>
      <c r="AJ870"/>
      <c r="AK870"/>
      <c r="AL870"/>
      <c r="AM870"/>
      <c r="AN870"/>
      <c r="AO870"/>
      <c r="AP870"/>
      <c r="AQ870"/>
      <c r="AR870"/>
      <c r="AS870"/>
      <c r="AT870"/>
      <c r="AU870"/>
      <c r="AV870"/>
      <c r="AW870"/>
      <c r="AX870"/>
      <c r="AY870"/>
      <c r="AZ870"/>
      <c r="BA870"/>
      <c r="BB870"/>
      <c r="BC870"/>
      <c r="BD870"/>
      <c r="BE870"/>
      <c r="BF870"/>
      <c r="BG870"/>
      <c r="BH870"/>
      <c r="BI870"/>
      <c r="BJ870"/>
      <c r="BK870"/>
      <c r="BL870"/>
      <c r="BM870"/>
      <c r="BN870"/>
      <c r="BO870"/>
      <c r="BP870"/>
      <c r="BQ870"/>
      <c r="BR870"/>
      <c r="BS870"/>
      <c r="BT870"/>
      <c r="BU870"/>
      <c r="BV870"/>
      <c r="BW870"/>
      <c r="BX870"/>
      <c r="BY870"/>
      <c r="BZ870"/>
      <c r="CA870"/>
      <c r="CB870"/>
      <c r="CC870"/>
      <c r="CD870"/>
      <c r="CE870"/>
      <c r="CF870"/>
      <c r="CG870"/>
      <c r="CH870"/>
      <c r="CI870"/>
      <c r="CJ870"/>
      <c r="CK870"/>
      <c r="CL870"/>
      <c r="CM870"/>
      <c r="CN870"/>
      <c r="CO870"/>
      <c r="CP870"/>
      <c r="CQ870"/>
      <c r="CR870"/>
      <c r="CS870"/>
      <c r="CT870"/>
      <c r="CU870"/>
      <c r="CV870"/>
      <c r="CW870"/>
      <c r="CX870"/>
      <c r="CY870"/>
      <c r="CZ870"/>
      <c r="DA870"/>
      <c r="DB870"/>
      <c r="DC870"/>
      <c r="DD870"/>
      <c r="DE870"/>
      <c r="DF870"/>
      <c r="DG870"/>
      <c r="DH870"/>
      <c r="DI870"/>
      <c r="DJ870"/>
      <c r="DK870"/>
      <c r="DL870"/>
      <c r="DM870"/>
      <c r="DN870"/>
      <c r="DO870"/>
      <c r="DP870"/>
      <c r="DQ870"/>
      <c r="DR870"/>
      <c r="DS870"/>
      <c r="DT870"/>
      <c r="DU870"/>
      <c r="DV870"/>
      <c r="DW870"/>
      <c r="DX870"/>
      <c r="DY870"/>
      <c r="DZ870"/>
      <c r="EA870"/>
      <c r="EB870"/>
      <c r="EC870"/>
      <c r="ED870"/>
      <c r="EE870"/>
      <c r="EF870"/>
      <c r="EG870"/>
      <c r="EH870"/>
      <c r="EI870"/>
      <c r="EJ870"/>
      <c r="EK870"/>
      <c r="EL870"/>
      <c r="EM870"/>
      <c r="EN870"/>
      <c r="EO870"/>
      <c r="EP870"/>
      <c r="EQ870"/>
      <c r="ER870"/>
      <c r="ES870"/>
      <c r="ET870"/>
      <c r="EU870"/>
      <c r="EV870"/>
      <c r="EW870"/>
      <c r="EX870"/>
      <c r="EY870"/>
      <c r="EZ870"/>
      <c r="FA870"/>
      <c r="FB870"/>
      <c r="FC870"/>
      <c r="FD870"/>
      <c r="FE870"/>
      <c r="FF870"/>
      <c r="FG870"/>
      <c r="FH870"/>
      <c r="FI870"/>
      <c r="FJ870"/>
      <c r="FK870"/>
      <c r="FL870"/>
      <c r="FM870"/>
      <c r="FN870"/>
      <c r="FO870"/>
      <c r="FP870"/>
      <c r="FQ870"/>
      <c r="FR870"/>
      <c r="FS870"/>
      <c r="FT870"/>
      <c r="FU870"/>
      <c r="FV870"/>
      <c r="FW870"/>
      <c r="FX870"/>
      <c r="FY870"/>
      <c r="FZ870"/>
      <c r="GA870"/>
      <c r="GB870"/>
      <c r="GC870"/>
      <c r="GD870"/>
      <c r="GE870"/>
      <c r="GF870"/>
      <c r="GG870"/>
      <c r="GH870"/>
      <c r="GI870"/>
      <c r="GJ870"/>
      <c r="GK870"/>
      <c r="GL870"/>
      <c r="GM870"/>
      <c r="GN870"/>
      <c r="GO870"/>
      <c r="GP870"/>
      <c r="GQ870"/>
      <c r="GR870"/>
      <c r="GS870"/>
      <c r="GT870"/>
      <c r="GU870"/>
      <c r="GV870"/>
      <c r="GW870"/>
      <c r="GX870"/>
      <c r="GY870"/>
      <c r="GZ870"/>
      <c r="HA870"/>
      <c r="HB870"/>
      <c r="HC870"/>
      <c r="HD870"/>
      <c r="HE870"/>
      <c r="HF870"/>
      <c r="HG870"/>
      <c r="HH870"/>
      <c r="HI870"/>
      <c r="HJ870"/>
      <c r="HK870"/>
      <c r="HL870"/>
      <c r="HM870"/>
      <c r="HN870"/>
      <c r="HO870"/>
      <c r="HP870"/>
      <c r="HQ870"/>
      <c r="HR870"/>
      <c r="HS870"/>
      <c r="HT870"/>
      <c r="HU870"/>
      <c r="HV870"/>
      <c r="HW870"/>
      <c r="HX870"/>
      <c r="HY870"/>
      <c r="HZ870"/>
      <c r="IA870"/>
      <c r="IB870"/>
      <c r="IC870"/>
      <c r="ID870"/>
      <c r="IE870"/>
      <c r="IF870"/>
      <c r="IG870"/>
      <c r="IH870"/>
      <c r="II870"/>
      <c r="IJ870"/>
      <c r="IK870"/>
      <c r="IL870"/>
      <c r="IM870"/>
      <c r="IN870"/>
      <c r="IO870"/>
      <c r="IP870"/>
      <c r="IQ870"/>
      <c r="IR870"/>
      <c r="IS870"/>
      <c r="IT870"/>
      <c r="IU870"/>
      <c r="IV870"/>
      <c r="IW870"/>
      <c r="IX870"/>
    </row>
    <row r="871" spans="1:259" ht="12.75" customHeight="1" x14ac:dyDescent="0.2">
      <c r="A871" s="851"/>
      <c r="B871" s="1722" t="s">
        <v>1139</v>
      </c>
      <c r="C871" s="1572">
        <v>50000</v>
      </c>
      <c r="D871" s="733">
        <v>50000</v>
      </c>
      <c r="E871" s="904">
        <v>40000</v>
      </c>
      <c r="F871" s="733">
        <v>23319.48</v>
      </c>
      <c r="G871" s="733">
        <v>32227.5</v>
      </c>
      <c r="H871" s="1176">
        <v>23319.48</v>
      </c>
      <c r="I871" s="1572">
        <v>50000</v>
      </c>
      <c r="J871" s="735"/>
      <c r="K871" s="1367"/>
      <c r="L871" s="848"/>
      <c r="M871" s="887"/>
      <c r="N871" s="843"/>
      <c r="O871"/>
      <c r="P871"/>
      <c r="Q871"/>
      <c r="R871"/>
      <c r="S871"/>
      <c r="T871"/>
      <c r="U871"/>
      <c r="V871"/>
      <c r="W871"/>
      <c r="X871"/>
      <c r="Y871"/>
      <c r="Z871"/>
      <c r="AA871"/>
      <c r="AB871"/>
      <c r="AC871"/>
      <c r="AD871"/>
      <c r="AE871"/>
      <c r="AF871"/>
      <c r="AG871"/>
      <c r="AH871"/>
      <c r="AI871"/>
      <c r="AJ871"/>
      <c r="AK871"/>
      <c r="AL871"/>
      <c r="AM871"/>
      <c r="AN871"/>
      <c r="AO871"/>
      <c r="AP871"/>
      <c r="AQ871"/>
      <c r="AR871"/>
      <c r="AS871"/>
      <c r="AT871"/>
      <c r="AU871"/>
      <c r="AV871"/>
      <c r="AW871"/>
      <c r="AX871"/>
      <c r="AY871"/>
      <c r="AZ871"/>
      <c r="BA871"/>
      <c r="BB871"/>
      <c r="BC871"/>
      <c r="BD871"/>
      <c r="BE871"/>
      <c r="BF871"/>
      <c r="BG871"/>
      <c r="BH871"/>
      <c r="BI871"/>
      <c r="BJ871"/>
      <c r="BK871"/>
      <c r="BL871"/>
      <c r="BM871"/>
      <c r="BN871"/>
      <c r="BO871"/>
      <c r="BP871"/>
      <c r="BQ871"/>
      <c r="BR871"/>
      <c r="BS871"/>
      <c r="BT871"/>
      <c r="BU871"/>
      <c r="BV871"/>
      <c r="BW871"/>
      <c r="BX871"/>
      <c r="BY871"/>
      <c r="BZ871"/>
      <c r="CA871"/>
      <c r="CB871"/>
      <c r="CC871"/>
      <c r="CD871"/>
      <c r="CE871"/>
      <c r="CF871"/>
      <c r="CG871"/>
      <c r="CH871"/>
      <c r="CI871"/>
      <c r="CJ871"/>
      <c r="CK871"/>
      <c r="CL871"/>
      <c r="CM871"/>
      <c r="CN871"/>
      <c r="CO871"/>
      <c r="CP871"/>
      <c r="CQ871"/>
      <c r="CR871"/>
      <c r="CS871"/>
      <c r="CT871"/>
      <c r="CU871"/>
      <c r="CV871"/>
      <c r="CW871"/>
      <c r="CX871"/>
      <c r="CY871"/>
      <c r="CZ871"/>
      <c r="DA871"/>
      <c r="DB871"/>
      <c r="DC871"/>
      <c r="DD871"/>
      <c r="DE871"/>
      <c r="DF871"/>
      <c r="DG871"/>
      <c r="DH871"/>
      <c r="DI871"/>
      <c r="DJ871"/>
      <c r="DK871"/>
      <c r="DL871"/>
      <c r="DM871"/>
      <c r="DN871"/>
      <c r="DO871"/>
      <c r="DP871"/>
      <c r="DQ871"/>
      <c r="DR871"/>
      <c r="DS871"/>
      <c r="DT871"/>
      <c r="DU871"/>
      <c r="DV871"/>
      <c r="DW871"/>
      <c r="DX871"/>
      <c r="DY871"/>
      <c r="DZ871"/>
      <c r="EA871"/>
      <c r="EB871"/>
      <c r="EC871"/>
      <c r="ED871"/>
      <c r="EE871"/>
      <c r="EF871"/>
      <c r="EG871"/>
      <c r="EH871"/>
      <c r="EI871"/>
      <c r="EJ871"/>
      <c r="EK871"/>
      <c r="EL871"/>
      <c r="EM871"/>
      <c r="EN871"/>
      <c r="EO871"/>
      <c r="EP871"/>
      <c r="EQ871"/>
      <c r="ER871"/>
      <c r="ES871"/>
      <c r="ET871"/>
      <c r="EU871"/>
      <c r="EV871"/>
      <c r="EW871"/>
      <c r="EX871"/>
      <c r="EY871"/>
      <c r="EZ871"/>
      <c r="FA871"/>
      <c r="FB871"/>
      <c r="FC871"/>
      <c r="FD871"/>
      <c r="FE871"/>
      <c r="FF871"/>
      <c r="FG871"/>
      <c r="FH871"/>
      <c r="FI871"/>
      <c r="FJ871"/>
      <c r="FK871"/>
      <c r="FL871"/>
      <c r="FM871"/>
      <c r="FN871"/>
      <c r="FO871"/>
      <c r="FP871"/>
      <c r="FQ871"/>
      <c r="FR871"/>
      <c r="FS871"/>
      <c r="FT871"/>
      <c r="FU871"/>
      <c r="FV871"/>
      <c r="FW871"/>
      <c r="FX871"/>
      <c r="FY871"/>
      <c r="FZ871"/>
      <c r="GA871"/>
      <c r="GB871"/>
      <c r="GC871"/>
      <c r="GD871"/>
      <c r="GE871"/>
      <c r="GF871"/>
      <c r="GG871"/>
      <c r="GH871"/>
      <c r="GI871"/>
      <c r="GJ871"/>
      <c r="GK871"/>
      <c r="GL871"/>
      <c r="GM871"/>
      <c r="GN871"/>
      <c r="GO871"/>
      <c r="GP871"/>
      <c r="GQ871"/>
      <c r="GR871"/>
      <c r="GS871"/>
      <c r="GT871"/>
      <c r="GU871"/>
      <c r="GV871"/>
      <c r="GW871"/>
      <c r="GX871"/>
      <c r="GY871"/>
      <c r="GZ871"/>
      <c r="HA871"/>
      <c r="HB871"/>
      <c r="HC871"/>
      <c r="HD871"/>
      <c r="HE871"/>
      <c r="HF871"/>
      <c r="HG871"/>
      <c r="HH871"/>
      <c r="HI871"/>
      <c r="HJ871"/>
      <c r="HK871"/>
      <c r="HL871"/>
      <c r="HM871"/>
      <c r="HN871"/>
      <c r="HO871"/>
      <c r="HP871"/>
      <c r="HQ871"/>
      <c r="HR871"/>
      <c r="HS871"/>
      <c r="HT871"/>
      <c r="HU871"/>
      <c r="HV871"/>
      <c r="HW871"/>
      <c r="HX871"/>
      <c r="HY871"/>
      <c r="HZ871"/>
      <c r="IA871"/>
      <c r="IB871"/>
      <c r="IC871"/>
      <c r="ID871"/>
      <c r="IE871"/>
      <c r="IF871"/>
      <c r="IG871"/>
      <c r="IH871"/>
      <c r="II871"/>
      <c r="IJ871"/>
      <c r="IK871"/>
      <c r="IL871"/>
      <c r="IM871"/>
      <c r="IN871"/>
      <c r="IO871"/>
      <c r="IP871"/>
      <c r="IQ871"/>
      <c r="IR871"/>
      <c r="IS871"/>
      <c r="IT871"/>
      <c r="IU871"/>
      <c r="IV871"/>
      <c r="IW871"/>
      <c r="IX871"/>
    </row>
    <row r="872" spans="1:259" s="129" customFormat="1" ht="12.75" customHeight="1" x14ac:dyDescent="0.2">
      <c r="A872" s="851"/>
      <c r="B872" s="1567" t="s">
        <v>906</v>
      </c>
      <c r="C872" s="1572">
        <v>100000</v>
      </c>
      <c r="D872" s="733">
        <v>100000</v>
      </c>
      <c r="E872" s="904">
        <v>100000</v>
      </c>
      <c r="F872" s="733">
        <v>0</v>
      </c>
      <c r="G872" s="733">
        <v>0</v>
      </c>
      <c r="H872" s="1176">
        <v>0</v>
      </c>
      <c r="I872" s="1572">
        <v>100000</v>
      </c>
      <c r="J872" s="735"/>
      <c r="K872" s="1367"/>
      <c r="L872" s="848"/>
      <c r="M872" s="848"/>
      <c r="N872" s="846"/>
    </row>
    <row r="873" spans="1:259" ht="12.75" customHeight="1" x14ac:dyDescent="0.2">
      <c r="A873" s="851"/>
      <c r="B873" s="1823" t="s">
        <v>1481</v>
      </c>
      <c r="C873" s="1572">
        <v>50000</v>
      </c>
      <c r="D873" s="733">
        <v>192700</v>
      </c>
      <c r="E873" s="904">
        <v>192700</v>
      </c>
      <c r="F873" s="733">
        <v>103618</v>
      </c>
      <c r="G873" s="733">
        <v>57566</v>
      </c>
      <c r="H873" s="1176">
        <v>57566</v>
      </c>
      <c r="I873" s="1572">
        <v>200000</v>
      </c>
      <c r="J873" s="1231"/>
      <c r="K873" s="1367"/>
      <c r="L873" s="848"/>
      <c r="M873" s="887"/>
      <c r="N873" s="843"/>
      <c r="O873"/>
      <c r="P873"/>
      <c r="Q873"/>
      <c r="R873"/>
      <c r="S873"/>
      <c r="T873"/>
      <c r="U873"/>
      <c r="V873"/>
      <c r="W873"/>
      <c r="X873"/>
      <c r="Y873"/>
      <c r="Z873"/>
      <c r="AA873"/>
      <c r="AB873"/>
      <c r="AC873"/>
      <c r="AD873"/>
      <c r="AE873"/>
      <c r="AF873"/>
      <c r="AG873"/>
      <c r="AH873"/>
      <c r="AI873"/>
      <c r="AJ873"/>
      <c r="AK873"/>
      <c r="AL873"/>
      <c r="AM873"/>
      <c r="AN873"/>
      <c r="AO873"/>
      <c r="AP873"/>
      <c r="AQ873"/>
      <c r="AR873"/>
      <c r="AS873"/>
      <c r="AT873"/>
      <c r="AU873"/>
      <c r="AV873"/>
      <c r="AW873"/>
      <c r="AX873"/>
      <c r="AY873"/>
      <c r="AZ873"/>
      <c r="BA873"/>
      <c r="BB873"/>
      <c r="BC873"/>
      <c r="BD873"/>
      <c r="BE873"/>
      <c r="BF873"/>
      <c r="BG873"/>
      <c r="BH873"/>
      <c r="BI873"/>
      <c r="BJ873"/>
      <c r="BK873"/>
      <c r="BL873"/>
      <c r="BM873"/>
      <c r="BN873"/>
      <c r="BO873"/>
      <c r="BP873"/>
      <c r="BQ873"/>
      <c r="BR873"/>
      <c r="BS873"/>
      <c r="BT873"/>
      <c r="BU873"/>
      <c r="BV873"/>
      <c r="BW873"/>
      <c r="BX873"/>
      <c r="BY873"/>
      <c r="BZ873"/>
      <c r="CA873"/>
      <c r="CB873"/>
      <c r="CC873"/>
      <c r="CD873"/>
      <c r="CE873"/>
      <c r="CF873"/>
      <c r="CG873"/>
      <c r="CH873"/>
      <c r="CI873"/>
      <c r="CJ873"/>
      <c r="CK873"/>
      <c r="CL873"/>
      <c r="CM873"/>
      <c r="CN873"/>
      <c r="CO873"/>
      <c r="CP873"/>
      <c r="CQ873"/>
      <c r="CR873"/>
      <c r="CS873"/>
      <c r="CT873"/>
      <c r="CU873"/>
      <c r="CV873"/>
      <c r="CW873"/>
      <c r="CX873"/>
      <c r="CY873"/>
      <c r="CZ873"/>
      <c r="DA873"/>
      <c r="DB873"/>
      <c r="DC873"/>
      <c r="DD873"/>
      <c r="DE873"/>
      <c r="DF873"/>
      <c r="DG873"/>
      <c r="DH873"/>
      <c r="DI873"/>
      <c r="DJ873"/>
      <c r="DK873"/>
      <c r="DL873"/>
      <c r="DM873"/>
      <c r="DN873"/>
      <c r="DO873"/>
      <c r="DP873"/>
      <c r="DQ873"/>
      <c r="DR873"/>
      <c r="DS873"/>
      <c r="DT873"/>
      <c r="DU873"/>
      <c r="DV873"/>
      <c r="DW873"/>
      <c r="DX873"/>
      <c r="DY873"/>
      <c r="DZ873"/>
      <c r="EA873"/>
      <c r="EB873"/>
      <c r="EC873"/>
      <c r="ED873"/>
      <c r="EE873"/>
      <c r="EF873"/>
      <c r="EG873"/>
      <c r="EH873"/>
      <c r="EI873"/>
      <c r="EJ873"/>
      <c r="EK873"/>
      <c r="EL873"/>
      <c r="EM873"/>
      <c r="EN873"/>
      <c r="EO873"/>
      <c r="EP873"/>
      <c r="EQ873"/>
      <c r="ER873"/>
      <c r="ES873"/>
      <c r="ET873"/>
      <c r="EU873"/>
      <c r="EV873"/>
      <c r="EW873"/>
      <c r="EX873"/>
      <c r="EY873"/>
      <c r="EZ873"/>
      <c r="FA873"/>
      <c r="FB873"/>
      <c r="FC873"/>
      <c r="FD873"/>
      <c r="FE873"/>
      <c r="FF873"/>
      <c r="FG873"/>
      <c r="FH873"/>
      <c r="FI873"/>
      <c r="FJ873"/>
      <c r="FK873"/>
      <c r="FL873"/>
      <c r="FM873"/>
      <c r="FN873"/>
      <c r="FO873"/>
      <c r="FP873"/>
      <c r="FQ873"/>
      <c r="FR873"/>
      <c r="FS873"/>
      <c r="FT873"/>
      <c r="FU873"/>
      <c r="FV873"/>
      <c r="FW873"/>
      <c r="FX873"/>
      <c r="FY873"/>
      <c r="FZ873"/>
      <c r="GA873"/>
      <c r="GB873"/>
      <c r="GC873"/>
      <c r="GD873"/>
      <c r="GE873"/>
      <c r="GF873"/>
      <c r="GG873"/>
      <c r="GH873"/>
      <c r="GI873"/>
      <c r="GJ873"/>
      <c r="GK873"/>
      <c r="GL873"/>
      <c r="GM873"/>
      <c r="GN873"/>
      <c r="GO873"/>
      <c r="GP873"/>
      <c r="GQ873"/>
      <c r="GR873"/>
      <c r="GS873"/>
      <c r="GT873"/>
      <c r="GU873"/>
      <c r="GV873"/>
      <c r="GW873"/>
      <c r="GX873"/>
      <c r="GY873"/>
      <c r="GZ873"/>
      <c r="HA873"/>
      <c r="HB873"/>
      <c r="HC873"/>
      <c r="HD873"/>
      <c r="HE873"/>
      <c r="HF873"/>
      <c r="HG873"/>
      <c r="HH873"/>
      <c r="HI873"/>
      <c r="HJ873"/>
      <c r="HK873"/>
      <c r="HL873"/>
      <c r="HM873"/>
      <c r="HN873"/>
      <c r="HO873"/>
      <c r="HP873"/>
      <c r="HQ873"/>
      <c r="HR873"/>
      <c r="HS873"/>
      <c r="HT873"/>
      <c r="HU873"/>
      <c r="HV873"/>
      <c r="HW873"/>
      <c r="HX873"/>
      <c r="HY873"/>
      <c r="HZ873"/>
      <c r="IA873"/>
      <c r="IB873"/>
      <c r="IC873"/>
      <c r="ID873"/>
      <c r="IE873"/>
      <c r="IF873"/>
      <c r="IG873"/>
      <c r="IH873"/>
      <c r="II873"/>
      <c r="IJ873"/>
      <c r="IK873"/>
      <c r="IL873"/>
      <c r="IM873"/>
      <c r="IN873"/>
      <c r="IO873"/>
      <c r="IP873"/>
      <c r="IQ873"/>
      <c r="IR873"/>
      <c r="IS873"/>
      <c r="IT873"/>
      <c r="IU873"/>
      <c r="IV873"/>
      <c r="IW873"/>
      <c r="IX873"/>
    </row>
    <row r="874" spans="1:259" ht="12.75" customHeight="1" x14ac:dyDescent="0.2">
      <c r="A874" s="851"/>
      <c r="B874" s="1826" t="s">
        <v>1482</v>
      </c>
      <c r="C874" s="1572">
        <v>350000</v>
      </c>
      <c r="D874" s="733">
        <v>350000</v>
      </c>
      <c r="E874" s="904">
        <v>350000</v>
      </c>
      <c r="F874" s="733">
        <v>270000</v>
      </c>
      <c r="G874" s="733">
        <v>228130</v>
      </c>
      <c r="H874" s="1176">
        <v>182727</v>
      </c>
      <c r="I874" s="1572">
        <v>350000</v>
      </c>
      <c r="J874" s="735"/>
      <c r="K874" s="1367"/>
      <c r="L874" s="848"/>
      <c r="M874" s="887"/>
      <c r="N874" s="843"/>
      <c r="O874"/>
      <c r="P874"/>
      <c r="Q874"/>
      <c r="R874"/>
      <c r="S874"/>
      <c r="T874"/>
      <c r="U874"/>
      <c r="V874"/>
      <c r="W874"/>
      <c r="X874"/>
      <c r="Y874"/>
      <c r="Z874"/>
      <c r="AA874"/>
      <c r="AB874"/>
      <c r="AC874"/>
      <c r="AD874"/>
      <c r="AE874"/>
      <c r="AF874"/>
      <c r="AG874"/>
      <c r="AH874"/>
      <c r="AI874"/>
      <c r="AJ874"/>
      <c r="AK874"/>
      <c r="AL874"/>
      <c r="AM874"/>
      <c r="AN874"/>
      <c r="AO874"/>
      <c r="AP874"/>
      <c r="AQ874"/>
      <c r="AR874"/>
      <c r="AS874"/>
      <c r="AT874"/>
      <c r="AU874"/>
      <c r="AV874"/>
      <c r="AW874"/>
      <c r="AX874"/>
      <c r="AY874"/>
      <c r="AZ874"/>
      <c r="BA874"/>
      <c r="BB874"/>
      <c r="BC874"/>
      <c r="BD874"/>
      <c r="BE874"/>
      <c r="BF874"/>
      <c r="BG874"/>
      <c r="BH874"/>
      <c r="BI874"/>
      <c r="BJ874"/>
      <c r="BK874"/>
      <c r="BL874"/>
      <c r="BM874"/>
      <c r="BN874"/>
      <c r="BO874"/>
      <c r="BP874"/>
      <c r="BQ874"/>
      <c r="BR874"/>
      <c r="BS874"/>
      <c r="BT874"/>
      <c r="BU874"/>
      <c r="BV874"/>
      <c r="BW874"/>
      <c r="BX874"/>
      <c r="BY874"/>
      <c r="BZ874"/>
      <c r="CA874"/>
      <c r="CB874"/>
      <c r="CC874"/>
      <c r="CD874"/>
      <c r="CE874"/>
      <c r="CF874"/>
      <c r="CG874"/>
      <c r="CH874"/>
      <c r="CI874"/>
      <c r="CJ874"/>
      <c r="CK874"/>
      <c r="CL874"/>
      <c r="CM874"/>
      <c r="CN874"/>
      <c r="CO874"/>
      <c r="CP874"/>
      <c r="CQ874"/>
      <c r="CR874"/>
      <c r="CS874"/>
      <c r="CT874"/>
      <c r="CU874"/>
      <c r="CV874"/>
      <c r="CW874"/>
      <c r="CX874"/>
      <c r="CY874"/>
      <c r="CZ874"/>
      <c r="DA874"/>
      <c r="DB874"/>
      <c r="DC874"/>
      <c r="DD874"/>
      <c r="DE874"/>
      <c r="DF874"/>
      <c r="DG874"/>
      <c r="DH874"/>
      <c r="DI874"/>
      <c r="DJ874"/>
      <c r="DK874"/>
      <c r="DL874"/>
      <c r="DM874"/>
      <c r="DN874"/>
      <c r="DO874"/>
      <c r="DP874"/>
      <c r="DQ874"/>
      <c r="DR874"/>
      <c r="DS874"/>
      <c r="DT874"/>
      <c r="DU874"/>
      <c r="DV874"/>
      <c r="DW874"/>
      <c r="DX874"/>
      <c r="DY874"/>
      <c r="DZ874"/>
      <c r="EA874"/>
      <c r="EB874"/>
      <c r="EC874"/>
      <c r="ED874"/>
      <c r="EE874"/>
      <c r="EF874"/>
      <c r="EG874"/>
      <c r="EH874"/>
      <c r="EI874"/>
      <c r="EJ874"/>
      <c r="EK874"/>
      <c r="EL874"/>
      <c r="EM874"/>
      <c r="EN874"/>
      <c r="EO874"/>
      <c r="EP874"/>
      <c r="EQ874"/>
      <c r="ER874"/>
      <c r="ES874"/>
      <c r="ET874"/>
      <c r="EU874"/>
      <c r="EV874"/>
      <c r="EW874"/>
      <c r="EX874"/>
      <c r="EY874"/>
      <c r="EZ874"/>
      <c r="FA874"/>
      <c r="FB874"/>
      <c r="FC874"/>
      <c r="FD874"/>
      <c r="FE874"/>
      <c r="FF874"/>
      <c r="FG874"/>
      <c r="FH874"/>
      <c r="FI874"/>
      <c r="FJ874"/>
      <c r="FK874"/>
      <c r="FL874"/>
      <c r="FM874"/>
      <c r="FN874"/>
      <c r="FO874"/>
      <c r="FP874"/>
      <c r="FQ874"/>
      <c r="FR874"/>
      <c r="FS874"/>
      <c r="FT874"/>
      <c r="FU874"/>
      <c r="FV874"/>
      <c r="FW874"/>
      <c r="FX874"/>
      <c r="FY874"/>
      <c r="FZ874"/>
      <c r="GA874"/>
      <c r="GB874"/>
      <c r="GC874"/>
      <c r="GD874"/>
      <c r="GE874"/>
      <c r="GF874"/>
      <c r="GG874"/>
      <c r="GH874"/>
      <c r="GI874"/>
      <c r="GJ874"/>
      <c r="GK874"/>
      <c r="GL874"/>
      <c r="GM874"/>
      <c r="GN874"/>
      <c r="GO874"/>
      <c r="GP874"/>
      <c r="GQ874"/>
      <c r="GR874"/>
      <c r="GS874"/>
      <c r="GT874"/>
      <c r="GU874"/>
      <c r="GV874"/>
      <c r="GW874"/>
      <c r="GX874"/>
      <c r="GY874"/>
      <c r="GZ874"/>
      <c r="HA874"/>
      <c r="HB874"/>
      <c r="HC874"/>
      <c r="HD874"/>
      <c r="HE874"/>
      <c r="HF874"/>
      <c r="HG874"/>
      <c r="HH874"/>
      <c r="HI874"/>
      <c r="HJ874"/>
      <c r="HK874"/>
      <c r="HL874"/>
      <c r="HM874"/>
      <c r="HN874"/>
      <c r="HO874"/>
      <c r="HP874"/>
      <c r="HQ874"/>
      <c r="HR874"/>
      <c r="HS874"/>
      <c r="HT874"/>
      <c r="HU874"/>
      <c r="HV874"/>
      <c r="HW874"/>
      <c r="HX874"/>
      <c r="HY874"/>
      <c r="HZ874"/>
      <c r="IA874"/>
      <c r="IB874"/>
      <c r="IC874"/>
      <c r="ID874"/>
      <c r="IE874"/>
      <c r="IF874"/>
      <c r="IG874"/>
      <c r="IH874"/>
      <c r="II874"/>
      <c r="IJ874"/>
      <c r="IK874"/>
      <c r="IL874"/>
      <c r="IM874"/>
      <c r="IN874"/>
      <c r="IO874"/>
      <c r="IP874"/>
      <c r="IQ874"/>
      <c r="IR874"/>
      <c r="IS874"/>
      <c r="IT874"/>
      <c r="IU874"/>
      <c r="IV874"/>
      <c r="IW874"/>
      <c r="IX874"/>
    </row>
    <row r="875" spans="1:259" ht="12.75" customHeight="1" x14ac:dyDescent="0.2">
      <c r="A875" s="851"/>
      <c r="B875" s="1827" t="s">
        <v>1140</v>
      </c>
      <c r="C875" s="1572">
        <v>150000</v>
      </c>
      <c r="D875" s="733">
        <v>3300</v>
      </c>
      <c r="E875" s="904">
        <v>3300</v>
      </c>
      <c r="F875" s="733">
        <v>3300</v>
      </c>
      <c r="G875" s="733">
        <v>3300</v>
      </c>
      <c r="H875" s="1176">
        <v>3300</v>
      </c>
      <c r="I875" s="1572">
        <v>0</v>
      </c>
      <c r="J875" s="735"/>
      <c r="K875" s="1367"/>
      <c r="L875" s="848"/>
      <c r="M875" s="887"/>
      <c r="N875" s="843"/>
      <c r="O875"/>
      <c r="P875"/>
      <c r="Q875"/>
      <c r="R875"/>
      <c r="S875"/>
      <c r="T875"/>
      <c r="U875"/>
      <c r="V875"/>
      <c r="W875"/>
      <c r="X875"/>
      <c r="Y875"/>
      <c r="Z875"/>
      <c r="AA875"/>
      <c r="AB875"/>
      <c r="AC875"/>
      <c r="AD875"/>
      <c r="AE875"/>
      <c r="AF875"/>
      <c r="AG875"/>
      <c r="AH875"/>
      <c r="AI875"/>
      <c r="AJ875"/>
      <c r="AK875"/>
      <c r="AL875"/>
      <c r="AM875"/>
      <c r="AN875"/>
      <c r="AO875"/>
      <c r="AP875"/>
      <c r="AQ875"/>
      <c r="AR875"/>
      <c r="AS875"/>
      <c r="AT875"/>
      <c r="AU875"/>
      <c r="AV875"/>
      <c r="AW875"/>
      <c r="AX875"/>
      <c r="AY875"/>
      <c r="AZ875"/>
      <c r="BA875"/>
      <c r="BB875"/>
      <c r="BC875"/>
      <c r="BD875"/>
      <c r="BE875"/>
      <c r="BF875"/>
      <c r="BG875"/>
      <c r="BH875"/>
      <c r="BI875"/>
      <c r="BJ875"/>
      <c r="BK875"/>
      <c r="BL875"/>
      <c r="BM875"/>
      <c r="BN875"/>
      <c r="BO875"/>
      <c r="BP875"/>
      <c r="BQ875"/>
      <c r="BR875"/>
      <c r="BS875"/>
      <c r="BT875"/>
      <c r="BU875"/>
      <c r="BV875"/>
      <c r="BW875"/>
      <c r="BX875"/>
      <c r="BY875"/>
      <c r="BZ875"/>
      <c r="CA875"/>
      <c r="CB875"/>
      <c r="CC875"/>
      <c r="CD875"/>
      <c r="CE875"/>
      <c r="CF875"/>
      <c r="CG875"/>
      <c r="CH875"/>
      <c r="CI875"/>
      <c r="CJ875"/>
      <c r="CK875"/>
      <c r="CL875"/>
      <c r="CM875"/>
      <c r="CN875"/>
      <c r="CO875"/>
      <c r="CP875"/>
      <c r="CQ875"/>
      <c r="CR875"/>
      <c r="CS875"/>
      <c r="CT875"/>
      <c r="CU875"/>
      <c r="CV875"/>
      <c r="CW875"/>
      <c r="CX875"/>
      <c r="CY875"/>
      <c r="CZ875"/>
      <c r="DA875"/>
      <c r="DB875"/>
      <c r="DC875"/>
      <c r="DD875"/>
      <c r="DE875"/>
      <c r="DF875"/>
      <c r="DG875"/>
      <c r="DH875"/>
      <c r="DI875"/>
      <c r="DJ875"/>
      <c r="DK875"/>
      <c r="DL875"/>
      <c r="DM875"/>
      <c r="DN875"/>
      <c r="DO875"/>
      <c r="DP875"/>
      <c r="DQ875"/>
      <c r="DR875"/>
      <c r="DS875"/>
      <c r="DT875"/>
      <c r="DU875"/>
      <c r="DV875"/>
      <c r="DW875"/>
      <c r="DX875"/>
      <c r="DY875"/>
      <c r="DZ875"/>
      <c r="EA875"/>
      <c r="EB875"/>
      <c r="EC875"/>
      <c r="ED875"/>
      <c r="EE875"/>
      <c r="EF875"/>
      <c r="EG875"/>
      <c r="EH875"/>
      <c r="EI875"/>
      <c r="EJ875"/>
      <c r="EK875"/>
      <c r="EL875"/>
      <c r="EM875"/>
      <c r="EN875"/>
      <c r="EO875"/>
      <c r="EP875"/>
      <c r="EQ875"/>
      <c r="ER875"/>
      <c r="ES875"/>
      <c r="ET875"/>
      <c r="EU875"/>
      <c r="EV875"/>
      <c r="EW875"/>
      <c r="EX875"/>
      <c r="EY875"/>
      <c r="EZ875"/>
      <c r="FA875"/>
      <c r="FB875"/>
      <c r="FC875"/>
      <c r="FD875"/>
      <c r="FE875"/>
      <c r="FF875"/>
      <c r="FG875"/>
      <c r="FH875"/>
      <c r="FI875"/>
      <c r="FJ875"/>
      <c r="FK875"/>
      <c r="FL875"/>
      <c r="FM875"/>
      <c r="FN875"/>
      <c r="FO875"/>
      <c r="FP875"/>
      <c r="FQ875"/>
      <c r="FR875"/>
      <c r="FS875"/>
      <c r="FT875"/>
      <c r="FU875"/>
      <c r="FV875"/>
      <c r="FW875"/>
      <c r="FX875"/>
      <c r="FY875"/>
      <c r="FZ875"/>
      <c r="GA875"/>
      <c r="GB875"/>
      <c r="GC875"/>
      <c r="GD875"/>
      <c r="GE875"/>
      <c r="GF875"/>
      <c r="GG875"/>
      <c r="GH875"/>
      <c r="GI875"/>
      <c r="GJ875"/>
      <c r="GK875"/>
      <c r="GL875"/>
      <c r="GM875"/>
      <c r="GN875"/>
      <c r="GO875"/>
      <c r="GP875"/>
      <c r="GQ875"/>
      <c r="GR875"/>
      <c r="GS875"/>
      <c r="GT875"/>
      <c r="GU875"/>
      <c r="GV875"/>
      <c r="GW875"/>
      <c r="GX875"/>
      <c r="GY875"/>
      <c r="GZ875"/>
      <c r="HA875"/>
      <c r="HB875"/>
      <c r="HC875"/>
      <c r="HD875"/>
      <c r="HE875"/>
      <c r="HF875"/>
      <c r="HG875"/>
      <c r="HH875"/>
      <c r="HI875"/>
      <c r="HJ875"/>
      <c r="HK875"/>
      <c r="HL875"/>
      <c r="HM875"/>
      <c r="HN875"/>
      <c r="HO875"/>
      <c r="HP875"/>
      <c r="HQ875"/>
      <c r="HR875"/>
      <c r="HS875"/>
      <c r="HT875"/>
      <c r="HU875"/>
      <c r="HV875"/>
      <c r="HW875"/>
      <c r="HX875"/>
      <c r="HY875"/>
      <c r="HZ875"/>
      <c r="IA875"/>
      <c r="IB875"/>
      <c r="IC875"/>
      <c r="ID875"/>
      <c r="IE875"/>
      <c r="IF875"/>
      <c r="IG875"/>
      <c r="IH875"/>
      <c r="II875"/>
      <c r="IJ875"/>
      <c r="IK875"/>
      <c r="IL875"/>
      <c r="IM875"/>
      <c r="IN875"/>
      <c r="IO875"/>
      <c r="IP875"/>
      <c r="IQ875"/>
      <c r="IR875"/>
      <c r="IS875"/>
      <c r="IT875"/>
      <c r="IU875"/>
      <c r="IV875"/>
      <c r="IW875"/>
      <c r="IX875"/>
    </row>
    <row r="876" spans="1:259" ht="12.75" customHeight="1" x14ac:dyDescent="0.2">
      <c r="A876" s="851"/>
      <c r="B876" s="1722" t="s">
        <v>1483</v>
      </c>
      <c r="C876" s="1572">
        <v>2180000</v>
      </c>
      <c r="D876" s="733">
        <v>2460000</v>
      </c>
      <c r="E876" s="904">
        <v>2180000</v>
      </c>
      <c r="F876" s="733">
        <v>2460000</v>
      </c>
      <c r="G876" s="733">
        <v>1816000</v>
      </c>
      <c r="H876" s="1176">
        <v>1452000</v>
      </c>
      <c r="I876" s="1572">
        <v>2200000</v>
      </c>
      <c r="J876" s="735"/>
      <c r="K876" s="1367"/>
      <c r="L876" s="848"/>
      <c r="M876" s="887"/>
      <c r="N876" s="843"/>
      <c r="O876"/>
      <c r="P876"/>
      <c r="Q876"/>
      <c r="R876"/>
      <c r="S876"/>
      <c r="T876"/>
      <c r="U876"/>
      <c r="V876"/>
      <c r="W876"/>
      <c r="X876"/>
      <c r="Y876"/>
      <c r="Z876"/>
      <c r="AA876"/>
      <c r="AB876"/>
      <c r="AC876"/>
      <c r="AD876"/>
      <c r="AE876"/>
      <c r="AF876"/>
      <c r="AG876"/>
      <c r="AH876"/>
      <c r="AI876"/>
      <c r="AJ876"/>
      <c r="AK876"/>
      <c r="AL876"/>
      <c r="AM876"/>
      <c r="AN876"/>
      <c r="AO876"/>
      <c r="AP876"/>
      <c r="AQ876"/>
      <c r="AR876"/>
      <c r="AS876"/>
      <c r="AT876"/>
      <c r="AU876"/>
      <c r="AV876"/>
      <c r="AW876"/>
      <c r="AX876"/>
      <c r="AY876"/>
      <c r="AZ876"/>
      <c r="BA876"/>
      <c r="BB876"/>
      <c r="BC876"/>
      <c r="BD876"/>
      <c r="BE876"/>
      <c r="BF876"/>
      <c r="BG876"/>
      <c r="BH876"/>
      <c r="BI876"/>
      <c r="BJ876"/>
      <c r="BK876"/>
      <c r="BL876"/>
      <c r="BM876"/>
      <c r="BN876"/>
      <c r="BO876"/>
      <c r="BP876"/>
      <c r="BQ876"/>
      <c r="BR876"/>
      <c r="BS876"/>
      <c r="BT876"/>
      <c r="BU876"/>
      <c r="BV876"/>
      <c r="BW876"/>
      <c r="BX876"/>
      <c r="BY876"/>
      <c r="BZ876"/>
      <c r="CA876"/>
      <c r="CB876"/>
      <c r="CC876"/>
      <c r="CD876"/>
      <c r="CE876"/>
      <c r="CF876"/>
      <c r="CG876"/>
      <c r="CH876"/>
      <c r="CI876"/>
      <c r="CJ876"/>
      <c r="CK876"/>
      <c r="CL876"/>
      <c r="CM876"/>
      <c r="CN876"/>
      <c r="CO876"/>
      <c r="CP876"/>
      <c r="CQ876"/>
      <c r="CR876"/>
      <c r="CS876"/>
      <c r="CT876"/>
      <c r="CU876"/>
      <c r="CV876"/>
      <c r="CW876"/>
      <c r="CX876"/>
      <c r="CY876"/>
      <c r="CZ876"/>
      <c r="DA876"/>
      <c r="DB876"/>
      <c r="DC876"/>
      <c r="DD876"/>
      <c r="DE876"/>
      <c r="DF876"/>
      <c r="DG876"/>
      <c r="DH876"/>
      <c r="DI876"/>
      <c r="DJ876"/>
      <c r="DK876"/>
      <c r="DL876"/>
      <c r="DM876"/>
      <c r="DN876"/>
      <c r="DO876"/>
      <c r="DP876"/>
      <c r="DQ876"/>
      <c r="DR876"/>
      <c r="DS876"/>
      <c r="DT876"/>
      <c r="DU876"/>
      <c r="DV876"/>
      <c r="DW876"/>
      <c r="DX876"/>
      <c r="DY876"/>
      <c r="DZ876"/>
      <c r="EA876"/>
      <c r="EB876"/>
      <c r="EC876"/>
      <c r="ED876"/>
      <c r="EE876"/>
      <c r="EF876"/>
      <c r="EG876"/>
      <c r="EH876"/>
      <c r="EI876"/>
      <c r="EJ876"/>
      <c r="EK876"/>
      <c r="EL876"/>
      <c r="EM876"/>
      <c r="EN876"/>
      <c r="EO876"/>
      <c r="EP876"/>
      <c r="EQ876"/>
      <c r="ER876"/>
      <c r="ES876"/>
      <c r="ET876"/>
      <c r="EU876"/>
      <c r="EV876"/>
      <c r="EW876"/>
      <c r="EX876"/>
      <c r="EY876"/>
      <c r="EZ876"/>
      <c r="FA876"/>
      <c r="FB876"/>
      <c r="FC876"/>
      <c r="FD876"/>
      <c r="FE876"/>
      <c r="FF876"/>
      <c r="FG876"/>
      <c r="FH876"/>
      <c r="FI876"/>
      <c r="FJ876"/>
      <c r="FK876"/>
      <c r="FL876"/>
      <c r="FM876"/>
      <c r="FN876"/>
      <c r="FO876"/>
      <c r="FP876"/>
      <c r="FQ876"/>
      <c r="FR876"/>
      <c r="FS876"/>
      <c r="FT876"/>
      <c r="FU876"/>
      <c r="FV876"/>
      <c r="FW876"/>
      <c r="FX876"/>
      <c r="FY876"/>
      <c r="FZ876"/>
      <c r="GA876"/>
      <c r="GB876"/>
      <c r="GC876"/>
      <c r="GD876"/>
      <c r="GE876"/>
      <c r="GF876"/>
      <c r="GG876"/>
      <c r="GH876"/>
      <c r="GI876"/>
      <c r="GJ876"/>
      <c r="GK876"/>
      <c r="GL876"/>
      <c r="GM876"/>
      <c r="GN876"/>
      <c r="GO876"/>
      <c r="GP876"/>
      <c r="GQ876"/>
      <c r="GR876"/>
      <c r="GS876"/>
      <c r="GT876"/>
      <c r="GU876"/>
      <c r="GV876"/>
      <c r="GW876"/>
      <c r="GX876"/>
      <c r="GY876"/>
      <c r="GZ876"/>
      <c r="HA876"/>
      <c r="HB876"/>
      <c r="HC876"/>
      <c r="HD876"/>
      <c r="HE876"/>
      <c r="HF876"/>
      <c r="HG876"/>
      <c r="HH876"/>
      <c r="HI876"/>
      <c r="HJ876"/>
      <c r="HK876"/>
      <c r="HL876"/>
      <c r="HM876"/>
      <c r="HN876"/>
      <c r="HO876"/>
      <c r="HP876"/>
      <c r="HQ876"/>
      <c r="HR876"/>
      <c r="HS876"/>
      <c r="HT876"/>
      <c r="HU876"/>
      <c r="HV876"/>
      <c r="HW876"/>
      <c r="HX876"/>
      <c r="HY876"/>
      <c r="HZ876"/>
      <c r="IA876"/>
      <c r="IB876"/>
      <c r="IC876"/>
      <c r="ID876"/>
      <c r="IE876"/>
      <c r="IF876"/>
      <c r="IG876"/>
      <c r="IH876"/>
      <c r="II876"/>
      <c r="IJ876"/>
      <c r="IK876"/>
      <c r="IL876"/>
      <c r="IM876"/>
      <c r="IN876"/>
      <c r="IO876"/>
      <c r="IP876"/>
      <c r="IQ876"/>
      <c r="IR876"/>
      <c r="IS876"/>
      <c r="IT876"/>
      <c r="IU876"/>
      <c r="IV876"/>
      <c r="IW876"/>
      <c r="IX876"/>
    </row>
    <row r="877" spans="1:259" ht="12.75" customHeight="1" x14ac:dyDescent="0.2">
      <c r="A877" s="851"/>
      <c r="B877" s="1826" t="s">
        <v>1484</v>
      </c>
      <c r="C877" s="1572">
        <v>100000</v>
      </c>
      <c r="D877" s="733">
        <v>20000</v>
      </c>
      <c r="E877" s="904">
        <v>20000</v>
      </c>
      <c r="F877" s="733">
        <v>0</v>
      </c>
      <c r="G877" s="733">
        <v>0</v>
      </c>
      <c r="H877" s="1176">
        <v>0</v>
      </c>
      <c r="I877" s="1572">
        <v>20000</v>
      </c>
      <c r="J877" s="735"/>
      <c r="K877" s="1367"/>
      <c r="L877" s="848"/>
      <c r="M877" s="887"/>
      <c r="N877" s="843"/>
      <c r="O877"/>
      <c r="P877"/>
      <c r="Q877"/>
      <c r="R877"/>
      <c r="S877"/>
      <c r="T877"/>
      <c r="U877"/>
      <c r="V877"/>
      <c r="W877"/>
      <c r="X877"/>
      <c r="Y877"/>
      <c r="Z877"/>
      <c r="AA877"/>
      <c r="AB877"/>
      <c r="AC877"/>
      <c r="AD877"/>
      <c r="AE877"/>
      <c r="AF877"/>
      <c r="AG877"/>
      <c r="AH877"/>
      <c r="AI877"/>
      <c r="AJ877"/>
      <c r="AK877"/>
      <c r="AL877"/>
      <c r="AM877"/>
      <c r="AN877"/>
      <c r="AO877"/>
      <c r="AP877"/>
      <c r="AQ877"/>
      <c r="AR877"/>
      <c r="AS877"/>
      <c r="AT877"/>
      <c r="AU877"/>
      <c r="AV877"/>
      <c r="AW877"/>
      <c r="AX877"/>
      <c r="AY877"/>
      <c r="AZ877"/>
      <c r="BA877"/>
      <c r="BB877"/>
      <c r="BC877"/>
      <c r="BD877"/>
      <c r="BE877"/>
      <c r="BF877"/>
      <c r="BG877"/>
      <c r="BH877"/>
      <c r="BI877"/>
      <c r="BJ877"/>
      <c r="BK877"/>
      <c r="BL877"/>
      <c r="BM877"/>
      <c r="BN877"/>
      <c r="BO877"/>
      <c r="BP877"/>
      <c r="BQ877"/>
      <c r="BR877"/>
      <c r="BS877"/>
      <c r="BT877"/>
      <c r="BU877"/>
      <c r="BV877"/>
      <c r="BW877"/>
      <c r="BX877"/>
      <c r="BY877"/>
      <c r="BZ877"/>
      <c r="CA877"/>
      <c r="CB877"/>
      <c r="CC877"/>
      <c r="CD877"/>
      <c r="CE877"/>
      <c r="CF877"/>
      <c r="CG877"/>
      <c r="CH877"/>
      <c r="CI877"/>
      <c r="CJ877"/>
      <c r="CK877"/>
      <c r="CL877"/>
      <c r="CM877"/>
      <c r="CN877"/>
      <c r="CO877"/>
      <c r="CP877"/>
      <c r="CQ877"/>
      <c r="CR877"/>
      <c r="CS877"/>
      <c r="CT877"/>
      <c r="CU877"/>
      <c r="CV877"/>
      <c r="CW877"/>
      <c r="CX877"/>
      <c r="CY877"/>
      <c r="CZ877"/>
      <c r="DA877"/>
      <c r="DB877"/>
      <c r="DC877"/>
      <c r="DD877"/>
      <c r="DE877"/>
      <c r="DF877"/>
      <c r="DG877"/>
      <c r="DH877"/>
      <c r="DI877"/>
      <c r="DJ877"/>
      <c r="DK877"/>
      <c r="DL877"/>
      <c r="DM877"/>
      <c r="DN877"/>
      <c r="DO877"/>
      <c r="DP877"/>
      <c r="DQ877"/>
      <c r="DR877"/>
      <c r="DS877"/>
      <c r="DT877"/>
      <c r="DU877"/>
      <c r="DV877"/>
      <c r="DW877"/>
      <c r="DX877"/>
      <c r="DY877"/>
      <c r="DZ877"/>
      <c r="EA877"/>
      <c r="EB877"/>
      <c r="EC877"/>
      <c r="ED877"/>
      <c r="EE877"/>
      <c r="EF877"/>
      <c r="EG877"/>
      <c r="EH877"/>
      <c r="EI877"/>
      <c r="EJ877"/>
      <c r="EK877"/>
      <c r="EL877"/>
      <c r="EM877"/>
      <c r="EN877"/>
      <c r="EO877"/>
      <c r="EP877"/>
      <c r="EQ877"/>
      <c r="ER877"/>
      <c r="ES877"/>
      <c r="ET877"/>
      <c r="EU877"/>
      <c r="EV877"/>
      <c r="EW877"/>
      <c r="EX877"/>
      <c r="EY877"/>
      <c r="EZ877"/>
      <c r="FA877"/>
      <c r="FB877"/>
      <c r="FC877"/>
      <c r="FD877"/>
      <c r="FE877"/>
      <c r="FF877"/>
      <c r="FG877"/>
      <c r="FH877"/>
      <c r="FI877"/>
      <c r="FJ877"/>
      <c r="FK877"/>
      <c r="FL877"/>
      <c r="FM877"/>
      <c r="FN877"/>
      <c r="FO877"/>
      <c r="FP877"/>
      <c r="FQ877"/>
      <c r="FR877"/>
      <c r="FS877"/>
      <c r="FT877"/>
      <c r="FU877"/>
      <c r="FV877"/>
      <c r="FW877"/>
      <c r="FX877"/>
      <c r="FY877"/>
      <c r="FZ877"/>
      <c r="GA877"/>
      <c r="GB877"/>
      <c r="GC877"/>
      <c r="GD877"/>
      <c r="GE877"/>
      <c r="GF877"/>
      <c r="GG877"/>
      <c r="GH877"/>
      <c r="GI877"/>
      <c r="GJ877"/>
      <c r="GK877"/>
      <c r="GL877"/>
      <c r="GM877"/>
      <c r="GN877"/>
      <c r="GO877"/>
      <c r="GP877"/>
      <c r="GQ877"/>
      <c r="GR877"/>
      <c r="GS877"/>
      <c r="GT877"/>
      <c r="GU877"/>
      <c r="GV877"/>
      <c r="GW877"/>
      <c r="GX877"/>
      <c r="GY877"/>
      <c r="GZ877"/>
      <c r="HA877"/>
      <c r="HB877"/>
      <c r="HC877"/>
      <c r="HD877"/>
      <c r="HE877"/>
      <c r="HF877"/>
      <c r="HG877"/>
      <c r="HH877"/>
      <c r="HI877"/>
      <c r="HJ877"/>
      <c r="HK877"/>
      <c r="HL877"/>
      <c r="HM877"/>
      <c r="HN877"/>
      <c r="HO877"/>
      <c r="HP877"/>
      <c r="HQ877"/>
      <c r="HR877"/>
      <c r="HS877"/>
      <c r="HT877"/>
      <c r="HU877"/>
      <c r="HV877"/>
      <c r="HW877"/>
      <c r="HX877"/>
      <c r="HY877"/>
      <c r="HZ877"/>
      <c r="IA877"/>
      <c r="IB877"/>
      <c r="IC877"/>
      <c r="ID877"/>
      <c r="IE877"/>
      <c r="IF877"/>
      <c r="IG877"/>
      <c r="IH877"/>
      <c r="II877"/>
      <c r="IJ877"/>
      <c r="IK877"/>
      <c r="IL877"/>
      <c r="IM877"/>
      <c r="IN877"/>
      <c r="IO877"/>
      <c r="IP877"/>
      <c r="IQ877"/>
      <c r="IR877"/>
      <c r="IS877"/>
      <c r="IT877"/>
      <c r="IU877"/>
      <c r="IV877"/>
      <c r="IW877"/>
      <c r="IX877"/>
    </row>
    <row r="878" spans="1:259" ht="12.75" customHeight="1" x14ac:dyDescent="0.2">
      <c r="A878" s="851"/>
      <c r="B878" s="1567" t="s">
        <v>911</v>
      </c>
      <c r="C878" s="1572">
        <v>15000</v>
      </c>
      <c r="D878" s="733">
        <v>15000</v>
      </c>
      <c r="E878" s="904">
        <v>15000</v>
      </c>
      <c r="F878" s="733">
        <v>14520</v>
      </c>
      <c r="G878" s="733">
        <v>12100</v>
      </c>
      <c r="H878" s="1176">
        <v>9680</v>
      </c>
      <c r="I878" s="1572">
        <v>15000</v>
      </c>
      <c r="J878" s="735"/>
      <c r="K878" s="1367"/>
      <c r="L878" s="848"/>
      <c r="M878" s="887"/>
      <c r="N878" s="843"/>
      <c r="O878"/>
      <c r="P878"/>
      <c r="Q878"/>
      <c r="R878"/>
      <c r="S878"/>
      <c r="T878"/>
      <c r="U878"/>
      <c r="V878"/>
      <c r="W878"/>
      <c r="X878"/>
      <c r="Y878"/>
      <c r="Z878"/>
      <c r="AA878"/>
      <c r="AB878"/>
      <c r="AC878"/>
      <c r="AD878"/>
      <c r="AE878"/>
      <c r="AF878"/>
      <c r="AG878"/>
      <c r="AH878"/>
      <c r="AI878"/>
      <c r="AJ878"/>
      <c r="AK878"/>
      <c r="AL878"/>
      <c r="AM878"/>
      <c r="AN878"/>
      <c r="AO878"/>
      <c r="AP878"/>
      <c r="AQ878"/>
      <c r="AR878"/>
      <c r="AS878"/>
      <c r="AT878"/>
      <c r="AU878"/>
      <c r="AV878"/>
      <c r="AW878"/>
      <c r="AX878"/>
      <c r="AY878"/>
      <c r="AZ878"/>
      <c r="BA878"/>
      <c r="BB878"/>
      <c r="BC878"/>
      <c r="BD878"/>
      <c r="BE878"/>
      <c r="BF878"/>
      <c r="BG878"/>
      <c r="BH878"/>
      <c r="BI878"/>
      <c r="BJ878"/>
      <c r="BK878"/>
      <c r="BL878"/>
      <c r="BM878"/>
      <c r="BN878"/>
      <c r="BO878"/>
      <c r="BP878"/>
      <c r="BQ878"/>
      <c r="BR878"/>
      <c r="BS878"/>
      <c r="BT878"/>
      <c r="BU878"/>
      <c r="BV878"/>
      <c r="BW878"/>
      <c r="BX878"/>
      <c r="BY878"/>
      <c r="BZ878"/>
      <c r="CA878"/>
      <c r="CB878"/>
      <c r="CC878"/>
      <c r="CD878"/>
      <c r="CE878"/>
      <c r="CF878"/>
      <c r="CG878"/>
      <c r="CH878"/>
      <c r="CI878"/>
      <c r="CJ878"/>
      <c r="CK878"/>
      <c r="CL878"/>
      <c r="CM878"/>
      <c r="CN878"/>
      <c r="CO878"/>
      <c r="CP878"/>
      <c r="CQ878"/>
      <c r="CR878"/>
      <c r="CS878"/>
      <c r="CT878"/>
      <c r="CU878"/>
      <c r="CV878"/>
      <c r="CW878"/>
      <c r="CX878"/>
      <c r="CY878"/>
      <c r="CZ878"/>
      <c r="DA878"/>
      <c r="DB878"/>
      <c r="DC878"/>
      <c r="DD878"/>
      <c r="DE878"/>
      <c r="DF878"/>
      <c r="DG878"/>
      <c r="DH878"/>
      <c r="DI878"/>
      <c r="DJ878"/>
      <c r="DK878"/>
      <c r="DL878"/>
      <c r="DM878"/>
      <c r="DN878"/>
      <c r="DO878"/>
      <c r="DP878"/>
      <c r="DQ878"/>
      <c r="DR878"/>
      <c r="DS878"/>
      <c r="DT878"/>
      <c r="DU878"/>
      <c r="DV878"/>
      <c r="DW878"/>
      <c r="DX878"/>
      <c r="DY878"/>
      <c r="DZ878"/>
      <c r="EA878"/>
      <c r="EB878"/>
      <c r="EC878"/>
      <c r="ED878"/>
      <c r="EE878"/>
      <c r="EF878"/>
      <c r="EG878"/>
      <c r="EH878"/>
      <c r="EI878"/>
      <c r="EJ878"/>
      <c r="EK878"/>
      <c r="EL878"/>
      <c r="EM878"/>
      <c r="EN878"/>
      <c r="EO878"/>
      <c r="EP878"/>
      <c r="EQ878"/>
      <c r="ER878"/>
      <c r="ES878"/>
      <c r="ET878"/>
      <c r="EU878"/>
      <c r="EV878"/>
      <c r="EW878"/>
      <c r="EX878"/>
      <c r="EY878"/>
      <c r="EZ878"/>
      <c r="FA878"/>
      <c r="FB878"/>
      <c r="FC878"/>
      <c r="FD878"/>
      <c r="FE878"/>
      <c r="FF878"/>
      <c r="FG878"/>
      <c r="FH878"/>
      <c r="FI878"/>
      <c r="FJ878"/>
      <c r="FK878"/>
      <c r="FL878"/>
      <c r="FM878"/>
      <c r="FN878"/>
      <c r="FO878"/>
      <c r="FP878"/>
      <c r="FQ878"/>
      <c r="FR878"/>
      <c r="FS878"/>
      <c r="FT878"/>
      <c r="FU878"/>
      <c r="FV878"/>
      <c r="FW878"/>
      <c r="FX878"/>
      <c r="FY878"/>
      <c r="FZ878"/>
      <c r="GA878"/>
      <c r="GB878"/>
      <c r="GC878"/>
      <c r="GD878"/>
      <c r="GE878"/>
      <c r="GF878"/>
      <c r="GG878"/>
      <c r="GH878"/>
      <c r="GI878"/>
      <c r="GJ878"/>
      <c r="GK878"/>
      <c r="GL878"/>
      <c r="GM878"/>
      <c r="GN878"/>
      <c r="GO878"/>
      <c r="GP878"/>
      <c r="GQ878"/>
      <c r="GR878"/>
      <c r="GS878"/>
      <c r="GT878"/>
      <c r="GU878"/>
      <c r="GV878"/>
      <c r="GW878"/>
      <c r="GX878"/>
      <c r="GY878"/>
      <c r="GZ878"/>
      <c r="HA878"/>
      <c r="HB878"/>
      <c r="HC878"/>
      <c r="HD878"/>
      <c r="HE878"/>
      <c r="HF878"/>
      <c r="HG878"/>
      <c r="HH878"/>
      <c r="HI878"/>
      <c r="HJ878"/>
      <c r="HK878"/>
      <c r="HL878"/>
      <c r="HM878"/>
      <c r="HN878"/>
      <c r="HO878"/>
      <c r="HP878"/>
      <c r="HQ878"/>
      <c r="HR878"/>
      <c r="HS878"/>
      <c r="HT878"/>
      <c r="HU878"/>
      <c r="HV878"/>
      <c r="HW878"/>
      <c r="HX878"/>
      <c r="HY878"/>
      <c r="HZ878"/>
      <c r="IA878"/>
      <c r="IB878"/>
      <c r="IC878"/>
      <c r="ID878"/>
      <c r="IE878"/>
      <c r="IF878"/>
      <c r="IG878"/>
      <c r="IH878"/>
      <c r="II878"/>
      <c r="IJ878"/>
      <c r="IK878"/>
      <c r="IL878"/>
      <c r="IM878"/>
      <c r="IN878"/>
      <c r="IO878"/>
      <c r="IP878"/>
      <c r="IQ878"/>
      <c r="IR878"/>
      <c r="IS878"/>
      <c r="IT878"/>
      <c r="IU878"/>
      <c r="IV878"/>
      <c r="IW878"/>
      <c r="IX878"/>
    </row>
    <row r="879" spans="1:259" ht="12.75" customHeight="1" x14ac:dyDescent="0.2">
      <c r="A879" s="851"/>
      <c r="B879" s="1553" t="s">
        <v>1226</v>
      </c>
      <c r="C879" s="1572">
        <v>2500000</v>
      </c>
      <c r="D879" s="733">
        <v>2500000</v>
      </c>
      <c r="E879" s="904">
        <v>0</v>
      </c>
      <c r="F879" s="733">
        <v>0</v>
      </c>
      <c r="G879" s="733">
        <v>0</v>
      </c>
      <c r="H879" s="1176">
        <v>0</v>
      </c>
      <c r="I879" s="1572">
        <v>270000</v>
      </c>
      <c r="J879" s="735"/>
      <c r="K879" s="1367"/>
      <c r="L879" s="848"/>
      <c r="M879" s="887"/>
      <c r="N879" s="843"/>
      <c r="O879"/>
      <c r="P879"/>
      <c r="Q879"/>
      <c r="R879"/>
      <c r="S879"/>
      <c r="T879"/>
      <c r="U879"/>
      <c r="V879"/>
      <c r="W879"/>
      <c r="X879"/>
      <c r="Y879"/>
      <c r="Z879"/>
      <c r="AA879"/>
      <c r="AB879"/>
      <c r="AC879"/>
      <c r="AD879"/>
      <c r="AE879"/>
      <c r="AF879"/>
      <c r="AG879"/>
      <c r="AH879"/>
      <c r="AI879"/>
      <c r="AJ879"/>
      <c r="AK879"/>
      <c r="AL879"/>
      <c r="AM879"/>
      <c r="AN879"/>
      <c r="AO879"/>
      <c r="AP879"/>
      <c r="AQ879"/>
      <c r="AR879"/>
      <c r="AS879"/>
      <c r="AT879"/>
      <c r="AU879"/>
      <c r="AV879"/>
      <c r="AW879"/>
      <c r="AX879"/>
      <c r="AY879"/>
      <c r="AZ879"/>
      <c r="BA879"/>
      <c r="BB879"/>
      <c r="BC879"/>
      <c r="BD879"/>
      <c r="BE879"/>
      <c r="BF879"/>
      <c r="BG879"/>
      <c r="BH879"/>
      <c r="BI879"/>
      <c r="BJ879"/>
      <c r="BK879"/>
      <c r="BL879"/>
      <c r="BM879"/>
      <c r="BN879"/>
      <c r="BO879"/>
      <c r="BP879"/>
      <c r="BQ879"/>
      <c r="BR879"/>
      <c r="BS879"/>
      <c r="BT879"/>
      <c r="BU879"/>
      <c r="BV879"/>
      <c r="BW879"/>
      <c r="BX879"/>
      <c r="BY879"/>
      <c r="BZ879"/>
      <c r="CA879"/>
      <c r="CB879"/>
      <c r="CC879"/>
      <c r="CD879"/>
      <c r="CE879"/>
      <c r="CF879"/>
      <c r="CG879"/>
      <c r="CH879"/>
      <c r="CI879"/>
      <c r="CJ879"/>
      <c r="CK879"/>
      <c r="CL879"/>
      <c r="CM879"/>
      <c r="CN879"/>
      <c r="CO879"/>
      <c r="CP879"/>
      <c r="CQ879"/>
      <c r="CR879"/>
      <c r="CS879"/>
      <c r="CT879"/>
      <c r="CU879"/>
      <c r="CV879"/>
      <c r="CW879"/>
      <c r="CX879"/>
      <c r="CY879"/>
      <c r="CZ879"/>
      <c r="DA879"/>
      <c r="DB879"/>
      <c r="DC879"/>
      <c r="DD879"/>
      <c r="DE879"/>
      <c r="DF879"/>
      <c r="DG879"/>
      <c r="DH879"/>
      <c r="DI879"/>
      <c r="DJ879"/>
      <c r="DK879"/>
      <c r="DL879"/>
      <c r="DM879"/>
      <c r="DN879"/>
      <c r="DO879"/>
      <c r="DP879"/>
      <c r="DQ879"/>
      <c r="DR879"/>
      <c r="DS879"/>
      <c r="DT879"/>
      <c r="DU879"/>
      <c r="DV879"/>
      <c r="DW879"/>
      <c r="DX879"/>
      <c r="DY879"/>
      <c r="DZ879"/>
      <c r="EA879"/>
      <c r="EB879"/>
      <c r="EC879"/>
      <c r="ED879"/>
      <c r="EE879"/>
      <c r="EF879"/>
      <c r="EG879"/>
      <c r="EH879"/>
      <c r="EI879"/>
      <c r="EJ879"/>
      <c r="EK879"/>
      <c r="EL879"/>
      <c r="EM879"/>
      <c r="EN879"/>
      <c r="EO879"/>
      <c r="EP879"/>
      <c r="EQ879"/>
      <c r="ER879"/>
      <c r="ES879"/>
      <c r="ET879"/>
      <c r="EU879"/>
      <c r="EV879"/>
      <c r="EW879"/>
      <c r="EX879"/>
      <c r="EY879"/>
      <c r="EZ879"/>
      <c r="FA879"/>
      <c r="FB879"/>
      <c r="FC879"/>
      <c r="FD879"/>
      <c r="FE879"/>
      <c r="FF879"/>
      <c r="FG879"/>
      <c r="FH879"/>
      <c r="FI879"/>
      <c r="FJ879"/>
      <c r="FK879"/>
      <c r="FL879"/>
      <c r="FM879"/>
      <c r="FN879"/>
      <c r="FO879"/>
      <c r="FP879"/>
      <c r="FQ879"/>
      <c r="FR879"/>
      <c r="FS879"/>
      <c r="FT879"/>
      <c r="FU879"/>
      <c r="FV879"/>
      <c r="FW879"/>
      <c r="FX879"/>
      <c r="FY879"/>
      <c r="FZ879"/>
      <c r="GA879"/>
      <c r="GB879"/>
      <c r="GC879"/>
      <c r="GD879"/>
      <c r="GE879"/>
      <c r="GF879"/>
      <c r="GG879"/>
      <c r="GH879"/>
      <c r="GI879"/>
      <c r="GJ879"/>
      <c r="GK879"/>
      <c r="GL879"/>
      <c r="GM879"/>
      <c r="GN879"/>
      <c r="GO879"/>
      <c r="GP879"/>
      <c r="GQ879"/>
      <c r="GR879"/>
      <c r="GS879"/>
      <c r="GT879"/>
      <c r="GU879"/>
      <c r="GV879"/>
      <c r="GW879"/>
      <c r="GX879"/>
      <c r="GY879"/>
      <c r="GZ879"/>
      <c r="HA879"/>
      <c r="HB879"/>
      <c r="HC879"/>
      <c r="HD879"/>
      <c r="HE879"/>
      <c r="HF879"/>
      <c r="HG879"/>
      <c r="HH879"/>
      <c r="HI879"/>
      <c r="HJ879"/>
      <c r="HK879"/>
      <c r="HL879"/>
      <c r="HM879"/>
      <c r="HN879"/>
      <c r="HO879"/>
      <c r="HP879"/>
      <c r="HQ879"/>
      <c r="HR879"/>
      <c r="HS879"/>
      <c r="HT879"/>
      <c r="HU879"/>
      <c r="HV879"/>
      <c r="HW879"/>
      <c r="HX879"/>
      <c r="HY879"/>
      <c r="HZ879"/>
      <c r="IA879"/>
      <c r="IB879"/>
      <c r="IC879"/>
      <c r="ID879"/>
      <c r="IE879"/>
      <c r="IF879"/>
      <c r="IG879"/>
      <c r="IH879"/>
      <c r="II879"/>
      <c r="IJ879"/>
      <c r="IK879"/>
      <c r="IL879"/>
      <c r="IM879"/>
      <c r="IN879"/>
      <c r="IO879"/>
      <c r="IP879"/>
      <c r="IQ879"/>
      <c r="IR879"/>
      <c r="IS879"/>
      <c r="IT879"/>
      <c r="IU879"/>
      <c r="IV879"/>
      <c r="IW879"/>
      <c r="IX879"/>
    </row>
    <row r="880" spans="1:259" ht="12.75" customHeight="1" x14ac:dyDescent="0.2">
      <c r="A880" s="854"/>
      <c r="B880" s="1799" t="s">
        <v>913</v>
      </c>
      <c r="C880" s="1796">
        <f t="shared" ref="C880:I880" si="185">C883+C887+C896</f>
        <v>9470000</v>
      </c>
      <c r="D880" s="852">
        <f t="shared" si="185"/>
        <v>9470000</v>
      </c>
      <c r="E880" s="1225">
        <f t="shared" si="185"/>
        <v>8780000</v>
      </c>
      <c r="F880" s="852">
        <f t="shared" si="185"/>
        <v>3583472.4699999997</v>
      </c>
      <c r="G880" s="852">
        <f>G883+G887+G896</f>
        <v>1734391.07</v>
      </c>
      <c r="H880" s="1797">
        <f t="shared" si="185"/>
        <v>1105066.06</v>
      </c>
      <c r="I880" s="1796">
        <f t="shared" si="185"/>
        <v>6100000</v>
      </c>
      <c r="J880" s="735"/>
      <c r="K880" s="1367"/>
      <c r="L880" s="848"/>
      <c r="M880" s="887"/>
      <c r="N880" s="843"/>
      <c r="O880"/>
      <c r="P880"/>
      <c r="Q880"/>
      <c r="R880"/>
      <c r="S880"/>
      <c r="T880"/>
      <c r="U880"/>
      <c r="V880"/>
      <c r="W880"/>
      <c r="X880"/>
      <c r="Y880"/>
      <c r="Z880"/>
      <c r="AA880"/>
      <c r="AB880"/>
      <c r="AC880"/>
      <c r="AD880"/>
      <c r="AE880"/>
      <c r="AF880"/>
      <c r="AG880"/>
      <c r="AH880"/>
      <c r="AI880"/>
      <c r="AJ880"/>
      <c r="AK880"/>
      <c r="AL880"/>
      <c r="AM880"/>
      <c r="AN880"/>
      <c r="AO880"/>
      <c r="AP880"/>
      <c r="AQ880"/>
      <c r="AR880"/>
      <c r="AS880"/>
      <c r="AT880"/>
      <c r="AU880"/>
      <c r="AV880"/>
      <c r="AW880"/>
      <c r="AX880"/>
      <c r="AY880"/>
      <c r="AZ880"/>
      <c r="BA880"/>
      <c r="BB880"/>
      <c r="BC880"/>
      <c r="BD880"/>
      <c r="BE880"/>
      <c r="BF880"/>
      <c r="BG880"/>
      <c r="BH880"/>
      <c r="BI880"/>
      <c r="BJ880"/>
      <c r="BK880"/>
      <c r="BL880"/>
      <c r="BM880"/>
      <c r="BN880"/>
      <c r="BO880"/>
      <c r="BP880"/>
      <c r="BQ880"/>
      <c r="BR880"/>
      <c r="BS880"/>
      <c r="BT880"/>
      <c r="BU880"/>
      <c r="BV880"/>
      <c r="BW880"/>
      <c r="BX880"/>
      <c r="BY880"/>
      <c r="BZ880"/>
      <c r="CA880"/>
      <c r="CB880"/>
      <c r="CC880"/>
      <c r="CD880"/>
      <c r="CE880"/>
      <c r="CF880"/>
      <c r="CG880"/>
      <c r="CH880"/>
      <c r="CI880"/>
      <c r="CJ880"/>
      <c r="CK880"/>
      <c r="CL880"/>
      <c r="CM880"/>
      <c r="CN880"/>
      <c r="CO880"/>
      <c r="CP880"/>
      <c r="CQ880"/>
      <c r="CR880"/>
      <c r="CS880"/>
      <c r="CT880"/>
      <c r="CU880"/>
      <c r="CV880"/>
      <c r="CW880"/>
      <c r="CX880"/>
      <c r="CY880"/>
      <c r="CZ880"/>
      <c r="DA880"/>
      <c r="DB880"/>
      <c r="DC880"/>
      <c r="DD880"/>
      <c r="DE880"/>
      <c r="DF880"/>
      <c r="DG880"/>
      <c r="DH880"/>
      <c r="DI880"/>
      <c r="DJ880"/>
      <c r="DK880"/>
      <c r="DL880"/>
      <c r="DM880"/>
      <c r="DN880"/>
      <c r="DO880"/>
      <c r="DP880"/>
      <c r="DQ880"/>
      <c r="DR880"/>
      <c r="DS880"/>
      <c r="DT880"/>
      <c r="DU880"/>
      <c r="DV880"/>
      <c r="DW880"/>
      <c r="DX880"/>
      <c r="DY880"/>
      <c r="DZ880"/>
      <c r="EA880"/>
      <c r="EB880"/>
      <c r="EC880"/>
      <c r="ED880"/>
      <c r="EE880"/>
      <c r="EF880"/>
      <c r="EG880"/>
      <c r="EH880"/>
      <c r="EI880"/>
      <c r="EJ880"/>
      <c r="EK880"/>
      <c r="EL880"/>
      <c r="EM880"/>
      <c r="EN880"/>
      <c r="EO880"/>
      <c r="EP880"/>
      <c r="EQ880"/>
      <c r="ER880"/>
      <c r="ES880"/>
      <c r="ET880"/>
      <c r="EU880"/>
      <c r="EV880"/>
      <c r="EW880"/>
      <c r="EX880"/>
      <c r="EY880"/>
      <c r="EZ880"/>
      <c r="FA880"/>
      <c r="FB880"/>
      <c r="FC880"/>
      <c r="FD880"/>
      <c r="FE880"/>
      <c r="FF880"/>
      <c r="FG880"/>
      <c r="FH880"/>
      <c r="FI880"/>
      <c r="FJ880"/>
      <c r="FK880"/>
      <c r="FL880"/>
      <c r="FM880"/>
      <c r="FN880"/>
      <c r="FO880"/>
      <c r="FP880"/>
      <c r="FQ880"/>
      <c r="FR880"/>
      <c r="FS880"/>
      <c r="FT880"/>
      <c r="FU880"/>
      <c r="FV880"/>
      <c r="FW880"/>
      <c r="FX880"/>
      <c r="FY880"/>
      <c r="FZ880"/>
      <c r="GA880"/>
      <c r="GB880"/>
      <c r="GC880"/>
      <c r="GD880"/>
      <c r="GE880"/>
      <c r="GF880"/>
      <c r="GG880"/>
      <c r="GH880"/>
      <c r="GI880"/>
      <c r="GJ880"/>
      <c r="GK880"/>
      <c r="GL880"/>
      <c r="GM880"/>
      <c r="GN880"/>
      <c r="GO880"/>
      <c r="GP880"/>
      <c r="GQ880"/>
      <c r="GR880"/>
      <c r="GS880"/>
      <c r="GT880"/>
      <c r="GU880"/>
      <c r="GV880"/>
      <c r="GW880"/>
      <c r="GX880"/>
      <c r="GY880"/>
      <c r="GZ880"/>
      <c r="HA880"/>
      <c r="HB880"/>
      <c r="HC880"/>
      <c r="HD880"/>
      <c r="HE880"/>
      <c r="HF880"/>
      <c r="HG880"/>
      <c r="HH880"/>
      <c r="HI880"/>
      <c r="HJ880"/>
      <c r="HK880"/>
      <c r="HL880"/>
      <c r="HM880"/>
      <c r="HN880"/>
      <c r="HO880"/>
      <c r="HP880"/>
      <c r="HQ880"/>
      <c r="HR880"/>
      <c r="HS880"/>
      <c r="HT880"/>
      <c r="HU880"/>
      <c r="HV880"/>
      <c r="HW880"/>
      <c r="HX880"/>
      <c r="HY880"/>
      <c r="HZ880"/>
      <c r="IA880"/>
      <c r="IB880"/>
      <c r="IC880"/>
      <c r="ID880"/>
      <c r="IE880"/>
      <c r="IF880"/>
      <c r="IG880"/>
      <c r="IH880"/>
      <c r="II880"/>
      <c r="IJ880"/>
      <c r="IK880"/>
      <c r="IL880"/>
      <c r="IM880"/>
      <c r="IN880"/>
      <c r="IO880"/>
      <c r="IP880"/>
      <c r="IQ880"/>
      <c r="IR880"/>
      <c r="IS880"/>
      <c r="IT880"/>
      <c r="IU880"/>
      <c r="IV880"/>
      <c r="IW880"/>
      <c r="IX880"/>
    </row>
    <row r="881" spans="1:258" ht="25.5" x14ac:dyDescent="0.2">
      <c r="A881" s="854"/>
      <c r="B881" s="1553" t="s">
        <v>1957</v>
      </c>
      <c r="C881" s="1572">
        <v>0</v>
      </c>
      <c r="D881" s="733">
        <v>0</v>
      </c>
      <c r="E881" s="904">
        <v>0</v>
      </c>
      <c r="F881" s="733">
        <v>0</v>
      </c>
      <c r="G881" s="733">
        <v>0</v>
      </c>
      <c r="H881" s="1176">
        <v>0</v>
      </c>
      <c r="I881" s="1572">
        <v>590000</v>
      </c>
      <c r="J881" s="735"/>
      <c r="K881" s="1367"/>
      <c r="L881" s="848"/>
      <c r="M881" s="887"/>
      <c r="N881" s="843"/>
      <c r="O881"/>
      <c r="P881"/>
      <c r="Q881"/>
      <c r="R881"/>
      <c r="S881"/>
      <c r="T881"/>
      <c r="U881"/>
      <c r="V881"/>
      <c r="W881"/>
      <c r="X881"/>
      <c r="Y881"/>
      <c r="Z881"/>
      <c r="AA881"/>
      <c r="AB881"/>
      <c r="AC881"/>
      <c r="AD881"/>
      <c r="AE881"/>
      <c r="AF881"/>
      <c r="AG881"/>
      <c r="AH881"/>
      <c r="AI881"/>
      <c r="AJ881"/>
      <c r="AK881"/>
      <c r="AL881"/>
      <c r="AM881"/>
      <c r="AN881"/>
      <c r="AO881"/>
      <c r="AP881"/>
      <c r="AQ881"/>
      <c r="AR881"/>
      <c r="AS881"/>
      <c r="AT881"/>
      <c r="AU881"/>
      <c r="AV881"/>
      <c r="AW881"/>
      <c r="AX881"/>
      <c r="AY881"/>
      <c r="AZ881"/>
      <c r="BA881"/>
      <c r="BB881"/>
      <c r="BC881"/>
      <c r="BD881"/>
      <c r="BE881"/>
      <c r="BF881"/>
      <c r="BG881"/>
      <c r="BH881"/>
      <c r="BI881"/>
      <c r="BJ881"/>
      <c r="BK881"/>
      <c r="BL881"/>
      <c r="BM881"/>
      <c r="BN881"/>
      <c r="BO881"/>
      <c r="BP881"/>
      <c r="BQ881"/>
      <c r="BR881"/>
      <c r="BS881"/>
      <c r="BT881"/>
      <c r="BU881"/>
      <c r="BV881"/>
      <c r="BW881"/>
      <c r="BX881"/>
      <c r="BY881"/>
      <c r="BZ881"/>
      <c r="CA881"/>
      <c r="CB881"/>
      <c r="CC881"/>
      <c r="CD881"/>
      <c r="CE881"/>
      <c r="CF881"/>
      <c r="CG881"/>
      <c r="CH881"/>
      <c r="CI881"/>
      <c r="CJ881"/>
      <c r="CK881"/>
      <c r="CL881"/>
      <c r="CM881"/>
      <c r="CN881"/>
      <c r="CO881"/>
      <c r="CP881"/>
      <c r="CQ881"/>
      <c r="CR881"/>
      <c r="CS881"/>
      <c r="CT881"/>
      <c r="CU881"/>
      <c r="CV881"/>
      <c r="CW881"/>
      <c r="CX881"/>
      <c r="CY881"/>
      <c r="CZ881"/>
      <c r="DA881"/>
      <c r="DB881"/>
      <c r="DC881"/>
      <c r="DD881"/>
      <c r="DE881"/>
      <c r="DF881"/>
      <c r="DG881"/>
      <c r="DH881"/>
      <c r="DI881"/>
      <c r="DJ881"/>
      <c r="DK881"/>
      <c r="DL881"/>
      <c r="DM881"/>
      <c r="DN881"/>
      <c r="DO881"/>
      <c r="DP881"/>
      <c r="DQ881"/>
      <c r="DR881"/>
      <c r="DS881"/>
      <c r="DT881"/>
      <c r="DU881"/>
      <c r="DV881"/>
      <c r="DW881"/>
      <c r="DX881"/>
      <c r="DY881"/>
      <c r="DZ881"/>
      <c r="EA881"/>
      <c r="EB881"/>
      <c r="EC881"/>
      <c r="ED881"/>
      <c r="EE881"/>
      <c r="EF881"/>
      <c r="EG881"/>
      <c r="EH881"/>
      <c r="EI881"/>
      <c r="EJ881"/>
      <c r="EK881"/>
      <c r="EL881"/>
      <c r="EM881"/>
      <c r="EN881"/>
      <c r="EO881"/>
      <c r="EP881"/>
      <c r="EQ881"/>
      <c r="ER881"/>
      <c r="ES881"/>
      <c r="ET881"/>
      <c r="EU881"/>
      <c r="EV881"/>
      <c r="EW881"/>
      <c r="EX881"/>
      <c r="EY881"/>
      <c r="EZ881"/>
      <c r="FA881"/>
      <c r="FB881"/>
      <c r="FC881"/>
      <c r="FD881"/>
      <c r="FE881"/>
      <c r="FF881"/>
      <c r="FG881"/>
      <c r="FH881"/>
      <c r="FI881"/>
      <c r="FJ881"/>
      <c r="FK881"/>
      <c r="FL881"/>
      <c r="FM881"/>
      <c r="FN881"/>
      <c r="FO881"/>
      <c r="FP881"/>
      <c r="FQ881"/>
      <c r="FR881"/>
      <c r="FS881"/>
      <c r="FT881"/>
      <c r="FU881"/>
      <c r="FV881"/>
      <c r="FW881"/>
      <c r="FX881"/>
      <c r="FY881"/>
      <c r="FZ881"/>
      <c r="GA881"/>
      <c r="GB881"/>
      <c r="GC881"/>
      <c r="GD881"/>
      <c r="GE881"/>
      <c r="GF881"/>
      <c r="GG881"/>
      <c r="GH881"/>
      <c r="GI881"/>
      <c r="GJ881"/>
      <c r="GK881"/>
      <c r="GL881"/>
      <c r="GM881"/>
      <c r="GN881"/>
      <c r="GO881"/>
      <c r="GP881"/>
      <c r="GQ881"/>
      <c r="GR881"/>
      <c r="GS881"/>
      <c r="GT881"/>
      <c r="GU881"/>
      <c r="GV881"/>
      <c r="GW881"/>
      <c r="GX881"/>
      <c r="GY881"/>
      <c r="GZ881"/>
      <c r="HA881"/>
      <c r="HB881"/>
      <c r="HC881"/>
      <c r="HD881"/>
      <c r="HE881"/>
      <c r="HF881"/>
      <c r="HG881"/>
      <c r="HH881"/>
      <c r="HI881"/>
      <c r="HJ881"/>
      <c r="HK881"/>
      <c r="HL881"/>
      <c r="HM881"/>
      <c r="HN881"/>
      <c r="HO881"/>
      <c r="HP881"/>
      <c r="HQ881"/>
      <c r="HR881"/>
      <c r="HS881"/>
      <c r="HT881"/>
      <c r="HU881"/>
      <c r="HV881"/>
      <c r="HW881"/>
      <c r="HX881"/>
      <c r="HY881"/>
      <c r="HZ881"/>
      <c r="IA881"/>
      <c r="IB881"/>
      <c r="IC881"/>
      <c r="ID881"/>
      <c r="IE881"/>
      <c r="IF881"/>
      <c r="IG881"/>
      <c r="IH881"/>
      <c r="II881"/>
      <c r="IJ881"/>
      <c r="IK881"/>
      <c r="IL881"/>
      <c r="IM881"/>
      <c r="IN881"/>
      <c r="IO881"/>
      <c r="IP881"/>
      <c r="IQ881"/>
      <c r="IR881"/>
      <c r="IS881"/>
      <c r="IT881"/>
      <c r="IU881"/>
      <c r="IV881"/>
      <c r="IW881"/>
      <c r="IX881"/>
    </row>
    <row r="882" spans="1:258" ht="25.5" x14ac:dyDescent="0.2">
      <c r="A882" s="854"/>
      <c r="B882" s="1553" t="s">
        <v>1485</v>
      </c>
      <c r="C882" s="1572">
        <v>330000</v>
      </c>
      <c r="D882" s="733">
        <f>330000-330000+180000</f>
        <v>180000</v>
      </c>
      <c r="E882" s="904">
        <v>460000</v>
      </c>
      <c r="F882" s="733">
        <v>49973</v>
      </c>
      <c r="G882" s="733">
        <v>164386.97</v>
      </c>
      <c r="H882" s="1176">
        <v>49973</v>
      </c>
      <c r="I882" s="1572">
        <v>0</v>
      </c>
      <c r="J882" s="735"/>
      <c r="K882" s="1367"/>
      <c r="L882" s="848"/>
      <c r="M882" s="887"/>
      <c r="N882" s="843"/>
      <c r="O882"/>
      <c r="P882"/>
      <c r="Q882"/>
      <c r="R882"/>
      <c r="S882"/>
      <c r="T882"/>
      <c r="U882"/>
      <c r="V882"/>
      <c r="W882"/>
      <c r="X882"/>
      <c r="Y882"/>
      <c r="Z882"/>
      <c r="AA882"/>
      <c r="AB882"/>
      <c r="AC882"/>
      <c r="AD882"/>
      <c r="AE882"/>
      <c r="AF882"/>
      <c r="AG882"/>
      <c r="AH882"/>
      <c r="AI882"/>
      <c r="AJ882"/>
      <c r="AK882"/>
      <c r="AL882"/>
      <c r="AM882"/>
      <c r="AN882"/>
      <c r="AO882"/>
      <c r="AP882"/>
      <c r="AQ882"/>
      <c r="AR882"/>
      <c r="AS882"/>
      <c r="AT882"/>
      <c r="AU882"/>
      <c r="AV882"/>
      <c r="AW882"/>
      <c r="AX882"/>
      <c r="AY882"/>
      <c r="AZ882"/>
      <c r="BA882"/>
      <c r="BB882"/>
      <c r="BC882"/>
      <c r="BD882"/>
      <c r="BE882"/>
      <c r="BF882"/>
      <c r="BG882"/>
      <c r="BH882"/>
      <c r="BI882"/>
      <c r="BJ882"/>
      <c r="BK882"/>
      <c r="BL882"/>
      <c r="BM882"/>
      <c r="BN882"/>
      <c r="BO882"/>
      <c r="BP882"/>
      <c r="BQ882"/>
      <c r="BR882"/>
      <c r="BS882"/>
      <c r="BT882"/>
      <c r="BU882"/>
      <c r="BV882"/>
      <c r="BW882"/>
      <c r="BX882"/>
      <c r="BY882"/>
      <c r="BZ882"/>
      <c r="CA882"/>
      <c r="CB882"/>
      <c r="CC882"/>
      <c r="CD882"/>
      <c r="CE882"/>
      <c r="CF882"/>
      <c r="CG882"/>
      <c r="CH882"/>
      <c r="CI882"/>
      <c r="CJ882"/>
      <c r="CK882"/>
      <c r="CL882"/>
      <c r="CM882"/>
      <c r="CN882"/>
      <c r="CO882"/>
      <c r="CP882"/>
      <c r="CQ882"/>
      <c r="CR882"/>
      <c r="CS882"/>
      <c r="CT882"/>
      <c r="CU882"/>
      <c r="CV882"/>
      <c r="CW882"/>
      <c r="CX882"/>
      <c r="CY882"/>
      <c r="CZ882"/>
      <c r="DA882"/>
      <c r="DB882"/>
      <c r="DC882"/>
      <c r="DD882"/>
      <c r="DE882"/>
      <c r="DF882"/>
      <c r="DG882"/>
      <c r="DH882"/>
      <c r="DI882"/>
      <c r="DJ882"/>
      <c r="DK882"/>
      <c r="DL882"/>
      <c r="DM882"/>
      <c r="DN882"/>
      <c r="DO882"/>
      <c r="DP882"/>
      <c r="DQ882"/>
      <c r="DR882"/>
      <c r="DS882"/>
      <c r="DT882"/>
      <c r="DU882"/>
      <c r="DV882"/>
      <c r="DW882"/>
      <c r="DX882"/>
      <c r="DY882"/>
      <c r="DZ882"/>
      <c r="EA882"/>
      <c r="EB882"/>
      <c r="EC882"/>
      <c r="ED882"/>
      <c r="EE882"/>
      <c r="EF882"/>
      <c r="EG882"/>
      <c r="EH882"/>
      <c r="EI882"/>
      <c r="EJ882"/>
      <c r="EK882"/>
      <c r="EL882"/>
      <c r="EM882"/>
      <c r="EN882"/>
      <c r="EO882"/>
      <c r="EP882"/>
      <c r="EQ882"/>
      <c r="ER882"/>
      <c r="ES882"/>
      <c r="ET882"/>
      <c r="EU882"/>
      <c r="EV882"/>
      <c r="EW882"/>
      <c r="EX882"/>
      <c r="EY882"/>
      <c r="EZ882"/>
      <c r="FA882"/>
      <c r="FB882"/>
      <c r="FC882"/>
      <c r="FD882"/>
      <c r="FE882"/>
      <c r="FF882"/>
      <c r="FG882"/>
      <c r="FH882"/>
      <c r="FI882"/>
      <c r="FJ882"/>
      <c r="FK882"/>
      <c r="FL882"/>
      <c r="FM882"/>
      <c r="FN882"/>
      <c r="FO882"/>
      <c r="FP882"/>
      <c r="FQ882"/>
      <c r="FR882"/>
      <c r="FS882"/>
      <c r="FT882"/>
      <c r="FU882"/>
      <c r="FV882"/>
      <c r="FW882"/>
      <c r="FX882"/>
      <c r="FY882"/>
      <c r="FZ882"/>
      <c r="GA882"/>
      <c r="GB882"/>
      <c r="GC882"/>
      <c r="GD882"/>
      <c r="GE882"/>
      <c r="GF882"/>
      <c r="GG882"/>
      <c r="GH882"/>
      <c r="GI882"/>
      <c r="GJ882"/>
      <c r="GK882"/>
      <c r="GL882"/>
      <c r="GM882"/>
      <c r="GN882"/>
      <c r="GO882"/>
      <c r="GP882"/>
      <c r="GQ882"/>
      <c r="GR882"/>
      <c r="GS882"/>
      <c r="GT882"/>
      <c r="GU882"/>
      <c r="GV882"/>
      <c r="GW882"/>
      <c r="GX882"/>
      <c r="GY882"/>
      <c r="GZ882"/>
      <c r="HA882"/>
      <c r="HB882"/>
      <c r="HC882"/>
      <c r="HD882"/>
      <c r="HE882"/>
      <c r="HF882"/>
      <c r="HG882"/>
      <c r="HH882"/>
      <c r="HI882"/>
      <c r="HJ882"/>
      <c r="HK882"/>
      <c r="HL882"/>
      <c r="HM882"/>
      <c r="HN882"/>
      <c r="HO882"/>
      <c r="HP882"/>
      <c r="HQ882"/>
      <c r="HR882"/>
      <c r="HS882"/>
      <c r="HT882"/>
      <c r="HU882"/>
      <c r="HV882"/>
      <c r="HW882"/>
      <c r="HX882"/>
      <c r="HY882"/>
      <c r="HZ882"/>
      <c r="IA882"/>
      <c r="IB882"/>
      <c r="IC882"/>
      <c r="ID882"/>
      <c r="IE882"/>
      <c r="IF882"/>
      <c r="IG882"/>
      <c r="IH882"/>
      <c r="II882"/>
      <c r="IJ882"/>
      <c r="IK882"/>
      <c r="IL882"/>
      <c r="IM882"/>
      <c r="IN882"/>
      <c r="IO882"/>
      <c r="IP882"/>
      <c r="IQ882"/>
      <c r="IR882"/>
      <c r="IS882"/>
      <c r="IT882"/>
      <c r="IU882"/>
      <c r="IV882"/>
      <c r="IW882"/>
      <c r="IX882"/>
    </row>
    <row r="883" spans="1:258" ht="12.75" customHeight="1" x14ac:dyDescent="0.2">
      <c r="A883" s="854"/>
      <c r="B883" s="1565" t="s">
        <v>1486</v>
      </c>
      <c r="C883" s="1809">
        <f t="shared" ref="C883:I883" si="186">C884+C885</f>
        <v>3700000</v>
      </c>
      <c r="D883" s="2079">
        <f t="shared" si="186"/>
        <v>3700000</v>
      </c>
      <c r="E883" s="2080">
        <f>E884+E885</f>
        <v>3700000</v>
      </c>
      <c r="F883" s="2079">
        <f t="shared" si="186"/>
        <v>1533320.47</v>
      </c>
      <c r="G883" s="2079">
        <f>G884+G885</f>
        <v>1091520.3700000001</v>
      </c>
      <c r="H883" s="1810">
        <f t="shared" si="186"/>
        <v>593216.39</v>
      </c>
      <c r="I883" s="1809">
        <f t="shared" si="186"/>
        <v>3000000</v>
      </c>
      <c r="J883" s="735"/>
      <c r="K883" s="1367"/>
      <c r="L883" s="848"/>
      <c r="M883" s="887"/>
      <c r="N883" s="843"/>
      <c r="O883"/>
      <c r="P883"/>
      <c r="Q883"/>
      <c r="R883"/>
      <c r="S883"/>
      <c r="T883"/>
      <c r="U883"/>
      <c r="V883"/>
      <c r="W883"/>
      <c r="X883"/>
      <c r="Y883"/>
      <c r="Z883"/>
      <c r="AA883"/>
      <c r="AB883"/>
      <c r="AC883"/>
      <c r="AD883"/>
      <c r="AE883"/>
      <c r="AF883"/>
      <c r="AG883"/>
      <c r="AH883"/>
      <c r="AI883"/>
      <c r="AJ883"/>
      <c r="AK883"/>
      <c r="AL883"/>
      <c r="AM883"/>
      <c r="AN883"/>
      <c r="AO883"/>
      <c r="AP883"/>
      <c r="AQ883"/>
      <c r="AR883"/>
      <c r="AS883"/>
      <c r="AT883"/>
      <c r="AU883"/>
      <c r="AV883"/>
      <c r="AW883"/>
      <c r="AX883"/>
      <c r="AY883"/>
      <c r="AZ883"/>
      <c r="BA883"/>
      <c r="BB883"/>
      <c r="BC883"/>
      <c r="BD883"/>
      <c r="BE883"/>
      <c r="BF883"/>
      <c r="BG883"/>
      <c r="BH883"/>
      <c r="BI883"/>
      <c r="BJ883"/>
      <c r="BK883"/>
      <c r="BL883"/>
      <c r="BM883"/>
      <c r="BN883"/>
      <c r="BO883"/>
      <c r="BP883"/>
      <c r="BQ883"/>
      <c r="BR883"/>
      <c r="BS883"/>
      <c r="BT883"/>
      <c r="BU883"/>
      <c r="BV883"/>
      <c r="BW883"/>
      <c r="BX883"/>
      <c r="BY883"/>
      <c r="BZ883"/>
      <c r="CA883"/>
      <c r="CB883"/>
      <c r="CC883"/>
      <c r="CD883"/>
      <c r="CE883"/>
      <c r="CF883"/>
      <c r="CG883"/>
      <c r="CH883"/>
      <c r="CI883"/>
      <c r="CJ883"/>
      <c r="CK883"/>
      <c r="CL883"/>
      <c r="CM883"/>
      <c r="CN883"/>
      <c r="CO883"/>
      <c r="CP883"/>
      <c r="CQ883"/>
      <c r="CR883"/>
      <c r="CS883"/>
      <c r="CT883"/>
      <c r="CU883"/>
      <c r="CV883"/>
      <c r="CW883"/>
      <c r="CX883"/>
      <c r="CY883"/>
      <c r="CZ883"/>
      <c r="DA883"/>
      <c r="DB883"/>
      <c r="DC883"/>
      <c r="DD883"/>
      <c r="DE883"/>
      <c r="DF883"/>
      <c r="DG883"/>
      <c r="DH883"/>
      <c r="DI883"/>
      <c r="DJ883"/>
      <c r="DK883"/>
      <c r="DL883"/>
      <c r="DM883"/>
      <c r="DN883"/>
      <c r="DO883"/>
      <c r="DP883"/>
      <c r="DQ883"/>
      <c r="DR883"/>
      <c r="DS883"/>
      <c r="DT883"/>
      <c r="DU883"/>
      <c r="DV883"/>
      <c r="DW883"/>
      <c r="DX883"/>
      <c r="DY883"/>
      <c r="DZ883"/>
      <c r="EA883"/>
      <c r="EB883"/>
      <c r="EC883"/>
      <c r="ED883"/>
      <c r="EE883"/>
      <c r="EF883"/>
      <c r="EG883"/>
      <c r="EH883"/>
      <c r="EI883"/>
      <c r="EJ883"/>
      <c r="EK883"/>
      <c r="EL883"/>
      <c r="EM883"/>
      <c r="EN883"/>
      <c r="EO883"/>
      <c r="EP883"/>
      <c r="EQ883"/>
      <c r="ER883"/>
      <c r="ES883"/>
      <c r="ET883"/>
      <c r="EU883"/>
      <c r="EV883"/>
      <c r="EW883"/>
      <c r="EX883"/>
      <c r="EY883"/>
      <c r="EZ883"/>
      <c r="FA883"/>
      <c r="FB883"/>
      <c r="FC883"/>
      <c r="FD883"/>
      <c r="FE883"/>
      <c r="FF883"/>
      <c r="FG883"/>
      <c r="FH883"/>
      <c r="FI883"/>
      <c r="FJ883"/>
      <c r="FK883"/>
      <c r="FL883"/>
      <c r="FM883"/>
      <c r="FN883"/>
      <c r="FO883"/>
      <c r="FP883"/>
      <c r="FQ883"/>
      <c r="FR883"/>
      <c r="FS883"/>
      <c r="FT883"/>
      <c r="FU883"/>
      <c r="FV883"/>
      <c r="FW883"/>
      <c r="FX883"/>
      <c r="FY883"/>
      <c r="FZ883"/>
      <c r="GA883"/>
      <c r="GB883"/>
      <c r="GC883"/>
      <c r="GD883"/>
      <c r="GE883"/>
      <c r="GF883"/>
      <c r="GG883"/>
      <c r="GH883"/>
      <c r="GI883"/>
      <c r="GJ883"/>
      <c r="GK883"/>
      <c r="GL883"/>
      <c r="GM883"/>
      <c r="GN883"/>
      <c r="GO883"/>
      <c r="GP883"/>
      <c r="GQ883"/>
      <c r="GR883"/>
      <c r="GS883"/>
      <c r="GT883"/>
      <c r="GU883"/>
      <c r="GV883"/>
      <c r="GW883"/>
      <c r="GX883"/>
      <c r="GY883"/>
      <c r="GZ883"/>
      <c r="HA883"/>
      <c r="HB883"/>
      <c r="HC883"/>
      <c r="HD883"/>
      <c r="HE883"/>
      <c r="HF883"/>
      <c r="HG883"/>
      <c r="HH883"/>
      <c r="HI883"/>
      <c r="HJ883"/>
      <c r="HK883"/>
      <c r="HL883"/>
      <c r="HM883"/>
      <c r="HN883"/>
      <c r="HO883"/>
      <c r="HP883"/>
      <c r="HQ883"/>
      <c r="HR883"/>
      <c r="HS883"/>
      <c r="HT883"/>
      <c r="HU883"/>
      <c r="HV883"/>
      <c r="HW883"/>
      <c r="HX883"/>
      <c r="HY883"/>
      <c r="HZ883"/>
      <c r="IA883"/>
      <c r="IB883"/>
      <c r="IC883"/>
      <c r="ID883"/>
      <c r="IE883"/>
      <c r="IF883"/>
      <c r="IG883"/>
      <c r="IH883"/>
      <c r="II883"/>
      <c r="IJ883"/>
      <c r="IK883"/>
      <c r="IL883"/>
      <c r="IM883"/>
      <c r="IN883"/>
      <c r="IO883"/>
      <c r="IP883"/>
      <c r="IQ883"/>
      <c r="IR883"/>
      <c r="IS883"/>
      <c r="IT883"/>
      <c r="IU883"/>
      <c r="IV883"/>
      <c r="IW883"/>
      <c r="IX883"/>
    </row>
    <row r="884" spans="1:258" ht="12.75" customHeight="1" x14ac:dyDescent="0.2">
      <c r="A884" s="854"/>
      <c r="B884" s="1826" t="s">
        <v>916</v>
      </c>
      <c r="C884" s="1572">
        <v>2000000</v>
      </c>
      <c r="D884" s="733">
        <v>2000000</v>
      </c>
      <c r="E884" s="904">
        <v>2000000</v>
      </c>
      <c r="F884" s="733">
        <v>1400000</v>
      </c>
      <c r="G884" s="733">
        <v>958199.9</v>
      </c>
      <c r="H884" s="1176">
        <v>459895.92</v>
      </c>
      <c r="I884" s="1572">
        <v>3000000</v>
      </c>
      <c r="J884" s="735"/>
      <c r="K884" s="1367"/>
      <c r="L884" s="848"/>
      <c r="M884" s="887"/>
      <c r="N884" s="843"/>
      <c r="O884"/>
      <c r="P884"/>
      <c r="Q884"/>
      <c r="R884"/>
      <c r="S884"/>
      <c r="T884"/>
      <c r="U884"/>
      <c r="V884"/>
      <c r="W884"/>
      <c r="X884"/>
      <c r="Y884"/>
      <c r="Z884"/>
      <c r="AA884"/>
      <c r="AB884"/>
      <c r="AC884"/>
      <c r="AD884"/>
      <c r="AE884"/>
      <c r="AF884"/>
      <c r="AG884"/>
      <c r="AH884"/>
      <c r="AI884"/>
      <c r="AJ884"/>
      <c r="AK884"/>
      <c r="AL884"/>
      <c r="AM884"/>
      <c r="AN884"/>
      <c r="AO884"/>
      <c r="AP884"/>
      <c r="AQ884"/>
      <c r="AR884"/>
      <c r="AS884"/>
      <c r="AT884"/>
      <c r="AU884"/>
      <c r="AV884"/>
      <c r="AW884"/>
      <c r="AX884"/>
      <c r="AY884"/>
      <c r="AZ884"/>
      <c r="BA884"/>
      <c r="BB884"/>
      <c r="BC884"/>
      <c r="BD884"/>
      <c r="BE884"/>
      <c r="BF884"/>
      <c r="BG884"/>
      <c r="BH884"/>
      <c r="BI884"/>
      <c r="BJ884"/>
      <c r="BK884"/>
      <c r="BL884"/>
      <c r="BM884"/>
      <c r="BN884"/>
      <c r="BO884"/>
      <c r="BP884"/>
      <c r="BQ884"/>
      <c r="BR884"/>
      <c r="BS884"/>
      <c r="BT884"/>
      <c r="BU884"/>
      <c r="BV884"/>
      <c r="BW884"/>
      <c r="BX884"/>
      <c r="BY884"/>
      <c r="BZ884"/>
      <c r="CA884"/>
      <c r="CB884"/>
      <c r="CC884"/>
      <c r="CD884"/>
      <c r="CE884"/>
      <c r="CF884"/>
      <c r="CG884"/>
      <c r="CH884"/>
      <c r="CI884"/>
      <c r="CJ884"/>
      <c r="CK884"/>
      <c r="CL884"/>
      <c r="CM884"/>
      <c r="CN884"/>
      <c r="CO884"/>
      <c r="CP884"/>
      <c r="CQ884"/>
      <c r="CR884"/>
      <c r="CS884"/>
      <c r="CT884"/>
      <c r="CU884"/>
      <c r="CV884"/>
      <c r="CW884"/>
      <c r="CX884"/>
      <c r="CY884"/>
      <c r="CZ884"/>
      <c r="DA884"/>
      <c r="DB884"/>
      <c r="DC884"/>
      <c r="DD884"/>
      <c r="DE884"/>
      <c r="DF884"/>
      <c r="DG884"/>
      <c r="DH884"/>
      <c r="DI884"/>
      <c r="DJ884"/>
      <c r="DK884"/>
      <c r="DL884"/>
      <c r="DM884"/>
      <c r="DN884"/>
      <c r="DO884"/>
      <c r="DP884"/>
      <c r="DQ884"/>
      <c r="DR884"/>
      <c r="DS884"/>
      <c r="DT884"/>
      <c r="DU884"/>
      <c r="DV884"/>
      <c r="DW884"/>
      <c r="DX884"/>
      <c r="DY884"/>
      <c r="DZ884"/>
      <c r="EA884"/>
      <c r="EB884"/>
      <c r="EC884"/>
      <c r="ED884"/>
      <c r="EE884"/>
      <c r="EF884"/>
      <c r="EG884"/>
      <c r="EH884"/>
      <c r="EI884"/>
      <c r="EJ884"/>
      <c r="EK884"/>
      <c r="EL884"/>
      <c r="EM884"/>
      <c r="EN884"/>
      <c r="EO884"/>
      <c r="EP884"/>
      <c r="EQ884"/>
      <c r="ER884"/>
      <c r="ES884"/>
      <c r="ET884"/>
      <c r="EU884"/>
      <c r="EV884"/>
      <c r="EW884"/>
      <c r="EX884"/>
      <c r="EY884"/>
      <c r="EZ884"/>
      <c r="FA884"/>
      <c r="FB884"/>
      <c r="FC884"/>
      <c r="FD884"/>
      <c r="FE884"/>
      <c r="FF884"/>
      <c r="FG884"/>
      <c r="FH884"/>
      <c r="FI884"/>
      <c r="FJ884"/>
      <c r="FK884"/>
      <c r="FL884"/>
      <c r="FM884"/>
      <c r="FN884"/>
      <c r="FO884"/>
      <c r="FP884"/>
      <c r="FQ884"/>
      <c r="FR884"/>
      <c r="FS884"/>
      <c r="FT884"/>
      <c r="FU884"/>
      <c r="FV884"/>
      <c r="FW884"/>
      <c r="FX884"/>
      <c r="FY884"/>
      <c r="FZ884"/>
      <c r="GA884"/>
      <c r="GB884"/>
      <c r="GC884"/>
      <c r="GD884"/>
      <c r="GE884"/>
      <c r="GF884"/>
      <c r="GG884"/>
      <c r="GH884"/>
      <c r="GI884"/>
      <c r="GJ884"/>
      <c r="GK884"/>
      <c r="GL884"/>
      <c r="GM884"/>
      <c r="GN884"/>
      <c r="GO884"/>
      <c r="GP884"/>
      <c r="GQ884"/>
      <c r="GR884"/>
      <c r="GS884"/>
      <c r="GT884"/>
      <c r="GU884"/>
      <c r="GV884"/>
      <c r="GW884"/>
      <c r="GX884"/>
      <c r="GY884"/>
      <c r="GZ884"/>
      <c r="HA884"/>
      <c r="HB884"/>
      <c r="HC884"/>
      <c r="HD884"/>
      <c r="HE884"/>
      <c r="HF884"/>
      <c r="HG884"/>
      <c r="HH884"/>
      <c r="HI884"/>
      <c r="HJ884"/>
      <c r="HK884"/>
      <c r="HL884"/>
      <c r="HM884"/>
      <c r="HN884"/>
      <c r="HO884"/>
      <c r="HP884"/>
      <c r="HQ884"/>
      <c r="HR884"/>
      <c r="HS884"/>
      <c r="HT884"/>
      <c r="HU884"/>
      <c r="HV884"/>
      <c r="HW884"/>
      <c r="HX884"/>
      <c r="HY884"/>
      <c r="HZ884"/>
      <c r="IA884"/>
      <c r="IB884"/>
      <c r="IC884"/>
      <c r="ID884"/>
      <c r="IE884"/>
      <c r="IF884"/>
      <c r="IG884"/>
      <c r="IH884"/>
      <c r="II884"/>
      <c r="IJ884"/>
      <c r="IK884"/>
      <c r="IL884"/>
      <c r="IM884"/>
      <c r="IN884"/>
      <c r="IO884"/>
      <c r="IP884"/>
      <c r="IQ884"/>
      <c r="IR884"/>
      <c r="IS884"/>
      <c r="IT884"/>
      <c r="IU884"/>
      <c r="IV884"/>
      <c r="IW884"/>
      <c r="IX884"/>
    </row>
    <row r="885" spans="1:258" ht="12.75" customHeight="1" x14ac:dyDescent="0.2">
      <c r="A885" s="851"/>
      <c r="B885" s="1567" t="s">
        <v>1086</v>
      </c>
      <c r="C885" s="1572">
        <f t="shared" ref="C885:I885" si="187">C886</f>
        <v>1700000</v>
      </c>
      <c r="D885" s="733">
        <f t="shared" si="187"/>
        <v>1700000</v>
      </c>
      <c r="E885" s="904">
        <f t="shared" si="187"/>
        <v>1700000</v>
      </c>
      <c r="F885" s="733">
        <f t="shared" si="187"/>
        <v>133320.47</v>
      </c>
      <c r="G885" s="733">
        <f t="shared" si="187"/>
        <v>133320.47</v>
      </c>
      <c r="H885" s="1176">
        <f t="shared" si="187"/>
        <v>133320.47</v>
      </c>
      <c r="I885" s="1572">
        <f t="shared" si="187"/>
        <v>0</v>
      </c>
      <c r="J885" s="1418"/>
      <c r="K885" s="1367"/>
      <c r="L885" s="848"/>
      <c r="M885" s="887"/>
      <c r="N885" s="843"/>
      <c r="O885"/>
      <c r="P885"/>
      <c r="Q885"/>
      <c r="R885"/>
      <c r="S885"/>
      <c r="T885"/>
      <c r="U885"/>
      <c r="V885"/>
      <c r="W885"/>
      <c r="X885"/>
      <c r="Y885"/>
      <c r="Z885"/>
      <c r="AA885"/>
      <c r="AB885"/>
      <c r="AC885"/>
      <c r="AD885"/>
      <c r="AE885"/>
      <c r="AF885"/>
      <c r="AG885"/>
      <c r="AH885"/>
      <c r="AI885"/>
      <c r="AJ885"/>
      <c r="AK885"/>
      <c r="AL885"/>
      <c r="AM885"/>
      <c r="AN885"/>
      <c r="AO885"/>
      <c r="AP885"/>
      <c r="AQ885"/>
      <c r="AR885"/>
      <c r="AS885"/>
      <c r="AT885"/>
      <c r="AU885"/>
      <c r="AV885"/>
      <c r="AW885"/>
      <c r="AX885"/>
      <c r="AY885"/>
      <c r="AZ885"/>
      <c r="BA885"/>
      <c r="BB885"/>
      <c r="BC885"/>
      <c r="BD885"/>
      <c r="BE885"/>
      <c r="BF885"/>
      <c r="BG885"/>
      <c r="BH885"/>
      <c r="BI885"/>
      <c r="BJ885"/>
      <c r="BK885"/>
      <c r="BL885"/>
      <c r="BM885"/>
      <c r="BN885"/>
      <c r="BO885"/>
      <c r="BP885"/>
      <c r="BQ885"/>
      <c r="BR885"/>
      <c r="BS885"/>
      <c r="BT885"/>
      <c r="BU885"/>
      <c r="BV885"/>
      <c r="BW885"/>
      <c r="BX885"/>
      <c r="BY885"/>
      <c r="BZ885"/>
      <c r="CA885"/>
      <c r="CB885"/>
      <c r="CC885"/>
      <c r="CD885"/>
      <c r="CE885"/>
      <c r="CF885"/>
      <c r="CG885"/>
      <c r="CH885"/>
      <c r="CI885"/>
      <c r="CJ885"/>
      <c r="CK885"/>
      <c r="CL885"/>
      <c r="CM885"/>
      <c r="CN885"/>
      <c r="CO885"/>
      <c r="CP885"/>
      <c r="CQ885"/>
      <c r="CR885"/>
      <c r="CS885"/>
      <c r="CT885"/>
      <c r="CU885"/>
      <c r="CV885"/>
      <c r="CW885"/>
      <c r="CX885"/>
      <c r="CY885"/>
      <c r="CZ885"/>
      <c r="DA885"/>
      <c r="DB885"/>
      <c r="DC885"/>
      <c r="DD885"/>
      <c r="DE885"/>
      <c r="DF885"/>
      <c r="DG885"/>
      <c r="DH885"/>
      <c r="DI885"/>
      <c r="DJ885"/>
      <c r="DK885"/>
      <c r="DL885"/>
      <c r="DM885"/>
      <c r="DN885"/>
      <c r="DO885"/>
      <c r="DP885"/>
      <c r="DQ885"/>
      <c r="DR885"/>
      <c r="DS885"/>
      <c r="DT885"/>
      <c r="DU885"/>
      <c r="DV885"/>
      <c r="DW885"/>
      <c r="DX885"/>
      <c r="DY885"/>
      <c r="DZ885"/>
      <c r="EA885"/>
      <c r="EB885"/>
      <c r="EC885"/>
      <c r="ED885"/>
      <c r="EE885"/>
      <c r="EF885"/>
      <c r="EG885"/>
      <c r="EH885"/>
      <c r="EI885"/>
      <c r="EJ885"/>
      <c r="EK885"/>
      <c r="EL885"/>
      <c r="EM885"/>
      <c r="EN885"/>
      <c r="EO885"/>
      <c r="EP885"/>
      <c r="EQ885"/>
      <c r="ER885"/>
      <c r="ES885"/>
      <c r="ET885"/>
      <c r="EU885"/>
      <c r="EV885"/>
      <c r="EW885"/>
      <c r="EX885"/>
      <c r="EY885"/>
      <c r="EZ885"/>
      <c r="FA885"/>
      <c r="FB885"/>
      <c r="FC885"/>
      <c r="FD885"/>
      <c r="FE885"/>
      <c r="FF885"/>
      <c r="FG885"/>
      <c r="FH885"/>
      <c r="FI885"/>
      <c r="FJ885"/>
      <c r="FK885"/>
      <c r="FL885"/>
      <c r="FM885"/>
      <c r="FN885"/>
      <c r="FO885"/>
      <c r="FP885"/>
      <c r="FQ885"/>
      <c r="FR885"/>
      <c r="FS885"/>
      <c r="FT885"/>
      <c r="FU885"/>
      <c r="FV885"/>
      <c r="FW885"/>
      <c r="FX885"/>
      <c r="FY885"/>
      <c r="FZ885"/>
      <c r="GA885"/>
      <c r="GB885"/>
      <c r="GC885"/>
      <c r="GD885"/>
      <c r="GE885"/>
      <c r="GF885"/>
      <c r="GG885"/>
      <c r="GH885"/>
      <c r="GI885"/>
      <c r="GJ885"/>
      <c r="GK885"/>
      <c r="GL885"/>
      <c r="GM885"/>
      <c r="GN885"/>
      <c r="GO885"/>
      <c r="GP885"/>
      <c r="GQ885"/>
      <c r="GR885"/>
      <c r="GS885"/>
      <c r="GT885"/>
      <c r="GU885"/>
      <c r="GV885"/>
      <c r="GW885"/>
      <c r="GX885"/>
      <c r="GY885"/>
      <c r="GZ885"/>
      <c r="HA885"/>
      <c r="HB885"/>
      <c r="HC885"/>
      <c r="HD885"/>
      <c r="HE885"/>
      <c r="HF885"/>
      <c r="HG885"/>
      <c r="HH885"/>
      <c r="HI885"/>
      <c r="HJ885"/>
      <c r="HK885"/>
      <c r="HL885"/>
      <c r="HM885"/>
      <c r="HN885"/>
      <c r="HO885"/>
      <c r="HP885"/>
      <c r="HQ885"/>
      <c r="HR885"/>
      <c r="HS885"/>
      <c r="HT885"/>
      <c r="HU885"/>
      <c r="HV885"/>
      <c r="HW885"/>
      <c r="HX885"/>
      <c r="HY885"/>
      <c r="HZ885"/>
      <c r="IA885"/>
      <c r="IB885"/>
      <c r="IC885"/>
      <c r="ID885"/>
      <c r="IE885"/>
      <c r="IF885"/>
      <c r="IG885"/>
      <c r="IH885"/>
      <c r="II885"/>
      <c r="IJ885"/>
      <c r="IK885"/>
      <c r="IL885"/>
      <c r="IM885"/>
      <c r="IN885"/>
      <c r="IO885"/>
      <c r="IP885"/>
      <c r="IQ885"/>
      <c r="IR885"/>
      <c r="IS885"/>
      <c r="IT885"/>
      <c r="IU885"/>
      <c r="IV885"/>
      <c r="IW885"/>
      <c r="IX885"/>
    </row>
    <row r="886" spans="1:258" ht="12.75" customHeight="1" x14ac:dyDescent="0.2">
      <c r="A886" s="851"/>
      <c r="B886" s="1567" t="s">
        <v>1487</v>
      </c>
      <c r="C886" s="1572">
        <v>1700000</v>
      </c>
      <c r="D886" s="733">
        <v>1700000</v>
      </c>
      <c r="E886" s="904">
        <v>1700000</v>
      </c>
      <c r="F886" s="733">
        <v>133320.47</v>
      </c>
      <c r="G886" s="733">
        <v>133320.47</v>
      </c>
      <c r="H886" s="1176">
        <v>133320.47</v>
      </c>
      <c r="I886" s="1572">
        <v>0</v>
      </c>
      <c r="J886" s="1418"/>
      <c r="K886" s="1367"/>
      <c r="L886" s="848"/>
      <c r="M886" s="887"/>
      <c r="N886" s="843"/>
      <c r="O886"/>
      <c r="P886"/>
      <c r="Q886"/>
      <c r="R886"/>
      <c r="S886"/>
      <c r="T886"/>
      <c r="U886"/>
      <c r="V886"/>
      <c r="W886"/>
      <c r="X886"/>
      <c r="Y886"/>
      <c r="Z886"/>
      <c r="AA886"/>
      <c r="AB886"/>
      <c r="AC886"/>
      <c r="AD886"/>
      <c r="AE886"/>
      <c r="AF886"/>
      <c r="AG886"/>
      <c r="AH886"/>
      <c r="AI886"/>
      <c r="AJ886"/>
      <c r="AK886"/>
      <c r="AL886"/>
      <c r="AM886"/>
      <c r="AN886"/>
      <c r="AO886"/>
      <c r="AP886"/>
      <c r="AQ886"/>
      <c r="AR886"/>
      <c r="AS886"/>
      <c r="AT886"/>
      <c r="AU886"/>
      <c r="AV886"/>
      <c r="AW886"/>
      <c r="AX886"/>
      <c r="AY886"/>
      <c r="AZ886"/>
      <c r="BA886"/>
      <c r="BB886"/>
      <c r="BC886"/>
      <c r="BD886"/>
      <c r="BE886"/>
      <c r="BF886"/>
      <c r="BG886"/>
      <c r="BH886"/>
      <c r="BI886"/>
      <c r="BJ886"/>
      <c r="BK886"/>
      <c r="BL886"/>
      <c r="BM886"/>
      <c r="BN886"/>
      <c r="BO886"/>
      <c r="BP886"/>
      <c r="BQ886"/>
      <c r="BR886"/>
      <c r="BS886"/>
      <c r="BT886"/>
      <c r="BU886"/>
      <c r="BV886"/>
      <c r="BW886"/>
      <c r="BX886"/>
      <c r="BY886"/>
      <c r="BZ886"/>
      <c r="CA886"/>
      <c r="CB886"/>
      <c r="CC886"/>
      <c r="CD886"/>
      <c r="CE886"/>
      <c r="CF886"/>
      <c r="CG886"/>
      <c r="CH886"/>
      <c r="CI886"/>
      <c r="CJ886"/>
      <c r="CK886"/>
      <c r="CL886"/>
      <c r="CM886"/>
      <c r="CN886"/>
      <c r="CO886"/>
      <c r="CP886"/>
      <c r="CQ886"/>
      <c r="CR886"/>
      <c r="CS886"/>
      <c r="CT886"/>
      <c r="CU886"/>
      <c r="CV886"/>
      <c r="CW886"/>
      <c r="CX886"/>
      <c r="CY886"/>
      <c r="CZ886"/>
      <c r="DA886"/>
      <c r="DB886"/>
      <c r="DC886"/>
      <c r="DD886"/>
      <c r="DE886"/>
      <c r="DF886"/>
      <c r="DG886"/>
      <c r="DH886"/>
      <c r="DI886"/>
      <c r="DJ886"/>
      <c r="DK886"/>
      <c r="DL886"/>
      <c r="DM886"/>
      <c r="DN886"/>
      <c r="DO886"/>
      <c r="DP886"/>
      <c r="DQ886"/>
      <c r="DR886"/>
      <c r="DS886"/>
      <c r="DT886"/>
      <c r="DU886"/>
      <c r="DV886"/>
      <c r="DW886"/>
      <c r="DX886"/>
      <c r="DY886"/>
      <c r="DZ886"/>
      <c r="EA886"/>
      <c r="EB886"/>
      <c r="EC886"/>
      <c r="ED886"/>
      <c r="EE886"/>
      <c r="EF886"/>
      <c r="EG886"/>
      <c r="EH886"/>
      <c r="EI886"/>
      <c r="EJ886"/>
      <c r="EK886"/>
      <c r="EL886"/>
      <c r="EM886"/>
      <c r="EN886"/>
      <c r="EO886"/>
      <c r="EP886"/>
      <c r="EQ886"/>
      <c r="ER886"/>
      <c r="ES886"/>
      <c r="ET886"/>
      <c r="EU886"/>
      <c r="EV886"/>
      <c r="EW886"/>
      <c r="EX886"/>
      <c r="EY886"/>
      <c r="EZ886"/>
      <c r="FA886"/>
      <c r="FB886"/>
      <c r="FC886"/>
      <c r="FD886"/>
      <c r="FE886"/>
      <c r="FF886"/>
      <c r="FG886"/>
      <c r="FH886"/>
      <c r="FI886"/>
      <c r="FJ886"/>
      <c r="FK886"/>
      <c r="FL886"/>
      <c r="FM886"/>
      <c r="FN886"/>
      <c r="FO886"/>
      <c r="FP886"/>
      <c r="FQ886"/>
      <c r="FR886"/>
      <c r="FS886"/>
      <c r="FT886"/>
      <c r="FU886"/>
      <c r="FV886"/>
      <c r="FW886"/>
      <c r="FX886"/>
      <c r="FY886"/>
      <c r="FZ886"/>
      <c r="GA886"/>
      <c r="GB886"/>
      <c r="GC886"/>
      <c r="GD886"/>
      <c r="GE886"/>
      <c r="GF886"/>
      <c r="GG886"/>
      <c r="GH886"/>
      <c r="GI886"/>
      <c r="GJ886"/>
      <c r="GK886"/>
      <c r="GL886"/>
      <c r="GM886"/>
      <c r="GN886"/>
      <c r="GO886"/>
      <c r="GP886"/>
      <c r="GQ886"/>
      <c r="GR886"/>
      <c r="GS886"/>
      <c r="GT886"/>
      <c r="GU886"/>
      <c r="GV886"/>
      <c r="GW886"/>
      <c r="GX886"/>
      <c r="GY886"/>
      <c r="GZ886"/>
      <c r="HA886"/>
      <c r="HB886"/>
      <c r="HC886"/>
      <c r="HD886"/>
      <c r="HE886"/>
      <c r="HF886"/>
      <c r="HG886"/>
      <c r="HH886"/>
      <c r="HI886"/>
      <c r="HJ886"/>
      <c r="HK886"/>
      <c r="HL886"/>
      <c r="HM886"/>
      <c r="HN886"/>
      <c r="HO886"/>
      <c r="HP886"/>
      <c r="HQ886"/>
      <c r="HR886"/>
      <c r="HS886"/>
      <c r="HT886"/>
      <c r="HU886"/>
      <c r="HV886"/>
      <c r="HW886"/>
      <c r="HX886"/>
      <c r="HY886"/>
      <c r="HZ886"/>
      <c r="IA886"/>
      <c r="IB886"/>
      <c r="IC886"/>
      <c r="ID886"/>
      <c r="IE886"/>
      <c r="IF886"/>
      <c r="IG886"/>
      <c r="IH886"/>
      <c r="II886"/>
      <c r="IJ886"/>
      <c r="IK886"/>
      <c r="IL886"/>
      <c r="IM886"/>
      <c r="IN886"/>
      <c r="IO886"/>
      <c r="IP886"/>
      <c r="IQ886"/>
      <c r="IR886"/>
      <c r="IS886"/>
      <c r="IT886"/>
      <c r="IU886"/>
      <c r="IV886"/>
      <c r="IW886"/>
      <c r="IX886"/>
    </row>
    <row r="887" spans="1:258" ht="12.75" customHeight="1" x14ac:dyDescent="0.2">
      <c r="A887" s="854"/>
      <c r="B887" s="2084" t="s">
        <v>1141</v>
      </c>
      <c r="C887" s="2079">
        <f t="shared" ref="C887:I887" si="188">SUM(C888:C889)</f>
        <v>3270000</v>
      </c>
      <c r="D887" s="2079">
        <f t="shared" si="188"/>
        <v>3270000</v>
      </c>
      <c r="E887" s="2080">
        <f t="shared" si="188"/>
        <v>3280000</v>
      </c>
      <c r="F887" s="2079">
        <f t="shared" si="188"/>
        <v>1121665.03</v>
      </c>
      <c r="G887" s="2079">
        <f>SUM(G888:G889)</f>
        <v>594070.41999999993</v>
      </c>
      <c r="H887" s="1810">
        <f t="shared" si="188"/>
        <v>463049.39</v>
      </c>
      <c r="I887" s="1809">
        <f t="shared" si="188"/>
        <v>1350000</v>
      </c>
      <c r="J887" s="735"/>
      <c r="K887" s="1367"/>
      <c r="L887" s="848"/>
      <c r="M887" s="887"/>
      <c r="N887" s="843"/>
      <c r="O887"/>
      <c r="P887"/>
      <c r="Q887"/>
      <c r="R887"/>
      <c r="S887"/>
      <c r="T887"/>
      <c r="U887"/>
      <c r="V887"/>
      <c r="W887"/>
      <c r="X887"/>
      <c r="Y887"/>
      <c r="Z887"/>
      <c r="AA887"/>
      <c r="AB887"/>
      <c r="AC887"/>
      <c r="AD887"/>
      <c r="AE887"/>
      <c r="AF887"/>
      <c r="AG887"/>
      <c r="AH887"/>
      <c r="AI887"/>
      <c r="AJ887"/>
      <c r="AK887"/>
      <c r="AL887"/>
      <c r="AM887"/>
      <c r="AN887"/>
      <c r="AO887"/>
      <c r="AP887"/>
      <c r="AQ887"/>
      <c r="AR887"/>
      <c r="AS887"/>
      <c r="AT887"/>
      <c r="AU887"/>
      <c r="AV887"/>
      <c r="AW887"/>
      <c r="AX887"/>
      <c r="AY887"/>
      <c r="AZ887"/>
      <c r="BA887"/>
      <c r="BB887"/>
      <c r="BC887"/>
      <c r="BD887"/>
      <c r="BE887"/>
      <c r="BF887"/>
      <c r="BG887"/>
      <c r="BH887"/>
      <c r="BI887"/>
      <c r="BJ887"/>
      <c r="BK887"/>
      <c r="BL887"/>
      <c r="BM887"/>
      <c r="BN887"/>
      <c r="BO887"/>
      <c r="BP887"/>
      <c r="BQ887"/>
      <c r="BR887"/>
      <c r="BS887"/>
      <c r="BT887"/>
      <c r="BU887"/>
      <c r="BV887"/>
      <c r="BW887"/>
      <c r="BX887"/>
      <c r="BY887"/>
      <c r="BZ887"/>
      <c r="CA887"/>
      <c r="CB887"/>
      <c r="CC887"/>
      <c r="CD887"/>
      <c r="CE887"/>
      <c r="CF887"/>
      <c r="CG887"/>
      <c r="CH887"/>
      <c r="CI887"/>
      <c r="CJ887"/>
      <c r="CK887"/>
      <c r="CL887"/>
      <c r="CM887"/>
      <c r="CN887"/>
      <c r="CO887"/>
      <c r="CP887"/>
      <c r="CQ887"/>
      <c r="CR887"/>
      <c r="CS887"/>
      <c r="CT887"/>
      <c r="CU887"/>
      <c r="CV887"/>
      <c r="CW887"/>
      <c r="CX887"/>
      <c r="CY887"/>
      <c r="CZ887"/>
      <c r="DA887"/>
      <c r="DB887"/>
      <c r="DC887"/>
      <c r="DD887"/>
      <c r="DE887"/>
      <c r="DF887"/>
      <c r="DG887"/>
      <c r="DH887"/>
      <c r="DI887"/>
      <c r="DJ887"/>
      <c r="DK887"/>
      <c r="DL887"/>
      <c r="DM887"/>
      <c r="DN887"/>
      <c r="DO887"/>
      <c r="DP887"/>
      <c r="DQ887"/>
      <c r="DR887"/>
      <c r="DS887"/>
      <c r="DT887"/>
      <c r="DU887"/>
      <c r="DV887"/>
      <c r="DW887"/>
      <c r="DX887"/>
      <c r="DY887"/>
      <c r="DZ887"/>
      <c r="EA887"/>
      <c r="EB887"/>
      <c r="EC887"/>
      <c r="ED887"/>
      <c r="EE887"/>
      <c r="EF887"/>
      <c r="EG887"/>
      <c r="EH887"/>
      <c r="EI887"/>
      <c r="EJ887"/>
      <c r="EK887"/>
      <c r="EL887"/>
      <c r="EM887"/>
      <c r="EN887"/>
      <c r="EO887"/>
      <c r="EP887"/>
      <c r="EQ887"/>
      <c r="ER887"/>
      <c r="ES887"/>
      <c r="ET887"/>
      <c r="EU887"/>
      <c r="EV887"/>
      <c r="EW887"/>
      <c r="EX887"/>
      <c r="EY887"/>
      <c r="EZ887"/>
      <c r="FA887"/>
      <c r="FB887"/>
      <c r="FC887"/>
      <c r="FD887"/>
      <c r="FE887"/>
      <c r="FF887"/>
      <c r="FG887"/>
      <c r="FH887"/>
      <c r="FI887"/>
      <c r="FJ887"/>
      <c r="FK887"/>
      <c r="FL887"/>
      <c r="FM887"/>
      <c r="FN887"/>
      <c r="FO887"/>
      <c r="FP887"/>
      <c r="FQ887"/>
      <c r="FR887"/>
      <c r="FS887"/>
      <c r="FT887"/>
      <c r="FU887"/>
      <c r="FV887"/>
      <c r="FW887"/>
      <c r="FX887"/>
      <c r="FY887"/>
      <c r="FZ887"/>
      <c r="GA887"/>
      <c r="GB887"/>
      <c r="GC887"/>
      <c r="GD887"/>
      <c r="GE887"/>
      <c r="GF887"/>
      <c r="GG887"/>
      <c r="GH887"/>
      <c r="GI887"/>
      <c r="GJ887"/>
      <c r="GK887"/>
      <c r="GL887"/>
      <c r="GM887"/>
      <c r="GN887"/>
      <c r="GO887"/>
      <c r="GP887"/>
      <c r="GQ887"/>
      <c r="GR887"/>
      <c r="GS887"/>
      <c r="GT887"/>
      <c r="GU887"/>
      <c r="GV887"/>
      <c r="GW887"/>
      <c r="GX887"/>
      <c r="GY887"/>
      <c r="GZ887"/>
      <c r="HA887"/>
      <c r="HB887"/>
      <c r="HC887"/>
      <c r="HD887"/>
      <c r="HE887"/>
      <c r="HF887"/>
      <c r="HG887"/>
      <c r="HH887"/>
      <c r="HI887"/>
      <c r="HJ887"/>
      <c r="HK887"/>
      <c r="HL887"/>
      <c r="HM887"/>
      <c r="HN887"/>
      <c r="HO887"/>
      <c r="HP887"/>
      <c r="HQ887"/>
      <c r="HR887"/>
      <c r="HS887"/>
      <c r="HT887"/>
      <c r="HU887"/>
      <c r="HV887"/>
      <c r="HW887"/>
      <c r="HX887"/>
      <c r="HY887"/>
      <c r="HZ887"/>
      <c r="IA887"/>
      <c r="IB887"/>
      <c r="IC887"/>
      <c r="ID887"/>
      <c r="IE887"/>
      <c r="IF887"/>
      <c r="IG887"/>
      <c r="IH887"/>
      <c r="II887"/>
      <c r="IJ887"/>
      <c r="IK887"/>
      <c r="IL887"/>
      <c r="IM887"/>
      <c r="IN887"/>
      <c r="IO887"/>
      <c r="IP887"/>
      <c r="IQ887"/>
      <c r="IR887"/>
      <c r="IS887"/>
      <c r="IT887"/>
      <c r="IU887"/>
      <c r="IV887"/>
      <c r="IW887"/>
      <c r="IX887"/>
    </row>
    <row r="888" spans="1:258" ht="12.75" customHeight="1" x14ac:dyDescent="0.2">
      <c r="A888" s="854"/>
      <c r="B888" s="1828" t="s">
        <v>927</v>
      </c>
      <c r="C888" s="1572">
        <v>1000000</v>
      </c>
      <c r="D888" s="733">
        <v>1000000</v>
      </c>
      <c r="E888" s="904">
        <v>900000</v>
      </c>
      <c r="F888" s="733">
        <v>820000</v>
      </c>
      <c r="G888" s="733">
        <v>379037.69</v>
      </c>
      <c r="H888" s="1176">
        <v>311384.36</v>
      </c>
      <c r="I888" s="1572">
        <v>0</v>
      </c>
      <c r="J888" s="735"/>
      <c r="K888" s="1367"/>
      <c r="L888" s="848"/>
      <c r="M888" s="887"/>
      <c r="N888" s="843"/>
      <c r="O888"/>
      <c r="P888"/>
      <c r="Q888"/>
      <c r="R888"/>
      <c r="S888"/>
      <c r="T888"/>
      <c r="U888"/>
      <c r="V888"/>
      <c r="W888"/>
      <c r="X888"/>
      <c r="Y888"/>
      <c r="Z888"/>
      <c r="AA888"/>
      <c r="AB888"/>
      <c r="AC888"/>
      <c r="AD888"/>
      <c r="AE888"/>
      <c r="AF888"/>
      <c r="AG888"/>
      <c r="AH888"/>
      <c r="AI888"/>
      <c r="AJ888"/>
      <c r="AK888"/>
      <c r="AL888"/>
      <c r="AM888"/>
      <c r="AN888"/>
      <c r="AO888"/>
      <c r="AP888"/>
      <c r="AQ888"/>
      <c r="AR888"/>
      <c r="AS888"/>
      <c r="AT888"/>
      <c r="AU888"/>
      <c r="AV888"/>
      <c r="AW888"/>
      <c r="AX888"/>
      <c r="AY888"/>
      <c r="AZ888"/>
      <c r="BA888"/>
      <c r="BB888"/>
      <c r="BC888"/>
      <c r="BD888"/>
      <c r="BE888"/>
      <c r="BF888"/>
      <c r="BG888"/>
      <c r="BH888"/>
      <c r="BI888"/>
      <c r="BJ888"/>
      <c r="BK888"/>
      <c r="BL888"/>
      <c r="BM888"/>
      <c r="BN888"/>
      <c r="BO888"/>
      <c r="BP888"/>
      <c r="BQ888"/>
      <c r="BR888"/>
      <c r="BS888"/>
      <c r="BT888"/>
      <c r="BU888"/>
      <c r="BV888"/>
      <c r="BW888"/>
      <c r="BX888"/>
      <c r="BY888"/>
      <c r="BZ888"/>
      <c r="CA888"/>
      <c r="CB888"/>
      <c r="CC888"/>
      <c r="CD888"/>
      <c r="CE888"/>
      <c r="CF888"/>
      <c r="CG888"/>
      <c r="CH888"/>
      <c r="CI888"/>
      <c r="CJ888"/>
      <c r="CK888"/>
      <c r="CL888"/>
      <c r="CM888"/>
      <c r="CN888"/>
      <c r="CO888"/>
      <c r="CP888"/>
      <c r="CQ888"/>
      <c r="CR888"/>
      <c r="CS888"/>
      <c r="CT888"/>
      <c r="CU888"/>
      <c r="CV888"/>
      <c r="CW888"/>
      <c r="CX888"/>
      <c r="CY888"/>
      <c r="CZ888"/>
      <c r="DA888"/>
      <c r="DB888"/>
      <c r="DC888"/>
      <c r="DD888"/>
      <c r="DE888"/>
      <c r="DF888"/>
      <c r="DG888"/>
      <c r="DH888"/>
      <c r="DI888"/>
      <c r="DJ888"/>
      <c r="DK888"/>
      <c r="DL888"/>
      <c r="DM888"/>
      <c r="DN888"/>
      <c r="DO888"/>
      <c r="DP888"/>
      <c r="DQ888"/>
      <c r="DR888"/>
      <c r="DS888"/>
      <c r="DT888"/>
      <c r="DU888"/>
      <c r="DV888"/>
      <c r="DW888"/>
      <c r="DX888"/>
      <c r="DY888"/>
      <c r="DZ888"/>
      <c r="EA888"/>
      <c r="EB888"/>
      <c r="EC888"/>
      <c r="ED888"/>
      <c r="EE888"/>
      <c r="EF888"/>
      <c r="EG888"/>
      <c r="EH888"/>
      <c r="EI888"/>
      <c r="EJ888"/>
      <c r="EK888"/>
      <c r="EL888"/>
      <c r="EM888"/>
      <c r="EN888"/>
      <c r="EO888"/>
      <c r="EP888"/>
      <c r="EQ888"/>
      <c r="ER888"/>
      <c r="ES888"/>
      <c r="ET888"/>
      <c r="EU888"/>
      <c r="EV888"/>
      <c r="EW888"/>
      <c r="EX888"/>
      <c r="EY888"/>
      <c r="EZ888"/>
      <c r="FA888"/>
      <c r="FB888"/>
      <c r="FC888"/>
      <c r="FD888"/>
      <c r="FE888"/>
      <c r="FF888"/>
      <c r="FG888"/>
      <c r="FH888"/>
      <c r="FI888"/>
      <c r="FJ888"/>
      <c r="FK888"/>
      <c r="FL888"/>
      <c r="FM888"/>
      <c r="FN888"/>
      <c r="FO888"/>
      <c r="FP888"/>
      <c r="FQ888"/>
      <c r="FR888"/>
      <c r="FS888"/>
      <c r="FT888"/>
      <c r="FU888"/>
      <c r="FV888"/>
      <c r="FW888"/>
      <c r="FX888"/>
      <c r="FY888"/>
      <c r="FZ888"/>
      <c r="GA888"/>
      <c r="GB888"/>
      <c r="GC888"/>
      <c r="GD888"/>
      <c r="GE888"/>
      <c r="GF888"/>
      <c r="GG888"/>
      <c r="GH888"/>
      <c r="GI888"/>
      <c r="GJ888"/>
      <c r="GK888"/>
      <c r="GL888"/>
      <c r="GM888"/>
      <c r="GN888"/>
      <c r="GO888"/>
      <c r="GP888"/>
      <c r="GQ888"/>
      <c r="GR888"/>
      <c r="GS888"/>
      <c r="GT888"/>
      <c r="GU888"/>
      <c r="GV888"/>
      <c r="GW888"/>
      <c r="GX888"/>
      <c r="GY888"/>
      <c r="GZ888"/>
      <c r="HA888"/>
      <c r="HB888"/>
      <c r="HC888"/>
      <c r="HD888"/>
      <c r="HE888"/>
      <c r="HF888"/>
      <c r="HG888"/>
      <c r="HH888"/>
      <c r="HI888"/>
      <c r="HJ888"/>
      <c r="HK888"/>
      <c r="HL888"/>
      <c r="HM888"/>
      <c r="HN888"/>
      <c r="HO888"/>
      <c r="HP888"/>
      <c r="HQ888"/>
      <c r="HR888"/>
      <c r="HS888"/>
      <c r="HT888"/>
      <c r="HU888"/>
      <c r="HV888"/>
      <c r="HW888"/>
      <c r="HX888"/>
      <c r="HY888"/>
      <c r="HZ888"/>
      <c r="IA888"/>
      <c r="IB888"/>
      <c r="IC888"/>
      <c r="ID888"/>
      <c r="IE888"/>
      <c r="IF888"/>
      <c r="IG888"/>
      <c r="IH888"/>
      <c r="II888"/>
      <c r="IJ888"/>
      <c r="IK888"/>
      <c r="IL888"/>
      <c r="IM888"/>
      <c r="IN888"/>
      <c r="IO888"/>
      <c r="IP888"/>
      <c r="IQ888"/>
      <c r="IR888"/>
      <c r="IS888"/>
      <c r="IT888"/>
      <c r="IU888"/>
      <c r="IV888"/>
      <c r="IW888"/>
      <c r="IX888"/>
    </row>
    <row r="889" spans="1:258" ht="12.75" customHeight="1" x14ac:dyDescent="0.2">
      <c r="A889" s="854"/>
      <c r="B889" s="1828" t="s">
        <v>1227</v>
      </c>
      <c r="C889" s="1572">
        <f t="shared" ref="C889:I889" si="189">SUM(C890:C895)</f>
        <v>2270000</v>
      </c>
      <c r="D889" s="733">
        <f t="shared" si="189"/>
        <v>2270000</v>
      </c>
      <c r="E889" s="904">
        <f t="shared" si="189"/>
        <v>2380000</v>
      </c>
      <c r="F889" s="733">
        <f t="shared" si="189"/>
        <v>301665.03000000003</v>
      </c>
      <c r="G889" s="733">
        <f>SUM(G890:G895)</f>
        <v>215032.72999999998</v>
      </c>
      <c r="H889" s="1176">
        <f t="shared" si="189"/>
        <v>151665.03</v>
      </c>
      <c r="I889" s="1572">
        <f t="shared" si="189"/>
        <v>1350000</v>
      </c>
      <c r="J889" s="735"/>
      <c r="K889" s="1367"/>
      <c r="L889" s="848"/>
      <c r="M889" s="887"/>
      <c r="N889" s="843"/>
      <c r="O889"/>
      <c r="P889"/>
      <c r="Q889"/>
      <c r="R889"/>
      <c r="S889"/>
      <c r="T889"/>
      <c r="U889"/>
      <c r="V889"/>
      <c r="W889"/>
      <c r="X889"/>
      <c r="Y889"/>
      <c r="Z889"/>
      <c r="AA889"/>
      <c r="AB889"/>
      <c r="AC889"/>
      <c r="AD889"/>
      <c r="AE889"/>
      <c r="AF889"/>
      <c r="AG889"/>
      <c r="AH889"/>
      <c r="AI889"/>
      <c r="AJ889"/>
      <c r="AK889"/>
      <c r="AL889"/>
      <c r="AM889"/>
      <c r="AN889"/>
      <c r="AO889"/>
      <c r="AP889"/>
      <c r="AQ889"/>
      <c r="AR889"/>
      <c r="AS889"/>
      <c r="AT889"/>
      <c r="AU889"/>
      <c r="AV889"/>
      <c r="AW889"/>
      <c r="AX889"/>
      <c r="AY889"/>
      <c r="AZ889"/>
      <c r="BA889"/>
      <c r="BB889"/>
      <c r="BC889"/>
      <c r="BD889"/>
      <c r="BE889"/>
      <c r="BF889"/>
      <c r="BG889"/>
      <c r="BH889"/>
      <c r="BI889"/>
      <c r="BJ889"/>
      <c r="BK889"/>
      <c r="BL889"/>
      <c r="BM889"/>
      <c r="BN889"/>
      <c r="BO889"/>
      <c r="BP889"/>
      <c r="BQ889"/>
      <c r="BR889"/>
      <c r="BS889"/>
      <c r="BT889"/>
      <c r="BU889"/>
      <c r="BV889"/>
      <c r="BW889"/>
      <c r="BX889"/>
      <c r="BY889"/>
      <c r="BZ889"/>
      <c r="CA889"/>
      <c r="CB889"/>
      <c r="CC889"/>
      <c r="CD889"/>
      <c r="CE889"/>
      <c r="CF889"/>
      <c r="CG889"/>
      <c r="CH889"/>
      <c r="CI889"/>
      <c r="CJ889"/>
      <c r="CK889"/>
      <c r="CL889"/>
      <c r="CM889"/>
      <c r="CN889"/>
      <c r="CO889"/>
      <c r="CP889"/>
      <c r="CQ889"/>
      <c r="CR889"/>
      <c r="CS889"/>
      <c r="CT889"/>
      <c r="CU889"/>
      <c r="CV889"/>
      <c r="CW889"/>
      <c r="CX889"/>
      <c r="CY889"/>
      <c r="CZ889"/>
      <c r="DA889"/>
      <c r="DB889"/>
      <c r="DC889"/>
      <c r="DD889"/>
      <c r="DE889"/>
      <c r="DF889"/>
      <c r="DG889"/>
      <c r="DH889"/>
      <c r="DI889"/>
      <c r="DJ889"/>
      <c r="DK889"/>
      <c r="DL889"/>
      <c r="DM889"/>
      <c r="DN889"/>
      <c r="DO889"/>
      <c r="DP889"/>
      <c r="DQ889"/>
      <c r="DR889"/>
      <c r="DS889"/>
      <c r="DT889"/>
      <c r="DU889"/>
      <c r="DV889"/>
      <c r="DW889"/>
      <c r="DX889"/>
      <c r="DY889"/>
      <c r="DZ889"/>
      <c r="EA889"/>
      <c r="EB889"/>
      <c r="EC889"/>
      <c r="ED889"/>
      <c r="EE889"/>
      <c r="EF889"/>
      <c r="EG889"/>
      <c r="EH889"/>
      <c r="EI889"/>
      <c r="EJ889"/>
      <c r="EK889"/>
      <c r="EL889"/>
      <c r="EM889"/>
      <c r="EN889"/>
      <c r="EO889"/>
      <c r="EP889"/>
      <c r="EQ889"/>
      <c r="ER889"/>
      <c r="ES889"/>
      <c r="ET889"/>
      <c r="EU889"/>
      <c r="EV889"/>
      <c r="EW889"/>
      <c r="EX889"/>
      <c r="EY889"/>
      <c r="EZ889"/>
      <c r="FA889"/>
      <c r="FB889"/>
      <c r="FC889"/>
      <c r="FD889"/>
      <c r="FE889"/>
      <c r="FF889"/>
      <c r="FG889"/>
      <c r="FH889"/>
      <c r="FI889"/>
      <c r="FJ889"/>
      <c r="FK889"/>
      <c r="FL889"/>
      <c r="FM889"/>
      <c r="FN889"/>
      <c r="FO889"/>
      <c r="FP889"/>
      <c r="FQ889"/>
      <c r="FR889"/>
      <c r="FS889"/>
      <c r="FT889"/>
      <c r="FU889"/>
      <c r="FV889"/>
      <c r="FW889"/>
      <c r="FX889"/>
      <c r="FY889"/>
      <c r="FZ889"/>
      <c r="GA889"/>
      <c r="GB889"/>
      <c r="GC889"/>
      <c r="GD889"/>
      <c r="GE889"/>
      <c r="GF889"/>
      <c r="GG889"/>
      <c r="GH889"/>
      <c r="GI889"/>
      <c r="GJ889"/>
      <c r="GK889"/>
      <c r="GL889"/>
      <c r="GM889"/>
      <c r="GN889"/>
      <c r="GO889"/>
      <c r="GP889"/>
      <c r="GQ889"/>
      <c r="GR889"/>
      <c r="GS889"/>
      <c r="GT889"/>
      <c r="GU889"/>
      <c r="GV889"/>
      <c r="GW889"/>
      <c r="GX889"/>
      <c r="GY889"/>
      <c r="GZ889"/>
      <c r="HA889"/>
      <c r="HB889"/>
      <c r="HC889"/>
      <c r="HD889"/>
      <c r="HE889"/>
      <c r="HF889"/>
      <c r="HG889"/>
      <c r="HH889"/>
      <c r="HI889"/>
      <c r="HJ889"/>
      <c r="HK889"/>
      <c r="HL889"/>
      <c r="HM889"/>
      <c r="HN889"/>
      <c r="HO889"/>
      <c r="HP889"/>
      <c r="HQ889"/>
      <c r="HR889"/>
      <c r="HS889"/>
      <c r="HT889"/>
      <c r="HU889"/>
      <c r="HV889"/>
      <c r="HW889"/>
      <c r="HX889"/>
      <c r="HY889"/>
      <c r="HZ889"/>
      <c r="IA889"/>
      <c r="IB889"/>
      <c r="IC889"/>
      <c r="ID889"/>
      <c r="IE889"/>
      <c r="IF889"/>
      <c r="IG889"/>
      <c r="IH889"/>
      <c r="II889"/>
      <c r="IJ889"/>
      <c r="IK889"/>
      <c r="IL889"/>
      <c r="IM889"/>
      <c r="IN889"/>
      <c r="IO889"/>
      <c r="IP889"/>
      <c r="IQ889"/>
      <c r="IR889"/>
      <c r="IS889"/>
      <c r="IT889"/>
      <c r="IU889"/>
      <c r="IV889"/>
      <c r="IW889"/>
      <c r="IX889"/>
    </row>
    <row r="890" spans="1:258" ht="12.75" customHeight="1" x14ac:dyDescent="0.2">
      <c r="A890" s="851"/>
      <c r="B890" s="1567" t="s">
        <v>932</v>
      </c>
      <c r="C890" s="1572">
        <v>100000</v>
      </c>
      <c r="D890" s="733">
        <v>100000</v>
      </c>
      <c r="E890" s="904">
        <v>100000</v>
      </c>
      <c r="F890" s="733">
        <v>0</v>
      </c>
      <c r="G890" s="733">
        <v>0</v>
      </c>
      <c r="H890" s="1176">
        <v>0</v>
      </c>
      <c r="I890" s="1572">
        <v>100000</v>
      </c>
      <c r="J890" s="735"/>
      <c r="K890" s="1367"/>
      <c r="L890" s="848"/>
      <c r="M890" s="887"/>
      <c r="N890" s="843"/>
      <c r="O890"/>
      <c r="P890"/>
      <c r="Q890"/>
      <c r="R890"/>
      <c r="S890"/>
      <c r="T890"/>
      <c r="U890"/>
      <c r="V890"/>
      <c r="W890"/>
      <c r="X890"/>
      <c r="Y890"/>
      <c r="Z890"/>
      <c r="AA890"/>
      <c r="AB890"/>
      <c r="AC890"/>
      <c r="AD890"/>
      <c r="AE890"/>
      <c r="AF890"/>
      <c r="AG890"/>
      <c r="AH890"/>
      <c r="AI890"/>
      <c r="AJ890"/>
      <c r="AK890"/>
      <c r="AL890"/>
      <c r="AM890"/>
      <c r="AN890"/>
      <c r="AO890"/>
      <c r="AP890"/>
      <c r="AQ890"/>
      <c r="AR890"/>
      <c r="AS890"/>
      <c r="AT890"/>
      <c r="AU890"/>
      <c r="AV890"/>
      <c r="AW890"/>
      <c r="AX890"/>
      <c r="AY890"/>
      <c r="AZ890"/>
      <c r="BA890"/>
      <c r="BB890"/>
      <c r="BC890"/>
      <c r="BD890"/>
      <c r="BE890"/>
      <c r="BF890"/>
      <c r="BG890"/>
      <c r="BH890"/>
      <c r="BI890"/>
      <c r="BJ890"/>
      <c r="BK890"/>
      <c r="BL890"/>
      <c r="BM890"/>
      <c r="BN890"/>
      <c r="BO890"/>
      <c r="BP890"/>
      <c r="BQ890"/>
      <c r="BR890"/>
      <c r="BS890"/>
      <c r="BT890"/>
      <c r="BU890"/>
      <c r="BV890"/>
      <c r="BW890"/>
      <c r="BX890"/>
      <c r="BY890"/>
      <c r="BZ890"/>
      <c r="CA890"/>
      <c r="CB890"/>
      <c r="CC890"/>
      <c r="CD890"/>
      <c r="CE890"/>
      <c r="CF890"/>
      <c r="CG890"/>
      <c r="CH890"/>
      <c r="CI890"/>
      <c r="CJ890"/>
      <c r="CK890"/>
      <c r="CL890"/>
      <c r="CM890"/>
      <c r="CN890"/>
      <c r="CO890"/>
      <c r="CP890"/>
      <c r="CQ890"/>
      <c r="CR890"/>
      <c r="CS890"/>
      <c r="CT890"/>
      <c r="CU890"/>
      <c r="CV890"/>
      <c r="CW890"/>
      <c r="CX890"/>
      <c r="CY890"/>
      <c r="CZ890"/>
      <c r="DA890"/>
      <c r="DB890"/>
      <c r="DC890"/>
      <c r="DD890"/>
      <c r="DE890"/>
      <c r="DF890"/>
      <c r="DG890"/>
      <c r="DH890"/>
      <c r="DI890"/>
      <c r="DJ890"/>
      <c r="DK890"/>
      <c r="DL890"/>
      <c r="DM890"/>
      <c r="DN890"/>
      <c r="DO890"/>
      <c r="DP890"/>
      <c r="DQ890"/>
      <c r="DR890"/>
      <c r="DS890"/>
      <c r="DT890"/>
      <c r="DU890"/>
      <c r="DV890"/>
      <c r="DW890"/>
      <c r="DX890"/>
      <c r="DY890"/>
      <c r="DZ890"/>
      <c r="EA890"/>
      <c r="EB890"/>
      <c r="EC890"/>
      <c r="ED890"/>
      <c r="EE890"/>
      <c r="EF890"/>
      <c r="EG890"/>
      <c r="EH890"/>
      <c r="EI890"/>
      <c r="EJ890"/>
      <c r="EK890"/>
      <c r="EL890"/>
      <c r="EM890"/>
      <c r="EN890"/>
      <c r="EO890"/>
      <c r="EP890"/>
      <c r="EQ890"/>
      <c r="ER890"/>
      <c r="ES890"/>
      <c r="ET890"/>
      <c r="EU890"/>
      <c r="EV890"/>
      <c r="EW890"/>
      <c r="EX890"/>
      <c r="EY890"/>
      <c r="EZ890"/>
      <c r="FA890"/>
      <c r="FB890"/>
      <c r="FC890"/>
      <c r="FD890"/>
      <c r="FE890"/>
      <c r="FF890"/>
      <c r="FG890"/>
      <c r="FH890"/>
      <c r="FI890"/>
      <c r="FJ890"/>
      <c r="FK890"/>
      <c r="FL890"/>
      <c r="FM890"/>
      <c r="FN890"/>
      <c r="FO890"/>
      <c r="FP890"/>
      <c r="FQ890"/>
      <c r="FR890"/>
      <c r="FS890"/>
      <c r="FT890"/>
      <c r="FU890"/>
      <c r="FV890"/>
      <c r="FW890"/>
      <c r="FX890"/>
      <c r="FY890"/>
      <c r="FZ890"/>
      <c r="GA890"/>
      <c r="GB890"/>
      <c r="GC890"/>
      <c r="GD890"/>
      <c r="GE890"/>
      <c r="GF890"/>
      <c r="GG890"/>
      <c r="GH890"/>
      <c r="GI890"/>
      <c r="GJ890"/>
      <c r="GK890"/>
      <c r="GL890"/>
      <c r="GM890"/>
      <c r="GN890"/>
      <c r="GO890"/>
      <c r="GP890"/>
      <c r="GQ890"/>
      <c r="GR890"/>
      <c r="GS890"/>
      <c r="GT890"/>
      <c r="GU890"/>
      <c r="GV890"/>
      <c r="GW890"/>
      <c r="GX890"/>
      <c r="GY890"/>
      <c r="GZ890"/>
      <c r="HA890"/>
      <c r="HB890"/>
      <c r="HC890"/>
      <c r="HD890"/>
      <c r="HE890"/>
      <c r="HF890"/>
      <c r="HG890"/>
      <c r="HH890"/>
      <c r="HI890"/>
      <c r="HJ890"/>
      <c r="HK890"/>
      <c r="HL890"/>
      <c r="HM890"/>
      <c r="HN890"/>
      <c r="HO890"/>
      <c r="HP890"/>
      <c r="HQ890"/>
      <c r="HR890"/>
      <c r="HS890"/>
      <c r="HT890"/>
      <c r="HU890"/>
      <c r="HV890"/>
      <c r="HW890"/>
      <c r="HX890"/>
      <c r="HY890"/>
      <c r="HZ890"/>
      <c r="IA890"/>
      <c r="IB890"/>
      <c r="IC890"/>
      <c r="ID890"/>
      <c r="IE890"/>
      <c r="IF890"/>
      <c r="IG890"/>
      <c r="IH890"/>
      <c r="II890"/>
      <c r="IJ890"/>
      <c r="IK890"/>
      <c r="IL890"/>
      <c r="IM890"/>
      <c r="IN890"/>
      <c r="IO890"/>
      <c r="IP890"/>
      <c r="IQ890"/>
      <c r="IR890"/>
      <c r="IS890"/>
      <c r="IT890"/>
      <c r="IU890"/>
      <c r="IV890"/>
      <c r="IW890"/>
      <c r="IX890"/>
    </row>
    <row r="891" spans="1:258" ht="12.75" customHeight="1" x14ac:dyDescent="0.2">
      <c r="A891" s="851"/>
      <c r="B891" s="1567" t="s">
        <v>1142</v>
      </c>
      <c r="C891" s="1572">
        <v>850000</v>
      </c>
      <c r="D891" s="733">
        <v>850000</v>
      </c>
      <c r="E891" s="904">
        <v>850000</v>
      </c>
      <c r="F891" s="733">
        <v>48551.25</v>
      </c>
      <c r="G891" s="733">
        <v>48551.25</v>
      </c>
      <c r="H891" s="1176">
        <v>48551.25</v>
      </c>
      <c r="I891" s="1572">
        <v>0</v>
      </c>
      <c r="J891" s="1418"/>
      <c r="K891" s="1367">
        <f>SUM(K892:K905)</f>
        <v>0</v>
      </c>
      <c r="L891" s="848"/>
      <c r="M891" s="887"/>
      <c r="N891" s="843"/>
      <c r="O891"/>
      <c r="P891"/>
      <c r="Q891"/>
      <c r="R891"/>
      <c r="S891"/>
      <c r="T891"/>
      <c r="U891"/>
      <c r="V891"/>
      <c r="W891"/>
      <c r="X891"/>
      <c r="Y891"/>
      <c r="Z891"/>
      <c r="AA891"/>
      <c r="AB891"/>
      <c r="AC891"/>
      <c r="AD891"/>
      <c r="AE891"/>
      <c r="AF891"/>
      <c r="AG891"/>
      <c r="AH891"/>
      <c r="AI891"/>
      <c r="AJ891"/>
      <c r="AK891"/>
      <c r="AL891"/>
      <c r="AM891"/>
      <c r="AN891"/>
      <c r="AO891"/>
      <c r="AP891"/>
      <c r="AQ891"/>
      <c r="AR891"/>
      <c r="AS891"/>
      <c r="AT891"/>
      <c r="AU891"/>
      <c r="AV891"/>
      <c r="AW891"/>
      <c r="AX891"/>
      <c r="AY891"/>
      <c r="AZ891"/>
      <c r="BA891"/>
      <c r="BB891"/>
      <c r="BC891"/>
      <c r="BD891"/>
      <c r="BE891"/>
      <c r="BF891"/>
      <c r="BG891"/>
      <c r="BH891"/>
      <c r="BI891"/>
      <c r="BJ891"/>
      <c r="BK891"/>
      <c r="BL891"/>
      <c r="BM891"/>
      <c r="BN891"/>
      <c r="BO891"/>
      <c r="BP891"/>
      <c r="BQ891"/>
      <c r="BR891"/>
      <c r="BS891"/>
      <c r="BT891"/>
      <c r="BU891"/>
      <c r="BV891"/>
      <c r="BW891"/>
      <c r="BX891"/>
      <c r="BY891"/>
      <c r="BZ891"/>
      <c r="CA891"/>
      <c r="CB891"/>
      <c r="CC891"/>
      <c r="CD891"/>
      <c r="CE891"/>
      <c r="CF891"/>
      <c r="CG891"/>
      <c r="CH891"/>
      <c r="CI891"/>
      <c r="CJ891"/>
      <c r="CK891"/>
      <c r="CL891"/>
      <c r="CM891"/>
      <c r="CN891"/>
      <c r="CO891"/>
      <c r="CP891"/>
      <c r="CQ891"/>
      <c r="CR891"/>
      <c r="CS891"/>
      <c r="CT891"/>
      <c r="CU891"/>
      <c r="CV891"/>
      <c r="CW891"/>
      <c r="CX891"/>
      <c r="CY891"/>
      <c r="CZ891"/>
      <c r="DA891"/>
      <c r="DB891"/>
      <c r="DC891"/>
      <c r="DD891"/>
      <c r="DE891"/>
      <c r="DF891"/>
      <c r="DG891"/>
      <c r="DH891"/>
      <c r="DI891"/>
      <c r="DJ891"/>
      <c r="DK891"/>
      <c r="DL891"/>
      <c r="DM891"/>
      <c r="DN891"/>
      <c r="DO891"/>
      <c r="DP891"/>
      <c r="DQ891"/>
      <c r="DR891"/>
      <c r="DS891"/>
      <c r="DT891"/>
      <c r="DU891"/>
      <c r="DV891"/>
      <c r="DW891"/>
      <c r="DX891"/>
      <c r="DY891"/>
      <c r="DZ891"/>
      <c r="EA891"/>
      <c r="EB891"/>
      <c r="EC891"/>
      <c r="ED891"/>
      <c r="EE891"/>
      <c r="EF891"/>
      <c r="EG891"/>
      <c r="EH891"/>
      <c r="EI891"/>
      <c r="EJ891"/>
      <c r="EK891"/>
      <c r="EL891"/>
      <c r="EM891"/>
      <c r="EN891"/>
      <c r="EO891"/>
      <c r="EP891"/>
      <c r="EQ891"/>
      <c r="ER891"/>
      <c r="ES891"/>
      <c r="ET891"/>
      <c r="EU891"/>
      <c r="EV891"/>
      <c r="EW891"/>
      <c r="EX891"/>
      <c r="EY891"/>
      <c r="EZ891"/>
      <c r="FA891"/>
      <c r="FB891"/>
      <c r="FC891"/>
      <c r="FD891"/>
      <c r="FE891"/>
      <c r="FF891"/>
      <c r="FG891"/>
      <c r="FH891"/>
      <c r="FI891"/>
      <c r="FJ891"/>
      <c r="FK891"/>
      <c r="FL891"/>
      <c r="FM891"/>
      <c r="FN891"/>
      <c r="FO891"/>
      <c r="FP891"/>
      <c r="FQ891"/>
      <c r="FR891"/>
      <c r="FS891"/>
      <c r="FT891"/>
      <c r="FU891"/>
      <c r="FV891"/>
      <c r="FW891"/>
      <c r="FX891"/>
      <c r="FY891"/>
      <c r="FZ891"/>
      <c r="GA891"/>
      <c r="GB891"/>
      <c r="GC891"/>
      <c r="GD891"/>
      <c r="GE891"/>
      <c r="GF891"/>
      <c r="GG891"/>
      <c r="GH891"/>
      <c r="GI891"/>
      <c r="GJ891"/>
      <c r="GK891"/>
      <c r="GL891"/>
      <c r="GM891"/>
      <c r="GN891"/>
      <c r="GO891"/>
      <c r="GP891"/>
      <c r="GQ891"/>
      <c r="GR891"/>
      <c r="GS891"/>
      <c r="GT891"/>
      <c r="GU891"/>
      <c r="GV891"/>
      <c r="GW891"/>
      <c r="GX891"/>
      <c r="GY891"/>
      <c r="GZ891"/>
      <c r="HA891"/>
      <c r="HB891"/>
      <c r="HC891"/>
      <c r="HD891"/>
      <c r="HE891"/>
      <c r="HF891"/>
      <c r="HG891"/>
      <c r="HH891"/>
      <c r="HI891"/>
      <c r="HJ891"/>
      <c r="HK891"/>
      <c r="HL891"/>
      <c r="HM891"/>
      <c r="HN891"/>
      <c r="HO891"/>
      <c r="HP891"/>
      <c r="HQ891"/>
      <c r="HR891"/>
      <c r="HS891"/>
      <c r="HT891"/>
      <c r="HU891"/>
      <c r="HV891"/>
      <c r="HW891"/>
      <c r="HX891"/>
      <c r="HY891"/>
      <c r="HZ891"/>
      <c r="IA891"/>
      <c r="IB891"/>
      <c r="IC891"/>
      <c r="ID891"/>
      <c r="IE891"/>
      <c r="IF891"/>
      <c r="IG891"/>
      <c r="IH891"/>
      <c r="II891"/>
      <c r="IJ891"/>
      <c r="IK891"/>
      <c r="IL891"/>
      <c r="IM891"/>
      <c r="IN891"/>
      <c r="IO891"/>
      <c r="IP891"/>
      <c r="IQ891"/>
      <c r="IR891"/>
      <c r="IS891"/>
      <c r="IT891"/>
      <c r="IU891"/>
      <c r="IV891"/>
      <c r="IW891"/>
      <c r="IX891"/>
    </row>
    <row r="892" spans="1:258" ht="12.75" customHeight="1" x14ac:dyDescent="0.2">
      <c r="A892" s="854"/>
      <c r="B892" s="1820" t="s">
        <v>1717</v>
      </c>
      <c r="C892" s="1572">
        <v>620000</v>
      </c>
      <c r="D892" s="733">
        <v>620000</v>
      </c>
      <c r="E892" s="904">
        <v>620000</v>
      </c>
      <c r="F892" s="733">
        <v>150000</v>
      </c>
      <c r="G892" s="733">
        <v>0</v>
      </c>
      <c r="H892" s="1176">
        <v>0</v>
      </c>
      <c r="I892" s="1572">
        <v>650000</v>
      </c>
      <c r="J892" s="735"/>
      <c r="K892" s="1367"/>
      <c r="L892" s="848"/>
      <c r="M892" s="887"/>
      <c r="N892" s="843"/>
      <c r="O892"/>
      <c r="P892"/>
      <c r="Q892"/>
      <c r="R892"/>
      <c r="S892"/>
      <c r="T892"/>
      <c r="U892"/>
      <c r="V892"/>
      <c r="W892"/>
      <c r="X892"/>
      <c r="Y892"/>
      <c r="Z892"/>
      <c r="AA892"/>
      <c r="AB892"/>
      <c r="AC892"/>
      <c r="AD892"/>
      <c r="AE892"/>
      <c r="AF892"/>
      <c r="AG892"/>
      <c r="AH892"/>
      <c r="AI892"/>
      <c r="AJ892"/>
      <c r="AK892"/>
      <c r="AL892"/>
      <c r="AM892"/>
      <c r="AN892"/>
      <c r="AO892"/>
      <c r="AP892"/>
      <c r="AQ892"/>
      <c r="AR892"/>
      <c r="AS892"/>
      <c r="AT892"/>
      <c r="AU892"/>
      <c r="AV892"/>
      <c r="AW892"/>
      <c r="AX892"/>
      <c r="AY892"/>
      <c r="AZ892"/>
      <c r="BA892"/>
      <c r="BB892"/>
      <c r="BC892"/>
      <c r="BD892"/>
      <c r="BE892"/>
      <c r="BF892"/>
      <c r="BG892"/>
      <c r="BH892"/>
      <c r="BI892"/>
      <c r="BJ892"/>
      <c r="BK892"/>
      <c r="BL892"/>
      <c r="BM892"/>
      <c r="BN892"/>
      <c r="BO892"/>
      <c r="BP892"/>
      <c r="BQ892"/>
      <c r="BR892"/>
      <c r="BS892"/>
      <c r="BT892"/>
      <c r="BU892"/>
      <c r="BV892"/>
      <c r="BW892"/>
      <c r="BX892"/>
      <c r="BY892"/>
      <c r="BZ892"/>
      <c r="CA892"/>
      <c r="CB892"/>
      <c r="CC892"/>
      <c r="CD892"/>
      <c r="CE892"/>
      <c r="CF892"/>
      <c r="CG892"/>
      <c r="CH892"/>
      <c r="CI892"/>
      <c r="CJ892"/>
      <c r="CK892"/>
      <c r="CL892"/>
      <c r="CM892"/>
      <c r="CN892"/>
      <c r="CO892"/>
      <c r="CP892"/>
      <c r="CQ892"/>
      <c r="CR892"/>
      <c r="CS892"/>
      <c r="CT892"/>
      <c r="CU892"/>
      <c r="CV892"/>
      <c r="CW892"/>
      <c r="CX892"/>
      <c r="CY892"/>
      <c r="CZ892"/>
      <c r="DA892"/>
      <c r="DB892"/>
      <c r="DC892"/>
      <c r="DD892"/>
      <c r="DE892"/>
      <c r="DF892"/>
      <c r="DG892"/>
      <c r="DH892"/>
      <c r="DI892"/>
      <c r="DJ892"/>
      <c r="DK892"/>
      <c r="DL892"/>
      <c r="DM892"/>
      <c r="DN892"/>
      <c r="DO892"/>
      <c r="DP892"/>
      <c r="DQ892"/>
      <c r="DR892"/>
      <c r="DS892"/>
      <c r="DT892"/>
      <c r="DU892"/>
      <c r="DV892"/>
      <c r="DW892"/>
      <c r="DX892"/>
      <c r="DY892"/>
      <c r="DZ892"/>
      <c r="EA892"/>
      <c r="EB892"/>
      <c r="EC892"/>
      <c r="ED892"/>
      <c r="EE892"/>
      <c r="EF892"/>
      <c r="EG892"/>
      <c r="EH892"/>
      <c r="EI892"/>
      <c r="EJ892"/>
      <c r="EK892"/>
      <c r="EL892"/>
      <c r="EM892"/>
      <c r="EN892"/>
      <c r="EO892"/>
      <c r="EP892"/>
      <c r="EQ892"/>
      <c r="ER892"/>
      <c r="ES892"/>
      <c r="ET892"/>
      <c r="EU892"/>
      <c r="EV892"/>
      <c r="EW892"/>
      <c r="EX892"/>
      <c r="EY892"/>
      <c r="EZ892"/>
      <c r="FA892"/>
      <c r="FB892"/>
      <c r="FC892"/>
      <c r="FD892"/>
      <c r="FE892"/>
      <c r="FF892"/>
      <c r="FG892"/>
      <c r="FH892"/>
      <c r="FI892"/>
      <c r="FJ892"/>
      <c r="FK892"/>
      <c r="FL892"/>
      <c r="FM892"/>
      <c r="FN892"/>
      <c r="FO892"/>
      <c r="FP892"/>
      <c r="FQ892"/>
      <c r="FR892"/>
      <c r="FS892"/>
      <c r="FT892"/>
      <c r="FU892"/>
      <c r="FV892"/>
      <c r="FW892"/>
      <c r="FX892"/>
      <c r="FY892"/>
      <c r="FZ892"/>
      <c r="GA892"/>
      <c r="GB892"/>
      <c r="GC892"/>
      <c r="GD892"/>
      <c r="GE892"/>
      <c r="GF892"/>
      <c r="GG892"/>
      <c r="GH892"/>
      <c r="GI892"/>
      <c r="GJ892"/>
      <c r="GK892"/>
      <c r="GL892"/>
      <c r="GM892"/>
      <c r="GN892"/>
      <c r="GO892"/>
      <c r="GP892"/>
      <c r="GQ892"/>
      <c r="GR892"/>
      <c r="GS892"/>
      <c r="GT892"/>
      <c r="GU892"/>
      <c r="GV892"/>
      <c r="GW892"/>
      <c r="GX892"/>
      <c r="GY892"/>
      <c r="GZ892"/>
      <c r="HA892"/>
      <c r="HB892"/>
      <c r="HC892"/>
      <c r="HD892"/>
      <c r="HE892"/>
      <c r="HF892"/>
      <c r="HG892"/>
      <c r="HH892"/>
      <c r="HI892"/>
      <c r="HJ892"/>
      <c r="HK892"/>
      <c r="HL892"/>
      <c r="HM892"/>
      <c r="HN892"/>
      <c r="HO892"/>
      <c r="HP892"/>
      <c r="HQ892"/>
      <c r="HR892"/>
      <c r="HS892"/>
      <c r="HT892"/>
      <c r="HU892"/>
      <c r="HV892"/>
      <c r="HW892"/>
      <c r="HX892"/>
      <c r="HY892"/>
      <c r="HZ892"/>
      <c r="IA892"/>
      <c r="IB892"/>
      <c r="IC892"/>
      <c r="ID892"/>
      <c r="IE892"/>
      <c r="IF892"/>
      <c r="IG892"/>
      <c r="IH892"/>
      <c r="II892"/>
      <c r="IJ892"/>
      <c r="IK892"/>
      <c r="IL892"/>
      <c r="IM892"/>
      <c r="IN892"/>
      <c r="IO892"/>
      <c r="IP892"/>
      <c r="IQ892"/>
      <c r="IR892"/>
      <c r="IS892"/>
      <c r="IT892"/>
      <c r="IU892"/>
      <c r="IV892"/>
      <c r="IW892"/>
      <c r="IX892"/>
    </row>
    <row r="893" spans="1:258" ht="15.75" customHeight="1" x14ac:dyDescent="0.2">
      <c r="A893" s="854"/>
      <c r="B893" s="1820" t="s">
        <v>1087</v>
      </c>
      <c r="C893" s="1572">
        <v>500000</v>
      </c>
      <c r="D893" s="733">
        <v>500000</v>
      </c>
      <c r="E893" s="904">
        <v>500000</v>
      </c>
      <c r="F893" s="733">
        <v>0</v>
      </c>
      <c r="G893" s="733">
        <v>0</v>
      </c>
      <c r="H893" s="1176">
        <v>0</v>
      </c>
      <c r="I893" s="1572">
        <v>500000</v>
      </c>
      <c r="J893" s="735"/>
      <c r="K893" s="1367"/>
      <c r="L893" s="848"/>
      <c r="M893" s="887"/>
      <c r="N893" s="843"/>
      <c r="O893"/>
      <c r="P893"/>
      <c r="Q893"/>
      <c r="R893"/>
      <c r="S893"/>
      <c r="T893"/>
      <c r="U893"/>
      <c r="V893"/>
      <c r="W893"/>
      <c r="X893"/>
      <c r="Y893"/>
      <c r="Z893"/>
      <c r="AA893"/>
      <c r="AB893"/>
      <c r="AC893"/>
      <c r="AD893"/>
      <c r="AE893"/>
      <c r="AF893"/>
      <c r="AG893"/>
      <c r="AH893"/>
      <c r="AI893"/>
      <c r="AJ893"/>
      <c r="AK893"/>
      <c r="AL893"/>
      <c r="AM893"/>
      <c r="AN893"/>
      <c r="AO893"/>
      <c r="AP893"/>
      <c r="AQ893"/>
      <c r="AR893"/>
      <c r="AS893"/>
      <c r="AT893"/>
      <c r="AU893"/>
      <c r="AV893"/>
      <c r="AW893"/>
      <c r="AX893"/>
      <c r="AY893"/>
      <c r="AZ893"/>
      <c r="BA893"/>
      <c r="BB893"/>
      <c r="BC893"/>
      <c r="BD893"/>
      <c r="BE893"/>
      <c r="BF893"/>
      <c r="BG893"/>
      <c r="BH893"/>
      <c r="BI893"/>
      <c r="BJ893"/>
      <c r="BK893"/>
      <c r="BL893"/>
      <c r="BM893"/>
      <c r="BN893"/>
      <c r="BO893"/>
      <c r="BP893"/>
      <c r="BQ893"/>
      <c r="BR893"/>
      <c r="BS893"/>
      <c r="BT893"/>
      <c r="BU893"/>
      <c r="BV893"/>
      <c r="BW893"/>
      <c r="BX893"/>
      <c r="BY893"/>
      <c r="BZ893"/>
      <c r="CA893"/>
      <c r="CB893"/>
      <c r="CC893"/>
      <c r="CD893"/>
      <c r="CE893"/>
      <c r="CF893"/>
      <c r="CG893"/>
      <c r="CH893"/>
      <c r="CI893"/>
      <c r="CJ893"/>
      <c r="CK893"/>
      <c r="CL893"/>
      <c r="CM893"/>
      <c r="CN893"/>
      <c r="CO893"/>
      <c r="CP893"/>
      <c r="CQ893"/>
      <c r="CR893"/>
      <c r="CS893"/>
      <c r="CT893"/>
      <c r="CU893"/>
      <c r="CV893"/>
      <c r="CW893"/>
      <c r="CX893"/>
      <c r="CY893"/>
      <c r="CZ893"/>
      <c r="DA893"/>
      <c r="DB893"/>
      <c r="DC893"/>
      <c r="DD893"/>
      <c r="DE893"/>
      <c r="DF893"/>
      <c r="DG893"/>
      <c r="DH893"/>
      <c r="DI893"/>
      <c r="DJ893"/>
      <c r="DK893"/>
      <c r="DL893"/>
      <c r="DM893"/>
      <c r="DN893"/>
      <c r="DO893"/>
      <c r="DP893"/>
      <c r="DQ893"/>
      <c r="DR893"/>
      <c r="DS893"/>
      <c r="DT893"/>
      <c r="DU893"/>
      <c r="DV893"/>
      <c r="DW893"/>
      <c r="DX893"/>
      <c r="DY893"/>
      <c r="DZ893"/>
      <c r="EA893"/>
      <c r="EB893"/>
      <c r="EC893"/>
      <c r="ED893"/>
      <c r="EE893"/>
      <c r="EF893"/>
      <c r="EG893"/>
      <c r="EH893"/>
      <c r="EI893"/>
      <c r="EJ893"/>
      <c r="EK893"/>
      <c r="EL893"/>
      <c r="EM893"/>
      <c r="EN893"/>
      <c r="EO893"/>
      <c r="EP893"/>
      <c r="EQ893"/>
      <c r="ER893"/>
      <c r="ES893"/>
      <c r="ET893"/>
      <c r="EU893"/>
      <c r="EV893"/>
      <c r="EW893"/>
      <c r="EX893"/>
      <c r="EY893"/>
      <c r="EZ893"/>
      <c r="FA893"/>
      <c r="FB893"/>
      <c r="FC893"/>
      <c r="FD893"/>
      <c r="FE893"/>
      <c r="FF893"/>
      <c r="FG893"/>
      <c r="FH893"/>
      <c r="FI893"/>
      <c r="FJ893"/>
      <c r="FK893"/>
      <c r="FL893"/>
      <c r="FM893"/>
      <c r="FN893"/>
      <c r="FO893"/>
      <c r="FP893"/>
      <c r="FQ893"/>
      <c r="FR893"/>
      <c r="FS893"/>
      <c r="FT893"/>
      <c r="FU893"/>
      <c r="FV893"/>
      <c r="FW893"/>
      <c r="FX893"/>
      <c r="FY893"/>
      <c r="FZ893"/>
      <c r="GA893"/>
      <c r="GB893"/>
      <c r="GC893"/>
      <c r="GD893"/>
      <c r="GE893"/>
      <c r="GF893"/>
      <c r="GG893"/>
      <c r="GH893"/>
      <c r="GI893"/>
      <c r="GJ893"/>
      <c r="GK893"/>
      <c r="GL893"/>
      <c r="GM893"/>
      <c r="GN893"/>
      <c r="GO893"/>
      <c r="GP893"/>
      <c r="GQ893"/>
      <c r="GR893"/>
      <c r="GS893"/>
      <c r="GT893"/>
      <c r="GU893"/>
      <c r="GV893"/>
      <c r="GW893"/>
      <c r="GX893"/>
      <c r="GY893"/>
      <c r="GZ893"/>
      <c r="HA893"/>
      <c r="HB893"/>
      <c r="HC893"/>
      <c r="HD893"/>
      <c r="HE893"/>
      <c r="HF893"/>
      <c r="HG893"/>
      <c r="HH893"/>
      <c r="HI893"/>
      <c r="HJ893"/>
      <c r="HK893"/>
      <c r="HL893"/>
      <c r="HM893"/>
      <c r="HN893"/>
      <c r="HO893"/>
      <c r="HP893"/>
      <c r="HQ893"/>
      <c r="HR893"/>
      <c r="HS893"/>
      <c r="HT893"/>
      <c r="HU893"/>
      <c r="HV893"/>
      <c r="HW893"/>
      <c r="HX893"/>
      <c r="HY893"/>
      <c r="HZ893"/>
      <c r="IA893"/>
      <c r="IB893"/>
      <c r="IC893"/>
      <c r="ID893"/>
      <c r="IE893"/>
      <c r="IF893"/>
      <c r="IG893"/>
      <c r="IH893"/>
      <c r="II893"/>
      <c r="IJ893"/>
      <c r="IK893"/>
      <c r="IL893"/>
      <c r="IM893"/>
      <c r="IN893"/>
      <c r="IO893"/>
      <c r="IP893"/>
      <c r="IQ893"/>
      <c r="IR893"/>
      <c r="IS893"/>
      <c r="IT893"/>
      <c r="IU893"/>
      <c r="IV893"/>
      <c r="IW893"/>
      <c r="IX893"/>
    </row>
    <row r="894" spans="1:258" ht="12.75" customHeight="1" x14ac:dyDescent="0.2">
      <c r="A894" s="854"/>
      <c r="B894" s="1820" t="s">
        <v>1718</v>
      </c>
      <c r="C894" s="1572">
        <v>0</v>
      </c>
      <c r="D894" s="733">
        <v>0</v>
      </c>
      <c r="E894" s="904">
        <v>110000</v>
      </c>
      <c r="F894" s="733">
        <v>0</v>
      </c>
      <c r="G894" s="733">
        <v>63367.7</v>
      </c>
      <c r="H894" s="1176">
        <v>0</v>
      </c>
      <c r="I894" s="1572">
        <v>100000</v>
      </c>
      <c r="J894" s="735"/>
      <c r="K894" s="1367"/>
      <c r="L894" s="848"/>
      <c r="M894" s="887"/>
      <c r="N894" s="843"/>
      <c r="O894"/>
      <c r="P894"/>
      <c r="Q894"/>
      <c r="R894"/>
      <c r="S894"/>
      <c r="T894"/>
      <c r="U894"/>
      <c r="V894"/>
      <c r="W894"/>
      <c r="X894"/>
      <c r="Y894"/>
      <c r="Z894"/>
      <c r="AA894"/>
      <c r="AB894"/>
      <c r="AC894"/>
      <c r="AD894"/>
      <c r="AE894"/>
      <c r="AF894"/>
      <c r="AG894"/>
      <c r="AH894"/>
      <c r="AI894"/>
      <c r="AJ894"/>
      <c r="AK894"/>
      <c r="AL894"/>
      <c r="AM894"/>
      <c r="AN894"/>
      <c r="AO894"/>
      <c r="AP894"/>
      <c r="AQ894"/>
      <c r="AR894"/>
      <c r="AS894"/>
      <c r="AT894"/>
      <c r="AU894"/>
      <c r="AV894"/>
      <c r="AW894"/>
      <c r="AX894"/>
      <c r="AY894"/>
      <c r="AZ894"/>
      <c r="BA894"/>
      <c r="BB894"/>
      <c r="BC894"/>
      <c r="BD894"/>
      <c r="BE894"/>
      <c r="BF894"/>
      <c r="BG894"/>
      <c r="BH894"/>
      <c r="BI894"/>
      <c r="BJ894"/>
      <c r="BK894"/>
      <c r="BL894"/>
      <c r="BM894"/>
      <c r="BN894"/>
      <c r="BO894"/>
      <c r="BP894"/>
      <c r="BQ894"/>
      <c r="BR894"/>
      <c r="BS894"/>
      <c r="BT894"/>
      <c r="BU894"/>
      <c r="BV894"/>
      <c r="BW894"/>
      <c r="BX894"/>
      <c r="BY894"/>
      <c r="BZ894"/>
      <c r="CA894"/>
      <c r="CB894"/>
      <c r="CC894"/>
      <c r="CD894"/>
      <c r="CE894"/>
      <c r="CF894"/>
      <c r="CG894"/>
      <c r="CH894"/>
      <c r="CI894"/>
      <c r="CJ894"/>
      <c r="CK894"/>
      <c r="CL894"/>
      <c r="CM894"/>
      <c r="CN894"/>
      <c r="CO894"/>
      <c r="CP894"/>
      <c r="CQ894"/>
      <c r="CR894"/>
      <c r="CS894"/>
      <c r="CT894"/>
      <c r="CU894"/>
      <c r="CV894"/>
      <c r="CW894"/>
      <c r="CX894"/>
      <c r="CY894"/>
      <c r="CZ894"/>
      <c r="DA894"/>
      <c r="DB894"/>
      <c r="DC894"/>
      <c r="DD894"/>
      <c r="DE894"/>
      <c r="DF894"/>
      <c r="DG894"/>
      <c r="DH894"/>
      <c r="DI894"/>
      <c r="DJ894"/>
      <c r="DK894"/>
      <c r="DL894"/>
      <c r="DM894"/>
      <c r="DN894"/>
      <c r="DO894"/>
      <c r="DP894"/>
      <c r="DQ894"/>
      <c r="DR894"/>
      <c r="DS894"/>
      <c r="DT894"/>
      <c r="DU894"/>
      <c r="DV894"/>
      <c r="DW894"/>
      <c r="DX894"/>
      <c r="DY894"/>
      <c r="DZ894"/>
      <c r="EA894"/>
      <c r="EB894"/>
      <c r="EC894"/>
      <c r="ED894"/>
      <c r="EE894"/>
      <c r="EF894"/>
      <c r="EG894"/>
      <c r="EH894"/>
      <c r="EI894"/>
      <c r="EJ894"/>
      <c r="EK894"/>
      <c r="EL894"/>
      <c r="EM894"/>
      <c r="EN894"/>
      <c r="EO894"/>
      <c r="EP894"/>
      <c r="EQ894"/>
      <c r="ER894"/>
      <c r="ES894"/>
      <c r="ET894"/>
      <c r="EU894"/>
      <c r="EV894"/>
      <c r="EW894"/>
      <c r="EX894"/>
      <c r="EY894"/>
      <c r="EZ894"/>
      <c r="FA894"/>
      <c r="FB894"/>
      <c r="FC894"/>
      <c r="FD894"/>
      <c r="FE894"/>
      <c r="FF894"/>
      <c r="FG894"/>
      <c r="FH894"/>
      <c r="FI894"/>
      <c r="FJ894"/>
      <c r="FK894"/>
      <c r="FL894"/>
      <c r="FM894"/>
      <c r="FN894"/>
      <c r="FO894"/>
      <c r="FP894"/>
      <c r="FQ894"/>
      <c r="FR894"/>
      <c r="FS894"/>
      <c r="FT894"/>
      <c r="FU894"/>
      <c r="FV894"/>
      <c r="FW894"/>
      <c r="FX894"/>
      <c r="FY894"/>
      <c r="FZ894"/>
      <c r="GA894"/>
      <c r="GB894"/>
      <c r="GC894"/>
      <c r="GD894"/>
      <c r="GE894"/>
      <c r="GF894"/>
      <c r="GG894"/>
      <c r="GH894"/>
      <c r="GI894"/>
      <c r="GJ894"/>
      <c r="GK894"/>
      <c r="GL894"/>
      <c r="GM894"/>
      <c r="GN894"/>
      <c r="GO894"/>
      <c r="GP894"/>
      <c r="GQ894"/>
      <c r="GR894"/>
      <c r="GS894"/>
      <c r="GT894"/>
      <c r="GU894"/>
      <c r="GV894"/>
      <c r="GW894"/>
      <c r="GX894"/>
      <c r="GY894"/>
      <c r="GZ894"/>
      <c r="HA894"/>
      <c r="HB894"/>
      <c r="HC894"/>
      <c r="HD894"/>
      <c r="HE894"/>
      <c r="HF894"/>
      <c r="HG894"/>
      <c r="HH894"/>
      <c r="HI894"/>
      <c r="HJ894"/>
      <c r="HK894"/>
      <c r="HL894"/>
      <c r="HM894"/>
      <c r="HN894"/>
      <c r="HO894"/>
      <c r="HP894"/>
      <c r="HQ894"/>
      <c r="HR894"/>
      <c r="HS894"/>
      <c r="HT894"/>
      <c r="HU894"/>
      <c r="HV894"/>
      <c r="HW894"/>
      <c r="HX894"/>
      <c r="HY894"/>
      <c r="HZ894"/>
      <c r="IA894"/>
      <c r="IB894"/>
      <c r="IC894"/>
      <c r="ID894"/>
      <c r="IE894"/>
      <c r="IF894"/>
      <c r="IG894"/>
      <c r="IH894"/>
      <c r="II894"/>
      <c r="IJ894"/>
      <c r="IK894"/>
      <c r="IL894"/>
      <c r="IM894"/>
      <c r="IN894"/>
      <c r="IO894"/>
      <c r="IP894"/>
      <c r="IQ894"/>
      <c r="IR894"/>
      <c r="IS894"/>
      <c r="IT894"/>
      <c r="IU894"/>
      <c r="IV894"/>
      <c r="IW894"/>
      <c r="IX894"/>
    </row>
    <row r="895" spans="1:258" ht="12.75" customHeight="1" x14ac:dyDescent="0.2">
      <c r="A895" s="854"/>
      <c r="B895" s="1553" t="s">
        <v>1088</v>
      </c>
      <c r="C895" s="1572">
        <v>200000</v>
      </c>
      <c r="D895" s="733">
        <v>200000</v>
      </c>
      <c r="E895" s="904">
        <v>200000</v>
      </c>
      <c r="F895" s="733">
        <v>103113.78</v>
      </c>
      <c r="G895" s="733">
        <v>103113.78</v>
      </c>
      <c r="H895" s="1176">
        <v>103113.78</v>
      </c>
      <c r="I895" s="1572">
        <v>0</v>
      </c>
      <c r="J895" s="735"/>
      <c r="K895" s="1367"/>
      <c r="L895" s="848"/>
      <c r="M895" s="887"/>
      <c r="N895" s="843"/>
      <c r="O895"/>
      <c r="P895"/>
      <c r="Q895"/>
      <c r="R895"/>
      <c r="S895"/>
      <c r="T895"/>
      <c r="U895"/>
      <c r="V895"/>
      <c r="W895"/>
      <c r="X895"/>
      <c r="Y895"/>
      <c r="Z895"/>
      <c r="AA895"/>
      <c r="AB895"/>
      <c r="AC895"/>
      <c r="AD895"/>
      <c r="AE895"/>
      <c r="AF895"/>
      <c r="AG895"/>
      <c r="AH895"/>
      <c r="AI895"/>
      <c r="AJ895"/>
      <c r="AK895"/>
      <c r="AL895"/>
      <c r="AM895"/>
      <c r="AN895"/>
      <c r="AO895"/>
      <c r="AP895"/>
      <c r="AQ895"/>
      <c r="AR895"/>
      <c r="AS895"/>
      <c r="AT895"/>
      <c r="AU895"/>
      <c r="AV895"/>
      <c r="AW895"/>
      <c r="AX895"/>
      <c r="AY895"/>
      <c r="AZ895"/>
      <c r="BA895"/>
      <c r="BB895"/>
      <c r="BC895"/>
      <c r="BD895"/>
      <c r="BE895"/>
      <c r="BF895"/>
      <c r="BG895"/>
      <c r="BH895"/>
      <c r="BI895"/>
      <c r="BJ895"/>
      <c r="BK895"/>
      <c r="BL895"/>
      <c r="BM895"/>
      <c r="BN895"/>
      <c r="BO895"/>
      <c r="BP895"/>
      <c r="BQ895"/>
      <c r="BR895"/>
      <c r="BS895"/>
      <c r="BT895"/>
      <c r="BU895"/>
      <c r="BV895"/>
      <c r="BW895"/>
      <c r="BX895"/>
      <c r="BY895"/>
      <c r="BZ895"/>
      <c r="CA895"/>
      <c r="CB895"/>
      <c r="CC895"/>
      <c r="CD895"/>
      <c r="CE895"/>
      <c r="CF895"/>
      <c r="CG895"/>
      <c r="CH895"/>
      <c r="CI895"/>
      <c r="CJ895"/>
      <c r="CK895"/>
      <c r="CL895"/>
      <c r="CM895"/>
      <c r="CN895"/>
      <c r="CO895"/>
      <c r="CP895"/>
      <c r="CQ895"/>
      <c r="CR895"/>
      <c r="CS895"/>
      <c r="CT895"/>
      <c r="CU895"/>
      <c r="CV895"/>
      <c r="CW895"/>
      <c r="CX895"/>
      <c r="CY895"/>
      <c r="CZ895"/>
      <c r="DA895"/>
      <c r="DB895"/>
      <c r="DC895"/>
      <c r="DD895"/>
      <c r="DE895"/>
      <c r="DF895"/>
      <c r="DG895"/>
      <c r="DH895"/>
      <c r="DI895"/>
      <c r="DJ895"/>
      <c r="DK895"/>
      <c r="DL895"/>
      <c r="DM895"/>
      <c r="DN895"/>
      <c r="DO895"/>
      <c r="DP895"/>
      <c r="DQ895"/>
      <c r="DR895"/>
      <c r="DS895"/>
      <c r="DT895"/>
      <c r="DU895"/>
      <c r="DV895"/>
      <c r="DW895"/>
      <c r="DX895"/>
      <c r="DY895"/>
      <c r="DZ895"/>
      <c r="EA895"/>
      <c r="EB895"/>
      <c r="EC895"/>
      <c r="ED895"/>
      <c r="EE895"/>
      <c r="EF895"/>
      <c r="EG895"/>
      <c r="EH895"/>
      <c r="EI895"/>
      <c r="EJ895"/>
      <c r="EK895"/>
      <c r="EL895"/>
      <c r="EM895"/>
      <c r="EN895"/>
      <c r="EO895"/>
      <c r="EP895"/>
      <c r="EQ895"/>
      <c r="ER895"/>
      <c r="ES895"/>
      <c r="ET895"/>
      <c r="EU895"/>
      <c r="EV895"/>
      <c r="EW895"/>
      <c r="EX895"/>
      <c r="EY895"/>
      <c r="EZ895"/>
      <c r="FA895"/>
      <c r="FB895"/>
      <c r="FC895"/>
      <c r="FD895"/>
      <c r="FE895"/>
      <c r="FF895"/>
      <c r="FG895"/>
      <c r="FH895"/>
      <c r="FI895"/>
      <c r="FJ895"/>
      <c r="FK895"/>
      <c r="FL895"/>
      <c r="FM895"/>
      <c r="FN895"/>
      <c r="FO895"/>
      <c r="FP895"/>
      <c r="FQ895"/>
      <c r="FR895"/>
      <c r="FS895"/>
      <c r="FT895"/>
      <c r="FU895"/>
      <c r="FV895"/>
      <c r="FW895"/>
      <c r="FX895"/>
      <c r="FY895"/>
      <c r="FZ895"/>
      <c r="GA895"/>
      <c r="GB895"/>
      <c r="GC895"/>
      <c r="GD895"/>
      <c r="GE895"/>
      <c r="GF895"/>
      <c r="GG895"/>
      <c r="GH895"/>
      <c r="GI895"/>
      <c r="GJ895"/>
      <c r="GK895"/>
      <c r="GL895"/>
      <c r="GM895"/>
      <c r="GN895"/>
      <c r="GO895"/>
      <c r="GP895"/>
      <c r="GQ895"/>
      <c r="GR895"/>
      <c r="GS895"/>
      <c r="GT895"/>
      <c r="GU895"/>
      <c r="GV895"/>
      <c r="GW895"/>
      <c r="GX895"/>
      <c r="GY895"/>
      <c r="GZ895"/>
      <c r="HA895"/>
      <c r="HB895"/>
      <c r="HC895"/>
      <c r="HD895"/>
      <c r="HE895"/>
      <c r="HF895"/>
      <c r="HG895"/>
      <c r="HH895"/>
      <c r="HI895"/>
      <c r="HJ895"/>
      <c r="HK895"/>
      <c r="HL895"/>
      <c r="HM895"/>
      <c r="HN895"/>
      <c r="HO895"/>
      <c r="HP895"/>
      <c r="HQ895"/>
      <c r="HR895"/>
      <c r="HS895"/>
      <c r="HT895"/>
      <c r="HU895"/>
      <c r="HV895"/>
      <c r="HW895"/>
      <c r="HX895"/>
      <c r="HY895"/>
      <c r="HZ895"/>
      <c r="IA895"/>
      <c r="IB895"/>
      <c r="IC895"/>
      <c r="ID895"/>
      <c r="IE895"/>
      <c r="IF895"/>
      <c r="IG895"/>
      <c r="IH895"/>
      <c r="II895"/>
      <c r="IJ895"/>
      <c r="IK895"/>
      <c r="IL895"/>
      <c r="IM895"/>
      <c r="IN895"/>
      <c r="IO895"/>
      <c r="IP895"/>
      <c r="IQ895"/>
      <c r="IR895"/>
      <c r="IS895"/>
      <c r="IT895"/>
      <c r="IU895"/>
      <c r="IV895"/>
      <c r="IW895"/>
      <c r="IX895"/>
    </row>
    <row r="896" spans="1:258" ht="12.75" customHeight="1" x14ac:dyDescent="0.2">
      <c r="A896" s="854"/>
      <c r="B896" s="1829" t="s">
        <v>1143</v>
      </c>
      <c r="C896" s="1796">
        <f t="shared" ref="C896:I896" si="190">SUM(C898:C902)</f>
        <v>2500000</v>
      </c>
      <c r="D896" s="852">
        <f t="shared" si="190"/>
        <v>2500000</v>
      </c>
      <c r="E896" s="1225">
        <f t="shared" si="190"/>
        <v>1800000</v>
      </c>
      <c r="F896" s="852">
        <f t="shared" si="190"/>
        <v>928486.97</v>
      </c>
      <c r="G896" s="852">
        <f>SUM(G897:G902)</f>
        <v>48800.28</v>
      </c>
      <c r="H896" s="1797">
        <f t="shared" si="190"/>
        <v>48800.28</v>
      </c>
      <c r="I896" s="1796">
        <f t="shared" si="190"/>
        <v>1750000</v>
      </c>
      <c r="J896" s="735"/>
      <c r="K896" s="1367"/>
      <c r="L896" s="848"/>
      <c r="M896" s="887"/>
      <c r="N896" s="843"/>
      <c r="O896"/>
      <c r="P896"/>
      <c r="Q896"/>
      <c r="R896"/>
      <c r="S896"/>
      <c r="T896"/>
      <c r="U896"/>
      <c r="V896"/>
      <c r="W896"/>
      <c r="X896"/>
      <c r="Y896"/>
      <c r="Z896"/>
      <c r="AA896"/>
      <c r="AB896"/>
      <c r="AC896"/>
      <c r="AD896"/>
      <c r="AE896"/>
      <c r="AF896"/>
      <c r="AG896"/>
      <c r="AH896"/>
      <c r="AI896"/>
      <c r="AJ896"/>
      <c r="AK896"/>
      <c r="AL896"/>
      <c r="AM896"/>
      <c r="AN896"/>
      <c r="AO896"/>
      <c r="AP896"/>
      <c r="AQ896"/>
      <c r="AR896"/>
      <c r="AS896"/>
      <c r="AT896"/>
      <c r="AU896"/>
      <c r="AV896"/>
      <c r="AW896"/>
      <c r="AX896"/>
      <c r="AY896"/>
      <c r="AZ896"/>
      <c r="BA896"/>
      <c r="BB896"/>
      <c r="BC896"/>
      <c r="BD896"/>
      <c r="BE896"/>
      <c r="BF896"/>
      <c r="BG896"/>
      <c r="BH896"/>
      <c r="BI896"/>
      <c r="BJ896"/>
      <c r="BK896"/>
      <c r="BL896"/>
      <c r="BM896"/>
      <c r="BN896"/>
      <c r="BO896"/>
      <c r="BP896"/>
      <c r="BQ896"/>
      <c r="BR896"/>
      <c r="BS896"/>
      <c r="BT896"/>
      <c r="BU896"/>
      <c r="BV896"/>
      <c r="BW896"/>
      <c r="BX896"/>
      <c r="BY896"/>
      <c r="BZ896"/>
      <c r="CA896"/>
      <c r="CB896"/>
      <c r="CC896"/>
      <c r="CD896"/>
      <c r="CE896"/>
      <c r="CF896"/>
      <c r="CG896"/>
      <c r="CH896"/>
      <c r="CI896"/>
      <c r="CJ896"/>
      <c r="CK896"/>
      <c r="CL896"/>
      <c r="CM896"/>
      <c r="CN896"/>
      <c r="CO896"/>
      <c r="CP896"/>
      <c r="CQ896"/>
      <c r="CR896"/>
      <c r="CS896"/>
      <c r="CT896"/>
      <c r="CU896"/>
      <c r="CV896"/>
      <c r="CW896"/>
      <c r="CX896"/>
      <c r="CY896"/>
      <c r="CZ896"/>
      <c r="DA896"/>
      <c r="DB896"/>
      <c r="DC896"/>
      <c r="DD896"/>
      <c r="DE896"/>
      <c r="DF896"/>
      <c r="DG896"/>
      <c r="DH896"/>
      <c r="DI896"/>
      <c r="DJ896"/>
      <c r="DK896"/>
      <c r="DL896"/>
      <c r="DM896"/>
      <c r="DN896"/>
      <c r="DO896"/>
      <c r="DP896"/>
      <c r="DQ896"/>
      <c r="DR896"/>
      <c r="DS896"/>
      <c r="DT896"/>
      <c r="DU896"/>
      <c r="DV896"/>
      <c r="DW896"/>
      <c r="DX896"/>
      <c r="DY896"/>
      <c r="DZ896"/>
      <c r="EA896"/>
      <c r="EB896"/>
      <c r="EC896"/>
      <c r="ED896"/>
      <c r="EE896"/>
      <c r="EF896"/>
      <c r="EG896"/>
      <c r="EH896"/>
      <c r="EI896"/>
      <c r="EJ896"/>
      <c r="EK896"/>
      <c r="EL896"/>
      <c r="EM896"/>
      <c r="EN896"/>
      <c r="EO896"/>
      <c r="EP896"/>
      <c r="EQ896"/>
      <c r="ER896"/>
      <c r="ES896"/>
      <c r="ET896"/>
      <c r="EU896"/>
      <c r="EV896"/>
      <c r="EW896"/>
      <c r="EX896"/>
      <c r="EY896"/>
      <c r="EZ896"/>
      <c r="FA896"/>
      <c r="FB896"/>
      <c r="FC896"/>
      <c r="FD896"/>
      <c r="FE896"/>
      <c r="FF896"/>
      <c r="FG896"/>
      <c r="FH896"/>
      <c r="FI896"/>
      <c r="FJ896"/>
      <c r="FK896"/>
      <c r="FL896"/>
      <c r="FM896"/>
      <c r="FN896"/>
      <c r="FO896"/>
      <c r="FP896"/>
      <c r="FQ896"/>
      <c r="FR896"/>
      <c r="FS896"/>
      <c r="FT896"/>
      <c r="FU896"/>
      <c r="FV896"/>
      <c r="FW896"/>
      <c r="FX896"/>
      <c r="FY896"/>
      <c r="FZ896"/>
      <c r="GA896"/>
      <c r="GB896"/>
      <c r="GC896"/>
      <c r="GD896"/>
      <c r="GE896"/>
      <c r="GF896"/>
      <c r="GG896"/>
      <c r="GH896"/>
      <c r="GI896"/>
      <c r="GJ896"/>
      <c r="GK896"/>
      <c r="GL896"/>
      <c r="GM896"/>
      <c r="GN896"/>
      <c r="GO896"/>
      <c r="GP896"/>
      <c r="GQ896"/>
      <c r="GR896"/>
      <c r="GS896"/>
      <c r="GT896"/>
      <c r="GU896"/>
      <c r="GV896"/>
      <c r="GW896"/>
      <c r="GX896"/>
      <c r="GY896"/>
      <c r="GZ896"/>
      <c r="HA896"/>
      <c r="HB896"/>
      <c r="HC896"/>
      <c r="HD896"/>
      <c r="HE896"/>
      <c r="HF896"/>
      <c r="HG896"/>
      <c r="HH896"/>
      <c r="HI896"/>
      <c r="HJ896"/>
      <c r="HK896"/>
      <c r="HL896"/>
      <c r="HM896"/>
      <c r="HN896"/>
      <c r="HO896"/>
      <c r="HP896"/>
      <c r="HQ896"/>
      <c r="HR896"/>
      <c r="HS896"/>
      <c r="HT896"/>
      <c r="HU896"/>
      <c r="HV896"/>
      <c r="HW896"/>
      <c r="HX896"/>
      <c r="HY896"/>
      <c r="HZ896"/>
      <c r="IA896"/>
      <c r="IB896"/>
      <c r="IC896"/>
      <c r="ID896"/>
      <c r="IE896"/>
      <c r="IF896"/>
      <c r="IG896"/>
      <c r="IH896"/>
      <c r="II896"/>
      <c r="IJ896"/>
      <c r="IK896"/>
      <c r="IL896"/>
      <c r="IM896"/>
      <c r="IN896"/>
      <c r="IO896"/>
      <c r="IP896"/>
      <c r="IQ896"/>
      <c r="IR896"/>
      <c r="IS896"/>
      <c r="IT896"/>
      <c r="IU896"/>
      <c r="IV896"/>
      <c r="IW896"/>
      <c r="IX896"/>
    </row>
    <row r="897" spans="1:258" ht="12.75" customHeight="1" x14ac:dyDescent="0.2">
      <c r="A897" s="854"/>
      <c r="B897" s="1820" t="s">
        <v>1488</v>
      </c>
      <c r="C897" s="1099">
        <v>0</v>
      </c>
      <c r="D897" s="1099">
        <v>0</v>
      </c>
      <c r="E897" s="1088">
        <v>0</v>
      </c>
      <c r="F897" s="1090">
        <v>0</v>
      </c>
      <c r="G897" s="1090">
        <v>0</v>
      </c>
      <c r="H897" s="1548">
        <v>0</v>
      </c>
      <c r="I897" s="1099">
        <v>100000</v>
      </c>
      <c r="J897" s="735"/>
      <c r="K897" s="1367"/>
      <c r="L897" s="848"/>
      <c r="M897" s="887"/>
      <c r="N897" s="843"/>
      <c r="O897"/>
      <c r="P897"/>
      <c r="Q897"/>
      <c r="R897"/>
      <c r="S897"/>
      <c r="T897"/>
      <c r="U897"/>
      <c r="V897"/>
      <c r="W897"/>
      <c r="X897"/>
      <c r="Y897"/>
      <c r="Z897"/>
      <c r="AA897"/>
      <c r="AB897"/>
      <c r="AC897"/>
      <c r="AD897"/>
      <c r="AE897"/>
      <c r="AF897"/>
      <c r="AG897"/>
      <c r="AH897"/>
      <c r="AI897"/>
      <c r="AJ897"/>
      <c r="AK897"/>
      <c r="AL897"/>
      <c r="AM897"/>
      <c r="AN897"/>
      <c r="AO897"/>
      <c r="AP897"/>
      <c r="AQ897"/>
      <c r="AR897"/>
      <c r="AS897"/>
      <c r="AT897"/>
      <c r="AU897"/>
      <c r="AV897"/>
      <c r="AW897"/>
      <c r="AX897"/>
      <c r="AY897"/>
      <c r="AZ897"/>
      <c r="BA897"/>
      <c r="BB897"/>
      <c r="BC897"/>
      <c r="BD897"/>
      <c r="BE897"/>
      <c r="BF897"/>
      <c r="BG897"/>
      <c r="BH897"/>
      <c r="BI897"/>
      <c r="BJ897"/>
      <c r="BK897"/>
      <c r="BL897"/>
      <c r="BM897"/>
      <c r="BN897"/>
      <c r="BO897"/>
      <c r="BP897"/>
      <c r="BQ897"/>
      <c r="BR897"/>
      <c r="BS897"/>
      <c r="BT897"/>
      <c r="BU897"/>
      <c r="BV897"/>
      <c r="BW897"/>
      <c r="BX897"/>
      <c r="BY897"/>
      <c r="BZ897"/>
      <c r="CA897"/>
      <c r="CB897"/>
      <c r="CC897"/>
      <c r="CD897"/>
      <c r="CE897"/>
      <c r="CF897"/>
      <c r="CG897"/>
      <c r="CH897"/>
      <c r="CI897"/>
      <c r="CJ897"/>
      <c r="CK897"/>
      <c r="CL897"/>
      <c r="CM897"/>
      <c r="CN897"/>
      <c r="CO897"/>
      <c r="CP897"/>
      <c r="CQ897"/>
      <c r="CR897"/>
      <c r="CS897"/>
      <c r="CT897"/>
      <c r="CU897"/>
      <c r="CV897"/>
      <c r="CW897"/>
      <c r="CX897"/>
      <c r="CY897"/>
      <c r="CZ897"/>
      <c r="DA897"/>
      <c r="DB897"/>
      <c r="DC897"/>
      <c r="DD897"/>
      <c r="DE897"/>
      <c r="DF897"/>
      <c r="DG897"/>
      <c r="DH897"/>
      <c r="DI897"/>
      <c r="DJ897"/>
      <c r="DK897"/>
      <c r="DL897"/>
      <c r="DM897"/>
      <c r="DN897"/>
      <c r="DO897"/>
      <c r="DP897"/>
      <c r="DQ897"/>
      <c r="DR897"/>
      <c r="DS897"/>
      <c r="DT897"/>
      <c r="DU897"/>
      <c r="DV897"/>
      <c r="DW897"/>
      <c r="DX897"/>
      <c r="DY897"/>
      <c r="DZ897"/>
      <c r="EA897"/>
      <c r="EB897"/>
      <c r="EC897"/>
      <c r="ED897"/>
      <c r="EE897"/>
      <c r="EF897"/>
      <c r="EG897"/>
      <c r="EH897"/>
      <c r="EI897"/>
      <c r="EJ897"/>
      <c r="EK897"/>
      <c r="EL897"/>
      <c r="EM897"/>
      <c r="EN897"/>
      <c r="EO897"/>
      <c r="EP897"/>
      <c r="EQ897"/>
      <c r="ER897"/>
      <c r="ES897"/>
      <c r="ET897"/>
      <c r="EU897"/>
      <c r="EV897"/>
      <c r="EW897"/>
      <c r="EX897"/>
      <c r="EY897"/>
      <c r="EZ897"/>
      <c r="FA897"/>
      <c r="FB897"/>
      <c r="FC897"/>
      <c r="FD897"/>
      <c r="FE897"/>
      <c r="FF897"/>
      <c r="FG897"/>
      <c r="FH897"/>
      <c r="FI897"/>
      <c r="FJ897"/>
      <c r="FK897"/>
      <c r="FL897"/>
      <c r="FM897"/>
      <c r="FN897"/>
      <c r="FO897"/>
      <c r="FP897"/>
      <c r="FQ897"/>
      <c r="FR897"/>
      <c r="FS897"/>
      <c r="FT897"/>
      <c r="FU897"/>
      <c r="FV897"/>
      <c r="FW897"/>
      <c r="FX897"/>
      <c r="FY897"/>
      <c r="FZ897"/>
      <c r="GA897"/>
      <c r="GB897"/>
      <c r="GC897"/>
      <c r="GD897"/>
      <c r="GE897"/>
      <c r="GF897"/>
      <c r="GG897"/>
      <c r="GH897"/>
      <c r="GI897"/>
      <c r="GJ897"/>
      <c r="GK897"/>
      <c r="GL897"/>
      <c r="GM897"/>
      <c r="GN897"/>
      <c r="GO897"/>
      <c r="GP897"/>
      <c r="GQ897"/>
      <c r="GR897"/>
      <c r="GS897"/>
      <c r="GT897"/>
      <c r="GU897"/>
      <c r="GV897"/>
      <c r="GW897"/>
      <c r="GX897"/>
      <c r="GY897"/>
      <c r="GZ897"/>
      <c r="HA897"/>
      <c r="HB897"/>
      <c r="HC897"/>
      <c r="HD897"/>
      <c r="HE897"/>
      <c r="HF897"/>
      <c r="HG897"/>
      <c r="HH897"/>
      <c r="HI897"/>
      <c r="HJ897"/>
      <c r="HK897"/>
      <c r="HL897"/>
      <c r="HM897"/>
      <c r="HN897"/>
      <c r="HO897"/>
      <c r="HP897"/>
      <c r="HQ897"/>
      <c r="HR897"/>
      <c r="HS897"/>
      <c r="HT897"/>
      <c r="HU897"/>
      <c r="HV897"/>
      <c r="HW897"/>
      <c r="HX897"/>
      <c r="HY897"/>
      <c r="HZ897"/>
      <c r="IA897"/>
      <c r="IB897"/>
      <c r="IC897"/>
      <c r="ID897"/>
      <c r="IE897"/>
      <c r="IF897"/>
      <c r="IG897"/>
      <c r="IH897"/>
      <c r="II897"/>
      <c r="IJ897"/>
      <c r="IK897"/>
      <c r="IL897"/>
      <c r="IM897"/>
      <c r="IN897"/>
      <c r="IO897"/>
      <c r="IP897"/>
      <c r="IQ897"/>
      <c r="IR897"/>
      <c r="IS897"/>
      <c r="IT897"/>
      <c r="IU897"/>
      <c r="IV897"/>
      <c r="IW897"/>
      <c r="IX897"/>
    </row>
    <row r="898" spans="1:258" ht="12.75" customHeight="1" x14ac:dyDescent="0.2">
      <c r="A898" s="854"/>
      <c r="B898" s="1820" t="s">
        <v>1489</v>
      </c>
      <c r="C898" s="1099">
        <v>700000</v>
      </c>
      <c r="D898" s="1099">
        <v>700000</v>
      </c>
      <c r="E898" s="1088">
        <v>700000</v>
      </c>
      <c r="F898" s="1090">
        <v>48800.28</v>
      </c>
      <c r="G898" s="1090">
        <v>48800.28</v>
      </c>
      <c r="H898" s="1548">
        <v>48800.28</v>
      </c>
      <c r="I898" s="1099">
        <v>200000</v>
      </c>
      <c r="J898" s="735"/>
      <c r="K898" s="1367"/>
      <c r="L898" s="848"/>
      <c r="M898" s="887"/>
      <c r="N898" s="843"/>
      <c r="O898"/>
      <c r="P898"/>
      <c r="Q898"/>
      <c r="R898"/>
      <c r="S898"/>
      <c r="T898"/>
      <c r="U898"/>
      <c r="V898"/>
      <c r="W898"/>
      <c r="X898"/>
      <c r="Y898"/>
      <c r="Z898"/>
      <c r="AA898"/>
      <c r="AB898"/>
      <c r="AC898"/>
      <c r="AD898"/>
      <c r="AE898"/>
      <c r="AF898"/>
      <c r="AG898"/>
      <c r="AH898"/>
      <c r="AI898"/>
      <c r="AJ898"/>
      <c r="AK898"/>
      <c r="AL898"/>
      <c r="AM898"/>
      <c r="AN898"/>
      <c r="AO898"/>
      <c r="AP898"/>
      <c r="AQ898"/>
      <c r="AR898"/>
      <c r="AS898"/>
      <c r="AT898"/>
      <c r="AU898"/>
      <c r="AV898"/>
      <c r="AW898"/>
      <c r="AX898"/>
      <c r="AY898"/>
      <c r="AZ898"/>
      <c r="BA898"/>
      <c r="BB898"/>
      <c r="BC898"/>
      <c r="BD898"/>
      <c r="BE898"/>
      <c r="BF898"/>
      <c r="BG898"/>
      <c r="BH898"/>
      <c r="BI898"/>
      <c r="BJ898"/>
      <c r="BK898"/>
      <c r="BL898"/>
      <c r="BM898"/>
      <c r="BN898"/>
      <c r="BO898"/>
      <c r="BP898"/>
      <c r="BQ898"/>
      <c r="BR898"/>
      <c r="BS898"/>
      <c r="BT898"/>
      <c r="BU898"/>
      <c r="BV898"/>
      <c r="BW898"/>
      <c r="BX898"/>
      <c r="BY898"/>
      <c r="BZ898"/>
      <c r="CA898"/>
      <c r="CB898"/>
      <c r="CC898"/>
      <c r="CD898"/>
      <c r="CE898"/>
      <c r="CF898"/>
      <c r="CG898"/>
      <c r="CH898"/>
      <c r="CI898"/>
      <c r="CJ898"/>
      <c r="CK898"/>
      <c r="CL898"/>
      <c r="CM898"/>
      <c r="CN898"/>
      <c r="CO898"/>
      <c r="CP898"/>
      <c r="CQ898"/>
      <c r="CR898"/>
      <c r="CS898"/>
      <c r="CT898"/>
      <c r="CU898"/>
      <c r="CV898"/>
      <c r="CW898"/>
      <c r="CX898"/>
      <c r="CY898"/>
      <c r="CZ898"/>
      <c r="DA898"/>
      <c r="DB898"/>
      <c r="DC898"/>
      <c r="DD898"/>
      <c r="DE898"/>
      <c r="DF898"/>
      <c r="DG898"/>
      <c r="DH898"/>
      <c r="DI898"/>
      <c r="DJ898"/>
      <c r="DK898"/>
      <c r="DL898"/>
      <c r="DM898"/>
      <c r="DN898"/>
      <c r="DO898"/>
      <c r="DP898"/>
      <c r="DQ898"/>
      <c r="DR898"/>
      <c r="DS898"/>
      <c r="DT898"/>
      <c r="DU898"/>
      <c r="DV898"/>
      <c r="DW898"/>
      <c r="DX898"/>
      <c r="DY898"/>
      <c r="DZ898"/>
      <c r="EA898"/>
      <c r="EB898"/>
      <c r="EC898"/>
      <c r="ED898"/>
      <c r="EE898"/>
      <c r="EF898"/>
      <c r="EG898"/>
      <c r="EH898"/>
      <c r="EI898"/>
      <c r="EJ898"/>
      <c r="EK898"/>
      <c r="EL898"/>
      <c r="EM898"/>
      <c r="EN898"/>
      <c r="EO898"/>
      <c r="EP898"/>
      <c r="EQ898"/>
      <c r="ER898"/>
      <c r="ES898"/>
      <c r="ET898"/>
      <c r="EU898"/>
      <c r="EV898"/>
      <c r="EW898"/>
      <c r="EX898"/>
      <c r="EY898"/>
      <c r="EZ898"/>
      <c r="FA898"/>
      <c r="FB898"/>
      <c r="FC898"/>
      <c r="FD898"/>
      <c r="FE898"/>
      <c r="FF898"/>
      <c r="FG898"/>
      <c r="FH898"/>
      <c r="FI898"/>
      <c r="FJ898"/>
      <c r="FK898"/>
      <c r="FL898"/>
      <c r="FM898"/>
      <c r="FN898"/>
      <c r="FO898"/>
      <c r="FP898"/>
      <c r="FQ898"/>
      <c r="FR898"/>
      <c r="FS898"/>
      <c r="FT898"/>
      <c r="FU898"/>
      <c r="FV898"/>
      <c r="FW898"/>
      <c r="FX898"/>
      <c r="FY898"/>
      <c r="FZ898"/>
      <c r="GA898"/>
      <c r="GB898"/>
      <c r="GC898"/>
      <c r="GD898"/>
      <c r="GE898"/>
      <c r="GF898"/>
      <c r="GG898"/>
      <c r="GH898"/>
      <c r="GI898"/>
      <c r="GJ898"/>
      <c r="GK898"/>
      <c r="GL898"/>
      <c r="GM898"/>
      <c r="GN898"/>
      <c r="GO898"/>
      <c r="GP898"/>
      <c r="GQ898"/>
      <c r="GR898"/>
      <c r="GS898"/>
      <c r="GT898"/>
      <c r="GU898"/>
      <c r="GV898"/>
      <c r="GW898"/>
      <c r="GX898"/>
      <c r="GY898"/>
      <c r="GZ898"/>
      <c r="HA898"/>
      <c r="HB898"/>
      <c r="HC898"/>
      <c r="HD898"/>
      <c r="HE898"/>
      <c r="HF898"/>
      <c r="HG898"/>
      <c r="HH898"/>
      <c r="HI898"/>
      <c r="HJ898"/>
      <c r="HK898"/>
      <c r="HL898"/>
      <c r="HM898"/>
      <c r="HN898"/>
      <c r="HO898"/>
      <c r="HP898"/>
      <c r="HQ898"/>
      <c r="HR898"/>
      <c r="HS898"/>
      <c r="HT898"/>
      <c r="HU898"/>
      <c r="HV898"/>
      <c r="HW898"/>
      <c r="HX898"/>
      <c r="HY898"/>
      <c r="HZ898"/>
      <c r="IA898"/>
      <c r="IB898"/>
      <c r="IC898"/>
      <c r="ID898"/>
      <c r="IE898"/>
      <c r="IF898"/>
      <c r="IG898"/>
      <c r="IH898"/>
      <c r="II898"/>
      <c r="IJ898"/>
      <c r="IK898"/>
      <c r="IL898"/>
      <c r="IM898"/>
      <c r="IN898"/>
      <c r="IO898"/>
      <c r="IP898"/>
      <c r="IQ898"/>
      <c r="IR898"/>
      <c r="IS898"/>
      <c r="IT898"/>
      <c r="IU898"/>
      <c r="IV898"/>
      <c r="IW898"/>
      <c r="IX898"/>
    </row>
    <row r="899" spans="1:258" ht="12.75" customHeight="1" x14ac:dyDescent="0.2">
      <c r="A899" s="854"/>
      <c r="B899" s="1820" t="s">
        <v>1490</v>
      </c>
      <c r="C899" s="1572">
        <v>700000</v>
      </c>
      <c r="D899" s="1572">
        <v>700000</v>
      </c>
      <c r="E899" s="904">
        <v>0</v>
      </c>
      <c r="F899" s="733">
        <v>0</v>
      </c>
      <c r="G899" s="733">
        <v>0</v>
      </c>
      <c r="H899" s="1176">
        <v>0</v>
      </c>
      <c r="I899" s="1572">
        <v>450000</v>
      </c>
      <c r="J899" s="858"/>
      <c r="K899" s="1371"/>
      <c r="L899" s="848"/>
      <c r="M899" s="887"/>
      <c r="N899" s="843"/>
      <c r="O899"/>
      <c r="P899"/>
      <c r="Q899"/>
      <c r="R899"/>
      <c r="S899"/>
      <c r="T899"/>
      <c r="U899"/>
      <c r="V899"/>
      <c r="W899"/>
      <c r="X899"/>
      <c r="Y899"/>
      <c r="Z899"/>
      <c r="AA899"/>
      <c r="AB899"/>
      <c r="AC899"/>
      <c r="AD899"/>
      <c r="AE899"/>
      <c r="AF899"/>
      <c r="AG899"/>
      <c r="AH899"/>
      <c r="AI899"/>
      <c r="AJ899"/>
      <c r="AK899"/>
      <c r="AL899"/>
      <c r="AM899"/>
      <c r="AN899"/>
      <c r="AO899"/>
      <c r="AP899"/>
      <c r="AQ899"/>
      <c r="AR899"/>
      <c r="AS899"/>
      <c r="AT899"/>
      <c r="AU899"/>
      <c r="AV899"/>
      <c r="AW899"/>
      <c r="AX899"/>
      <c r="AY899"/>
      <c r="AZ899"/>
      <c r="BA899"/>
      <c r="BB899"/>
      <c r="BC899"/>
      <c r="BD899"/>
      <c r="BE899"/>
      <c r="BF899"/>
      <c r="BG899"/>
      <c r="BH899"/>
      <c r="BI899"/>
      <c r="BJ899"/>
      <c r="BK899"/>
      <c r="BL899"/>
      <c r="BM899"/>
      <c r="BN899"/>
      <c r="BO899"/>
      <c r="BP899"/>
      <c r="BQ899"/>
      <c r="BR899"/>
      <c r="BS899"/>
      <c r="BT899"/>
      <c r="BU899"/>
      <c r="BV899"/>
      <c r="BW899"/>
      <c r="BX899"/>
      <c r="BY899"/>
      <c r="BZ899"/>
      <c r="CA899"/>
      <c r="CB899"/>
      <c r="CC899"/>
      <c r="CD899"/>
      <c r="CE899"/>
      <c r="CF899"/>
      <c r="CG899"/>
      <c r="CH899"/>
      <c r="CI899"/>
      <c r="CJ899"/>
      <c r="CK899"/>
      <c r="CL899"/>
      <c r="CM899"/>
      <c r="CN899"/>
      <c r="CO899"/>
      <c r="CP899"/>
      <c r="CQ899"/>
      <c r="CR899"/>
      <c r="CS899"/>
      <c r="CT899"/>
      <c r="CU899"/>
      <c r="CV899"/>
      <c r="CW899"/>
      <c r="CX899"/>
      <c r="CY899"/>
      <c r="CZ899"/>
      <c r="DA899"/>
      <c r="DB899"/>
      <c r="DC899"/>
      <c r="DD899"/>
      <c r="DE899"/>
      <c r="DF899"/>
      <c r="DG899"/>
      <c r="DH899"/>
      <c r="DI899"/>
      <c r="DJ899"/>
      <c r="DK899"/>
      <c r="DL899"/>
      <c r="DM899"/>
      <c r="DN899"/>
      <c r="DO899"/>
      <c r="DP899"/>
      <c r="DQ899"/>
      <c r="DR899"/>
      <c r="DS899"/>
      <c r="DT899"/>
      <c r="DU899"/>
      <c r="DV899"/>
      <c r="DW899"/>
      <c r="DX899"/>
      <c r="DY899"/>
      <c r="DZ899"/>
      <c r="EA899"/>
      <c r="EB899"/>
      <c r="EC899"/>
      <c r="ED899"/>
      <c r="EE899"/>
      <c r="EF899"/>
      <c r="EG899"/>
      <c r="EH899"/>
      <c r="EI899"/>
      <c r="EJ899"/>
      <c r="EK899"/>
      <c r="EL899"/>
      <c r="EM899"/>
      <c r="EN899"/>
      <c r="EO899"/>
      <c r="EP899"/>
      <c r="EQ899"/>
      <c r="ER899"/>
      <c r="ES899"/>
      <c r="ET899"/>
      <c r="EU899"/>
      <c r="EV899"/>
      <c r="EW899"/>
      <c r="EX899"/>
      <c r="EY899"/>
      <c r="EZ899"/>
      <c r="FA899"/>
      <c r="FB899"/>
      <c r="FC899"/>
      <c r="FD899"/>
      <c r="FE899"/>
      <c r="FF899"/>
      <c r="FG899"/>
      <c r="FH899"/>
      <c r="FI899"/>
      <c r="FJ899"/>
      <c r="FK899"/>
      <c r="FL899"/>
      <c r="FM899"/>
      <c r="FN899"/>
      <c r="FO899"/>
      <c r="FP899"/>
      <c r="FQ899"/>
      <c r="FR899"/>
      <c r="FS899"/>
      <c r="FT899"/>
      <c r="FU899"/>
      <c r="FV899"/>
      <c r="FW899"/>
      <c r="FX899"/>
      <c r="FY899"/>
      <c r="FZ899"/>
      <c r="GA899"/>
      <c r="GB899"/>
      <c r="GC899"/>
      <c r="GD899"/>
      <c r="GE899"/>
      <c r="GF899"/>
      <c r="GG899"/>
      <c r="GH899"/>
      <c r="GI899"/>
      <c r="GJ899"/>
      <c r="GK899"/>
      <c r="GL899"/>
      <c r="GM899"/>
      <c r="GN899"/>
      <c r="GO899"/>
      <c r="GP899"/>
      <c r="GQ899"/>
      <c r="GR899"/>
      <c r="GS899"/>
      <c r="GT899"/>
      <c r="GU899"/>
      <c r="GV899"/>
      <c r="GW899"/>
      <c r="GX899"/>
      <c r="GY899"/>
      <c r="GZ899"/>
      <c r="HA899"/>
      <c r="HB899"/>
      <c r="HC899"/>
      <c r="HD899"/>
      <c r="HE899"/>
      <c r="HF899"/>
      <c r="HG899"/>
      <c r="HH899"/>
      <c r="HI899"/>
      <c r="HJ899"/>
      <c r="HK899"/>
      <c r="HL899"/>
      <c r="HM899"/>
      <c r="HN899"/>
      <c r="HO899"/>
      <c r="HP899"/>
      <c r="HQ899"/>
      <c r="HR899"/>
      <c r="HS899"/>
      <c r="HT899"/>
      <c r="HU899"/>
      <c r="HV899"/>
      <c r="HW899"/>
      <c r="HX899"/>
      <c r="HY899"/>
      <c r="HZ899"/>
      <c r="IA899"/>
      <c r="IB899"/>
      <c r="IC899"/>
      <c r="ID899"/>
      <c r="IE899"/>
      <c r="IF899"/>
      <c r="IG899"/>
      <c r="IH899"/>
      <c r="II899"/>
      <c r="IJ899"/>
      <c r="IK899"/>
      <c r="IL899"/>
      <c r="IM899"/>
      <c r="IN899"/>
      <c r="IO899"/>
      <c r="IP899"/>
      <c r="IQ899"/>
      <c r="IR899"/>
      <c r="IS899"/>
      <c r="IT899"/>
      <c r="IU899"/>
      <c r="IV899"/>
      <c r="IW899"/>
      <c r="IX899"/>
    </row>
    <row r="900" spans="1:258" ht="12.75" customHeight="1" x14ac:dyDescent="0.2">
      <c r="A900" s="854"/>
      <c r="B900" s="1819" t="s">
        <v>1491</v>
      </c>
      <c r="C900" s="1099">
        <v>200000</v>
      </c>
      <c r="D900" s="1099">
        <v>200000</v>
      </c>
      <c r="E900" s="1088">
        <v>200000</v>
      </c>
      <c r="F900" s="1090">
        <v>0</v>
      </c>
      <c r="G900" s="1090">
        <v>0</v>
      </c>
      <c r="H900" s="1548">
        <v>0</v>
      </c>
      <c r="I900" s="1099">
        <v>200000</v>
      </c>
      <c r="J900" s="735"/>
      <c r="K900" s="1371"/>
      <c r="L900" s="848"/>
      <c r="M900" s="887"/>
      <c r="N900" s="843"/>
      <c r="O900"/>
      <c r="P900"/>
      <c r="Q900"/>
      <c r="R900"/>
      <c r="S900"/>
      <c r="T900"/>
      <c r="U900"/>
      <c r="V900"/>
      <c r="W900"/>
      <c r="X900"/>
      <c r="Y900"/>
      <c r="Z900"/>
      <c r="AA900"/>
      <c r="AB900"/>
      <c r="AC900"/>
      <c r="AD900"/>
      <c r="AE900"/>
      <c r="AF900"/>
      <c r="AG900"/>
      <c r="AH900"/>
      <c r="AI900"/>
      <c r="AJ900"/>
      <c r="AK900"/>
      <c r="AL900"/>
      <c r="AM900"/>
      <c r="AN900"/>
      <c r="AO900"/>
      <c r="AP900"/>
      <c r="AQ900"/>
      <c r="AR900"/>
      <c r="AS900"/>
      <c r="AT900"/>
      <c r="AU900"/>
      <c r="AV900"/>
      <c r="AW900"/>
      <c r="AX900"/>
      <c r="AY900"/>
      <c r="AZ900"/>
      <c r="BA900"/>
      <c r="BB900"/>
      <c r="BC900"/>
      <c r="BD900"/>
      <c r="BE900"/>
      <c r="BF900"/>
      <c r="BG900"/>
      <c r="BH900"/>
      <c r="BI900"/>
      <c r="BJ900"/>
      <c r="BK900"/>
      <c r="BL900"/>
      <c r="BM900"/>
      <c r="BN900"/>
      <c r="BO900"/>
      <c r="BP900"/>
      <c r="BQ900"/>
      <c r="BR900"/>
      <c r="BS900"/>
      <c r="BT900"/>
      <c r="BU900"/>
      <c r="BV900"/>
      <c r="BW900"/>
      <c r="BX900"/>
      <c r="BY900"/>
      <c r="BZ900"/>
      <c r="CA900"/>
      <c r="CB900"/>
      <c r="CC900"/>
      <c r="CD900"/>
      <c r="CE900"/>
      <c r="CF900"/>
      <c r="CG900"/>
      <c r="CH900"/>
      <c r="CI900"/>
      <c r="CJ900"/>
      <c r="CK900"/>
      <c r="CL900"/>
      <c r="CM900"/>
      <c r="CN900"/>
      <c r="CO900"/>
      <c r="CP900"/>
      <c r="CQ900"/>
      <c r="CR900"/>
      <c r="CS900"/>
      <c r="CT900"/>
      <c r="CU900"/>
      <c r="CV900"/>
      <c r="CW900"/>
      <c r="CX900"/>
      <c r="CY900"/>
      <c r="CZ900"/>
      <c r="DA900"/>
      <c r="DB900"/>
      <c r="DC900"/>
      <c r="DD900"/>
      <c r="DE900"/>
      <c r="DF900"/>
      <c r="DG900"/>
      <c r="DH900"/>
      <c r="DI900"/>
      <c r="DJ900"/>
      <c r="DK900"/>
      <c r="DL900"/>
      <c r="DM900"/>
      <c r="DN900"/>
      <c r="DO900"/>
      <c r="DP900"/>
      <c r="DQ900"/>
      <c r="DR900"/>
      <c r="DS900"/>
      <c r="DT900"/>
      <c r="DU900"/>
      <c r="DV900"/>
      <c r="DW900"/>
      <c r="DX900"/>
      <c r="DY900"/>
      <c r="DZ900"/>
      <c r="EA900"/>
      <c r="EB900"/>
      <c r="EC900"/>
      <c r="ED900"/>
      <c r="EE900"/>
      <c r="EF900"/>
      <c r="EG900"/>
      <c r="EH900"/>
      <c r="EI900"/>
      <c r="EJ900"/>
      <c r="EK900"/>
      <c r="EL900"/>
      <c r="EM900"/>
      <c r="EN900"/>
      <c r="EO900"/>
      <c r="EP900"/>
      <c r="EQ900"/>
      <c r="ER900"/>
      <c r="ES900"/>
      <c r="ET900"/>
      <c r="EU900"/>
      <c r="EV900"/>
      <c r="EW900"/>
      <c r="EX900"/>
      <c r="EY900"/>
      <c r="EZ900"/>
      <c r="FA900"/>
      <c r="FB900"/>
      <c r="FC900"/>
      <c r="FD900"/>
      <c r="FE900"/>
      <c r="FF900"/>
      <c r="FG900"/>
      <c r="FH900"/>
      <c r="FI900"/>
      <c r="FJ900"/>
      <c r="FK900"/>
      <c r="FL900"/>
      <c r="FM900"/>
      <c r="FN900"/>
      <c r="FO900"/>
      <c r="FP900"/>
      <c r="FQ900"/>
      <c r="FR900"/>
      <c r="FS900"/>
      <c r="FT900"/>
      <c r="FU900"/>
      <c r="FV900"/>
      <c r="FW900"/>
      <c r="FX900"/>
      <c r="FY900"/>
      <c r="FZ900"/>
      <c r="GA900"/>
      <c r="GB900"/>
      <c r="GC900"/>
      <c r="GD900"/>
      <c r="GE900"/>
      <c r="GF900"/>
      <c r="GG900"/>
      <c r="GH900"/>
      <c r="GI900"/>
      <c r="GJ900"/>
      <c r="GK900"/>
      <c r="GL900"/>
      <c r="GM900"/>
      <c r="GN900"/>
      <c r="GO900"/>
      <c r="GP900"/>
      <c r="GQ900"/>
      <c r="GR900"/>
      <c r="GS900"/>
      <c r="GT900"/>
      <c r="GU900"/>
      <c r="GV900"/>
      <c r="GW900"/>
      <c r="GX900"/>
      <c r="GY900"/>
      <c r="GZ900"/>
      <c r="HA900"/>
      <c r="HB900"/>
      <c r="HC900"/>
      <c r="HD900"/>
      <c r="HE900"/>
      <c r="HF900"/>
      <c r="HG900"/>
      <c r="HH900"/>
      <c r="HI900"/>
      <c r="HJ900"/>
      <c r="HK900"/>
      <c r="HL900"/>
      <c r="HM900"/>
      <c r="HN900"/>
      <c r="HO900"/>
      <c r="HP900"/>
      <c r="HQ900"/>
      <c r="HR900"/>
      <c r="HS900"/>
      <c r="HT900"/>
      <c r="HU900"/>
      <c r="HV900"/>
      <c r="HW900"/>
      <c r="HX900"/>
      <c r="HY900"/>
      <c r="HZ900"/>
      <c r="IA900"/>
      <c r="IB900"/>
      <c r="IC900"/>
      <c r="ID900"/>
      <c r="IE900"/>
      <c r="IF900"/>
      <c r="IG900"/>
      <c r="IH900"/>
      <c r="II900"/>
      <c r="IJ900"/>
      <c r="IK900"/>
      <c r="IL900"/>
      <c r="IM900"/>
      <c r="IN900"/>
      <c r="IO900"/>
      <c r="IP900"/>
      <c r="IQ900"/>
      <c r="IR900"/>
      <c r="IS900"/>
      <c r="IT900"/>
      <c r="IU900"/>
      <c r="IV900"/>
      <c r="IW900"/>
      <c r="IX900"/>
    </row>
    <row r="901" spans="1:258" ht="12.75" customHeight="1" x14ac:dyDescent="0.2">
      <c r="A901" s="854"/>
      <c r="B901" s="1826" t="s">
        <v>1955</v>
      </c>
      <c r="C901" s="1814">
        <v>200000</v>
      </c>
      <c r="D901" s="1814">
        <v>200000</v>
      </c>
      <c r="E901" s="2081">
        <v>200000</v>
      </c>
      <c r="F901" s="950">
        <v>200000</v>
      </c>
      <c r="G901" s="1090">
        <v>0</v>
      </c>
      <c r="H901" s="1548">
        <v>0</v>
      </c>
      <c r="I901" s="1814">
        <v>400000</v>
      </c>
      <c r="J901" s="858"/>
      <c r="K901" s="1371"/>
      <c r="L901" s="848"/>
      <c r="M901" s="887"/>
      <c r="N901" s="843"/>
      <c r="O901"/>
      <c r="P901"/>
      <c r="Q901"/>
      <c r="R901"/>
      <c r="S901"/>
      <c r="T901"/>
      <c r="U901"/>
      <c r="V901"/>
      <c r="W901"/>
      <c r="X901"/>
      <c r="Y901"/>
      <c r="Z901"/>
      <c r="AA901"/>
      <c r="AB901"/>
      <c r="AC901"/>
      <c r="AD901"/>
      <c r="AE901"/>
      <c r="AF901"/>
      <c r="AG901"/>
      <c r="AH901"/>
      <c r="AI901"/>
      <c r="AJ901"/>
      <c r="AK901"/>
      <c r="AL901"/>
      <c r="AM901"/>
      <c r="AN901"/>
      <c r="AO901"/>
      <c r="AP901"/>
      <c r="AQ901"/>
      <c r="AR901"/>
      <c r="AS901"/>
      <c r="AT901"/>
      <c r="AU901"/>
      <c r="AV901"/>
      <c r="AW901"/>
      <c r="AX901"/>
      <c r="AY901"/>
      <c r="AZ901"/>
      <c r="BA901"/>
      <c r="BB901"/>
      <c r="BC901"/>
      <c r="BD901"/>
      <c r="BE901"/>
      <c r="BF901"/>
      <c r="BG901"/>
      <c r="BH901"/>
      <c r="BI901"/>
      <c r="BJ901"/>
      <c r="BK901"/>
      <c r="BL901"/>
      <c r="BM901"/>
      <c r="BN901"/>
      <c r="BO901"/>
      <c r="BP901"/>
      <c r="BQ901"/>
      <c r="BR901"/>
      <c r="BS901"/>
      <c r="BT901"/>
      <c r="BU901"/>
      <c r="BV901"/>
      <c r="BW901"/>
      <c r="BX901"/>
      <c r="BY901"/>
      <c r="BZ901"/>
      <c r="CA901"/>
      <c r="CB901"/>
      <c r="CC901"/>
      <c r="CD901"/>
      <c r="CE901"/>
      <c r="CF901"/>
      <c r="CG901"/>
      <c r="CH901"/>
      <c r="CI901"/>
      <c r="CJ901"/>
      <c r="CK901"/>
      <c r="CL901"/>
      <c r="CM901"/>
      <c r="CN901"/>
      <c r="CO901"/>
      <c r="CP901"/>
      <c r="CQ901"/>
      <c r="CR901"/>
      <c r="CS901"/>
      <c r="CT901"/>
      <c r="CU901"/>
      <c r="CV901"/>
      <c r="CW901"/>
      <c r="CX901"/>
      <c r="CY901"/>
      <c r="CZ901"/>
      <c r="DA901"/>
      <c r="DB901"/>
      <c r="DC901"/>
      <c r="DD901"/>
      <c r="DE901"/>
      <c r="DF901"/>
      <c r="DG901"/>
      <c r="DH901"/>
      <c r="DI901"/>
      <c r="DJ901"/>
      <c r="DK901"/>
      <c r="DL901"/>
      <c r="DM901"/>
      <c r="DN901"/>
      <c r="DO901"/>
      <c r="DP901"/>
      <c r="DQ901"/>
      <c r="DR901"/>
      <c r="DS901"/>
      <c r="DT901"/>
      <c r="DU901"/>
      <c r="DV901"/>
      <c r="DW901"/>
      <c r="DX901"/>
      <c r="DY901"/>
      <c r="DZ901"/>
      <c r="EA901"/>
      <c r="EB901"/>
      <c r="EC901"/>
      <c r="ED901"/>
      <c r="EE901"/>
      <c r="EF901"/>
      <c r="EG901"/>
      <c r="EH901"/>
      <c r="EI901"/>
      <c r="EJ901"/>
      <c r="EK901"/>
      <c r="EL901"/>
      <c r="EM901"/>
      <c r="EN901"/>
      <c r="EO901"/>
      <c r="EP901"/>
      <c r="EQ901"/>
      <c r="ER901"/>
      <c r="ES901"/>
      <c r="ET901"/>
      <c r="EU901"/>
      <c r="EV901"/>
      <c r="EW901"/>
      <c r="EX901"/>
      <c r="EY901"/>
      <c r="EZ901"/>
      <c r="FA901"/>
      <c r="FB901"/>
      <c r="FC901"/>
      <c r="FD901"/>
      <c r="FE901"/>
      <c r="FF901"/>
      <c r="FG901"/>
      <c r="FH901"/>
      <c r="FI901"/>
      <c r="FJ901"/>
      <c r="FK901"/>
      <c r="FL901"/>
      <c r="FM901"/>
      <c r="FN901"/>
      <c r="FO901"/>
      <c r="FP901"/>
      <c r="FQ901"/>
      <c r="FR901"/>
      <c r="FS901"/>
      <c r="FT901"/>
      <c r="FU901"/>
      <c r="FV901"/>
      <c r="FW901"/>
      <c r="FX901"/>
      <c r="FY901"/>
      <c r="FZ901"/>
      <c r="GA901"/>
      <c r="GB901"/>
      <c r="GC901"/>
      <c r="GD901"/>
      <c r="GE901"/>
      <c r="GF901"/>
      <c r="GG901"/>
      <c r="GH901"/>
      <c r="GI901"/>
      <c r="GJ901"/>
      <c r="GK901"/>
      <c r="GL901"/>
      <c r="GM901"/>
      <c r="GN901"/>
      <c r="GO901"/>
      <c r="GP901"/>
      <c r="GQ901"/>
      <c r="GR901"/>
      <c r="GS901"/>
      <c r="GT901"/>
      <c r="GU901"/>
      <c r="GV901"/>
      <c r="GW901"/>
      <c r="GX901"/>
      <c r="GY901"/>
      <c r="GZ901"/>
      <c r="HA901"/>
      <c r="HB901"/>
      <c r="HC901"/>
      <c r="HD901"/>
      <c r="HE901"/>
      <c r="HF901"/>
      <c r="HG901"/>
      <c r="HH901"/>
      <c r="HI901"/>
      <c r="HJ901"/>
      <c r="HK901"/>
      <c r="HL901"/>
      <c r="HM901"/>
      <c r="HN901"/>
      <c r="HO901"/>
      <c r="HP901"/>
      <c r="HQ901"/>
      <c r="HR901"/>
      <c r="HS901"/>
      <c r="HT901"/>
      <c r="HU901"/>
      <c r="HV901"/>
      <c r="HW901"/>
      <c r="HX901"/>
      <c r="HY901"/>
      <c r="HZ901"/>
      <c r="IA901"/>
      <c r="IB901"/>
      <c r="IC901"/>
      <c r="ID901"/>
      <c r="IE901"/>
      <c r="IF901"/>
      <c r="IG901"/>
      <c r="IH901"/>
      <c r="II901"/>
      <c r="IJ901"/>
      <c r="IK901"/>
      <c r="IL901"/>
      <c r="IM901"/>
      <c r="IN901"/>
      <c r="IO901"/>
      <c r="IP901"/>
      <c r="IQ901"/>
      <c r="IR901"/>
      <c r="IS901"/>
      <c r="IT901"/>
      <c r="IU901"/>
      <c r="IV901"/>
      <c r="IW901"/>
      <c r="IX901"/>
    </row>
    <row r="902" spans="1:258" ht="28.9" customHeight="1" x14ac:dyDescent="0.2">
      <c r="A902" s="851"/>
      <c r="B902" s="1819" t="s">
        <v>1492</v>
      </c>
      <c r="C902" s="1099">
        <v>700000</v>
      </c>
      <c r="D902" s="1090">
        <v>700000</v>
      </c>
      <c r="E902" s="1088">
        <v>700000</v>
      </c>
      <c r="F902" s="1090">
        <v>679686.69</v>
      </c>
      <c r="G902" s="1090">
        <v>0</v>
      </c>
      <c r="H902" s="1548">
        <v>0</v>
      </c>
      <c r="I902" s="1099">
        <v>500000</v>
      </c>
      <c r="J902" s="858"/>
      <c r="K902" s="1372"/>
      <c r="L902" s="848"/>
      <c r="M902" s="887"/>
      <c r="N902" s="843"/>
      <c r="O902"/>
      <c r="P902"/>
      <c r="Q902"/>
      <c r="R902"/>
      <c r="S902"/>
      <c r="T902"/>
      <c r="U902"/>
      <c r="V902"/>
      <c r="W902"/>
      <c r="X902"/>
      <c r="Y902"/>
      <c r="Z902"/>
      <c r="AA902"/>
      <c r="AB902"/>
      <c r="AC902"/>
      <c r="AD902"/>
      <c r="AE902"/>
      <c r="AF902"/>
      <c r="AG902"/>
      <c r="AH902"/>
      <c r="AI902"/>
      <c r="AJ902"/>
      <c r="AK902"/>
      <c r="AL902"/>
      <c r="AM902"/>
      <c r="AN902"/>
      <c r="AO902"/>
      <c r="AP902"/>
      <c r="AQ902"/>
      <c r="AR902"/>
      <c r="AS902"/>
      <c r="AT902"/>
      <c r="AU902"/>
      <c r="AV902"/>
      <c r="AW902"/>
      <c r="AX902"/>
      <c r="AY902"/>
      <c r="AZ902"/>
      <c r="BA902"/>
      <c r="BB902"/>
      <c r="BC902"/>
      <c r="BD902"/>
      <c r="BE902"/>
      <c r="BF902"/>
      <c r="BG902"/>
      <c r="BH902"/>
      <c r="BI902"/>
      <c r="BJ902"/>
      <c r="BK902"/>
      <c r="BL902"/>
      <c r="BM902"/>
      <c r="BN902"/>
      <c r="BO902"/>
      <c r="BP902"/>
      <c r="BQ902"/>
      <c r="BR902"/>
      <c r="BS902"/>
      <c r="BT902"/>
      <c r="BU902"/>
      <c r="BV902"/>
      <c r="BW902"/>
      <c r="BX902"/>
      <c r="BY902"/>
      <c r="BZ902"/>
      <c r="CA902"/>
      <c r="CB902"/>
      <c r="CC902"/>
      <c r="CD902"/>
      <c r="CE902"/>
      <c r="CF902"/>
      <c r="CG902"/>
      <c r="CH902"/>
      <c r="CI902"/>
      <c r="CJ902"/>
      <c r="CK902"/>
      <c r="CL902"/>
      <c r="CM902"/>
      <c r="CN902"/>
      <c r="CO902"/>
      <c r="CP902"/>
      <c r="CQ902"/>
      <c r="CR902"/>
      <c r="CS902"/>
      <c r="CT902"/>
      <c r="CU902"/>
      <c r="CV902"/>
      <c r="CW902"/>
      <c r="CX902"/>
      <c r="CY902"/>
      <c r="CZ902"/>
      <c r="DA902"/>
      <c r="DB902"/>
      <c r="DC902"/>
      <c r="DD902"/>
      <c r="DE902"/>
      <c r="DF902"/>
      <c r="DG902"/>
      <c r="DH902"/>
      <c r="DI902"/>
      <c r="DJ902"/>
      <c r="DK902"/>
      <c r="DL902"/>
      <c r="DM902"/>
      <c r="DN902"/>
      <c r="DO902"/>
      <c r="DP902"/>
      <c r="DQ902"/>
      <c r="DR902"/>
      <c r="DS902"/>
      <c r="DT902"/>
      <c r="DU902"/>
      <c r="DV902"/>
      <c r="DW902"/>
      <c r="DX902"/>
      <c r="DY902"/>
      <c r="DZ902"/>
      <c r="EA902"/>
      <c r="EB902"/>
      <c r="EC902"/>
      <c r="ED902"/>
      <c r="EE902"/>
      <c r="EF902"/>
      <c r="EG902"/>
      <c r="EH902"/>
      <c r="EI902"/>
      <c r="EJ902"/>
      <c r="EK902"/>
      <c r="EL902"/>
      <c r="EM902"/>
      <c r="EN902"/>
      <c r="EO902"/>
      <c r="EP902"/>
      <c r="EQ902"/>
      <c r="ER902"/>
      <c r="ES902"/>
      <c r="ET902"/>
      <c r="EU902"/>
      <c r="EV902"/>
      <c r="EW902"/>
      <c r="EX902"/>
      <c r="EY902"/>
      <c r="EZ902"/>
      <c r="FA902"/>
      <c r="FB902"/>
      <c r="FC902"/>
      <c r="FD902"/>
      <c r="FE902"/>
      <c r="FF902"/>
      <c r="FG902"/>
      <c r="FH902"/>
      <c r="FI902"/>
      <c r="FJ902"/>
      <c r="FK902"/>
      <c r="FL902"/>
      <c r="FM902"/>
      <c r="FN902"/>
      <c r="FO902"/>
      <c r="FP902"/>
      <c r="FQ902"/>
      <c r="FR902"/>
      <c r="FS902"/>
      <c r="FT902"/>
      <c r="FU902"/>
      <c r="FV902"/>
      <c r="FW902"/>
      <c r="FX902"/>
      <c r="FY902"/>
      <c r="FZ902"/>
      <c r="GA902"/>
      <c r="GB902"/>
      <c r="GC902"/>
      <c r="GD902"/>
      <c r="GE902"/>
      <c r="GF902"/>
      <c r="GG902"/>
      <c r="GH902"/>
      <c r="GI902"/>
      <c r="GJ902"/>
      <c r="GK902"/>
      <c r="GL902"/>
      <c r="GM902"/>
      <c r="GN902"/>
      <c r="GO902"/>
      <c r="GP902"/>
      <c r="GQ902"/>
      <c r="GR902"/>
      <c r="GS902"/>
      <c r="GT902"/>
      <c r="GU902"/>
      <c r="GV902"/>
      <c r="GW902"/>
      <c r="GX902"/>
      <c r="GY902"/>
      <c r="GZ902"/>
      <c r="HA902"/>
      <c r="HB902"/>
      <c r="HC902"/>
      <c r="HD902"/>
      <c r="HE902"/>
      <c r="HF902"/>
      <c r="HG902"/>
      <c r="HH902"/>
      <c r="HI902"/>
      <c r="HJ902"/>
      <c r="HK902"/>
      <c r="HL902"/>
      <c r="HM902"/>
      <c r="HN902"/>
      <c r="HO902"/>
      <c r="HP902"/>
      <c r="HQ902"/>
      <c r="HR902"/>
      <c r="HS902"/>
      <c r="HT902"/>
      <c r="HU902"/>
      <c r="HV902"/>
      <c r="HW902"/>
      <c r="HX902"/>
      <c r="HY902"/>
      <c r="HZ902"/>
      <c r="IA902"/>
      <c r="IB902"/>
      <c r="IC902"/>
      <c r="ID902"/>
      <c r="IE902"/>
      <c r="IF902"/>
      <c r="IG902"/>
      <c r="IH902"/>
      <c r="II902"/>
      <c r="IJ902"/>
      <c r="IK902"/>
      <c r="IL902"/>
      <c r="IM902"/>
      <c r="IN902"/>
      <c r="IO902"/>
      <c r="IP902"/>
      <c r="IQ902"/>
      <c r="IR902"/>
      <c r="IS902"/>
      <c r="IT902"/>
      <c r="IU902"/>
      <c r="IV902"/>
      <c r="IW902"/>
      <c r="IX902"/>
    </row>
    <row r="903" spans="1:258" ht="12.75" customHeight="1" x14ac:dyDescent="0.2">
      <c r="A903" s="851">
        <v>3634</v>
      </c>
      <c r="B903" s="1830" t="s">
        <v>1089</v>
      </c>
      <c r="C903" s="1261">
        <f t="shared" ref="C903:I903" si="191">SUM(C904:C908)</f>
        <v>4450000</v>
      </c>
      <c r="D903" s="1089">
        <f t="shared" si="191"/>
        <v>4450000</v>
      </c>
      <c r="E903" s="1087">
        <f t="shared" si="191"/>
        <v>4450000</v>
      </c>
      <c r="F903" s="1089">
        <f t="shared" si="191"/>
        <v>4199128.7</v>
      </c>
      <c r="G903" s="1089">
        <f t="shared" si="191"/>
        <v>1389740.95</v>
      </c>
      <c r="H903" s="1478">
        <f t="shared" si="191"/>
        <v>784474.39</v>
      </c>
      <c r="I903" s="1261">
        <f t="shared" si="191"/>
        <v>4050000</v>
      </c>
      <c r="J903" s="858"/>
      <c r="K903" s="1373"/>
      <c r="L903" s="848"/>
      <c r="M903" s="887"/>
      <c r="N903" s="843"/>
      <c r="O903"/>
      <c r="P903"/>
      <c r="Q903"/>
      <c r="R903"/>
      <c r="S903"/>
      <c r="T903"/>
      <c r="U903"/>
      <c r="V903"/>
      <c r="W903"/>
      <c r="X903"/>
      <c r="Y903"/>
      <c r="Z903"/>
      <c r="AA903"/>
      <c r="AB903"/>
      <c r="AC903"/>
      <c r="AD903"/>
      <c r="AE903"/>
      <c r="AF903"/>
      <c r="AG903"/>
      <c r="AH903"/>
      <c r="AI903"/>
      <c r="AJ903"/>
      <c r="AK903"/>
      <c r="AL903"/>
      <c r="AM903"/>
      <c r="AN903"/>
      <c r="AO903"/>
      <c r="AP903"/>
      <c r="AQ903"/>
      <c r="AR903"/>
      <c r="AS903"/>
      <c r="AT903"/>
      <c r="AU903"/>
      <c r="AV903"/>
      <c r="AW903"/>
      <c r="AX903"/>
      <c r="AY903"/>
      <c r="AZ903"/>
      <c r="BA903"/>
      <c r="BB903"/>
      <c r="BC903"/>
      <c r="BD903"/>
      <c r="BE903"/>
      <c r="BF903"/>
      <c r="BG903"/>
      <c r="BH903"/>
      <c r="BI903"/>
      <c r="BJ903"/>
      <c r="BK903"/>
      <c r="BL903"/>
      <c r="BM903"/>
      <c r="BN903"/>
      <c r="BO903"/>
      <c r="BP903"/>
      <c r="BQ903"/>
      <c r="BR903"/>
      <c r="BS903"/>
      <c r="BT903"/>
      <c r="BU903"/>
      <c r="BV903"/>
      <c r="BW903"/>
      <c r="BX903"/>
      <c r="BY903"/>
      <c r="BZ903"/>
      <c r="CA903"/>
      <c r="CB903"/>
      <c r="CC903"/>
      <c r="CD903"/>
      <c r="CE903"/>
      <c r="CF903"/>
      <c r="CG903"/>
      <c r="CH903"/>
      <c r="CI903"/>
      <c r="CJ903"/>
      <c r="CK903"/>
      <c r="CL903"/>
      <c r="CM903"/>
      <c r="CN903"/>
      <c r="CO903"/>
      <c r="CP903"/>
      <c r="CQ903"/>
      <c r="CR903"/>
      <c r="CS903"/>
      <c r="CT903"/>
      <c r="CU903"/>
      <c r="CV903"/>
      <c r="CW903"/>
      <c r="CX903"/>
      <c r="CY903"/>
      <c r="CZ903"/>
      <c r="DA903"/>
      <c r="DB903"/>
      <c r="DC903"/>
      <c r="DD903"/>
      <c r="DE903"/>
      <c r="DF903"/>
      <c r="DG903"/>
      <c r="DH903"/>
      <c r="DI903"/>
      <c r="DJ903"/>
      <c r="DK903"/>
      <c r="DL903"/>
      <c r="DM903"/>
      <c r="DN903"/>
      <c r="DO903"/>
      <c r="DP903"/>
      <c r="DQ903"/>
      <c r="DR903"/>
      <c r="DS903"/>
      <c r="DT903"/>
      <c r="DU903"/>
      <c r="DV903"/>
      <c r="DW903"/>
      <c r="DX903"/>
      <c r="DY903"/>
      <c r="DZ903"/>
      <c r="EA903"/>
      <c r="EB903"/>
      <c r="EC903"/>
      <c r="ED903"/>
      <c r="EE903"/>
      <c r="EF903"/>
      <c r="EG903"/>
      <c r="EH903"/>
      <c r="EI903"/>
      <c r="EJ903"/>
      <c r="EK903"/>
      <c r="EL903"/>
      <c r="EM903"/>
      <c r="EN903"/>
      <c r="EO903"/>
      <c r="EP903"/>
      <c r="EQ903"/>
      <c r="ER903"/>
      <c r="ES903"/>
      <c r="ET903"/>
      <c r="EU903"/>
      <c r="EV903"/>
      <c r="EW903"/>
      <c r="EX903"/>
      <c r="EY903"/>
      <c r="EZ903"/>
      <c r="FA903"/>
      <c r="FB903"/>
      <c r="FC903"/>
      <c r="FD903"/>
      <c r="FE903"/>
      <c r="FF903"/>
      <c r="FG903"/>
      <c r="FH903"/>
      <c r="FI903"/>
      <c r="FJ903"/>
      <c r="FK903"/>
      <c r="FL903"/>
      <c r="FM903"/>
      <c r="FN903"/>
      <c r="FO903"/>
      <c r="FP903"/>
      <c r="FQ903"/>
      <c r="FR903"/>
      <c r="FS903"/>
      <c r="FT903"/>
      <c r="FU903"/>
      <c r="FV903"/>
      <c r="FW903"/>
      <c r="FX903"/>
      <c r="FY903"/>
      <c r="FZ903"/>
      <c r="GA903"/>
      <c r="GB903"/>
      <c r="GC903"/>
      <c r="GD903"/>
      <c r="GE903"/>
      <c r="GF903"/>
      <c r="GG903"/>
      <c r="GH903"/>
      <c r="GI903"/>
      <c r="GJ903"/>
      <c r="GK903"/>
      <c r="GL903"/>
      <c r="GM903"/>
      <c r="GN903"/>
      <c r="GO903"/>
      <c r="GP903"/>
      <c r="GQ903"/>
      <c r="GR903"/>
      <c r="GS903"/>
      <c r="GT903"/>
      <c r="GU903"/>
      <c r="GV903"/>
      <c r="GW903"/>
      <c r="GX903"/>
      <c r="GY903"/>
      <c r="GZ903"/>
      <c r="HA903"/>
      <c r="HB903"/>
      <c r="HC903"/>
      <c r="HD903"/>
      <c r="HE903"/>
      <c r="HF903"/>
      <c r="HG903"/>
      <c r="HH903"/>
      <c r="HI903"/>
      <c r="HJ903"/>
      <c r="HK903"/>
      <c r="HL903"/>
      <c r="HM903"/>
      <c r="HN903"/>
      <c r="HO903"/>
      <c r="HP903"/>
      <c r="HQ903"/>
      <c r="HR903"/>
      <c r="HS903"/>
      <c r="HT903"/>
      <c r="HU903"/>
      <c r="HV903"/>
      <c r="HW903"/>
      <c r="HX903"/>
      <c r="HY903"/>
      <c r="HZ903"/>
      <c r="IA903"/>
      <c r="IB903"/>
      <c r="IC903"/>
      <c r="ID903"/>
      <c r="IE903"/>
      <c r="IF903"/>
      <c r="IG903"/>
      <c r="IH903"/>
      <c r="II903"/>
      <c r="IJ903"/>
      <c r="IK903"/>
      <c r="IL903"/>
      <c r="IM903"/>
      <c r="IN903"/>
      <c r="IO903"/>
      <c r="IP903"/>
      <c r="IQ903"/>
      <c r="IR903"/>
      <c r="IS903"/>
      <c r="IT903"/>
      <c r="IU903"/>
      <c r="IV903"/>
      <c r="IW903"/>
      <c r="IX903"/>
    </row>
    <row r="904" spans="1:258" ht="25.5" x14ac:dyDescent="0.2">
      <c r="A904" s="851"/>
      <c r="B904" s="1820" t="s">
        <v>1144</v>
      </c>
      <c r="C904" s="1099">
        <v>350000</v>
      </c>
      <c r="D904" s="1090">
        <v>350000</v>
      </c>
      <c r="E904" s="1088">
        <v>350000</v>
      </c>
      <c r="F904" s="1090">
        <v>281241</v>
      </c>
      <c r="G904" s="1090">
        <v>101863.85</v>
      </c>
      <c r="H904" s="1548">
        <v>79241.69</v>
      </c>
      <c r="I904" s="1099">
        <v>350000</v>
      </c>
      <c r="J904" s="858"/>
      <c r="K904" s="1373"/>
      <c r="L904" s="848"/>
      <c r="M904" s="887"/>
      <c r="N904" s="843"/>
      <c r="O904"/>
      <c r="P904"/>
      <c r="Q904"/>
      <c r="R904"/>
      <c r="S904"/>
      <c r="T904"/>
      <c r="U904"/>
      <c r="V904"/>
      <c r="W904"/>
      <c r="X904"/>
      <c r="Y904"/>
      <c r="Z904"/>
      <c r="AA904"/>
      <c r="AB904"/>
      <c r="AC904"/>
      <c r="AD904"/>
      <c r="AE904"/>
      <c r="AF904"/>
      <c r="AG904"/>
      <c r="AH904"/>
      <c r="AI904"/>
      <c r="AJ904"/>
      <c r="AK904"/>
      <c r="AL904"/>
      <c r="AM904"/>
      <c r="AN904"/>
      <c r="AO904"/>
      <c r="AP904"/>
      <c r="AQ904"/>
      <c r="AR904"/>
      <c r="AS904"/>
      <c r="AT904"/>
      <c r="AU904"/>
      <c r="AV904"/>
      <c r="AW904"/>
      <c r="AX904"/>
      <c r="AY904"/>
      <c r="AZ904"/>
      <c r="BA904"/>
      <c r="BB904"/>
      <c r="BC904"/>
      <c r="BD904"/>
      <c r="BE904"/>
      <c r="BF904"/>
      <c r="BG904"/>
      <c r="BH904"/>
      <c r="BI904"/>
      <c r="BJ904"/>
      <c r="BK904"/>
      <c r="BL904"/>
      <c r="BM904"/>
      <c r="BN904"/>
      <c r="BO904"/>
      <c r="BP904"/>
      <c r="BQ904"/>
      <c r="BR904"/>
      <c r="BS904"/>
      <c r="BT904"/>
      <c r="BU904"/>
      <c r="BV904"/>
      <c r="BW904"/>
      <c r="BX904"/>
      <c r="BY904"/>
      <c r="BZ904"/>
      <c r="CA904"/>
      <c r="CB904"/>
      <c r="CC904"/>
      <c r="CD904"/>
      <c r="CE904"/>
      <c r="CF904"/>
      <c r="CG904"/>
      <c r="CH904"/>
      <c r="CI904"/>
      <c r="CJ904"/>
      <c r="CK904"/>
      <c r="CL904"/>
      <c r="CM904"/>
      <c r="CN904"/>
      <c r="CO904"/>
      <c r="CP904"/>
      <c r="CQ904"/>
      <c r="CR904"/>
      <c r="CS904"/>
      <c r="CT904"/>
      <c r="CU904"/>
      <c r="CV904"/>
      <c r="CW904"/>
      <c r="CX904"/>
      <c r="CY904"/>
      <c r="CZ904"/>
      <c r="DA904"/>
      <c r="DB904"/>
      <c r="DC904"/>
      <c r="DD904"/>
      <c r="DE904"/>
      <c r="DF904"/>
      <c r="DG904"/>
      <c r="DH904"/>
      <c r="DI904"/>
      <c r="DJ904"/>
      <c r="DK904"/>
      <c r="DL904"/>
      <c r="DM904"/>
      <c r="DN904"/>
      <c r="DO904"/>
      <c r="DP904"/>
      <c r="DQ904"/>
      <c r="DR904"/>
      <c r="DS904"/>
      <c r="DT904"/>
      <c r="DU904"/>
      <c r="DV904"/>
      <c r="DW904"/>
      <c r="DX904"/>
      <c r="DY904"/>
      <c r="DZ904"/>
      <c r="EA904"/>
      <c r="EB904"/>
      <c r="EC904"/>
      <c r="ED904"/>
      <c r="EE904"/>
      <c r="EF904"/>
      <c r="EG904"/>
      <c r="EH904"/>
      <c r="EI904"/>
      <c r="EJ904"/>
      <c r="EK904"/>
      <c r="EL904"/>
      <c r="EM904"/>
      <c r="EN904"/>
      <c r="EO904"/>
      <c r="EP904"/>
      <c r="EQ904"/>
      <c r="ER904"/>
      <c r="ES904"/>
      <c r="ET904"/>
      <c r="EU904"/>
      <c r="EV904"/>
      <c r="EW904"/>
      <c r="EX904"/>
      <c r="EY904"/>
      <c r="EZ904"/>
      <c r="FA904"/>
      <c r="FB904"/>
      <c r="FC904"/>
      <c r="FD904"/>
      <c r="FE904"/>
      <c r="FF904"/>
      <c r="FG904"/>
      <c r="FH904"/>
      <c r="FI904"/>
      <c r="FJ904"/>
      <c r="FK904"/>
      <c r="FL904"/>
      <c r="FM904"/>
      <c r="FN904"/>
      <c r="FO904"/>
      <c r="FP904"/>
      <c r="FQ904"/>
      <c r="FR904"/>
      <c r="FS904"/>
      <c r="FT904"/>
      <c r="FU904"/>
      <c r="FV904"/>
      <c r="FW904"/>
      <c r="FX904"/>
      <c r="FY904"/>
      <c r="FZ904"/>
      <c r="GA904"/>
      <c r="GB904"/>
      <c r="GC904"/>
      <c r="GD904"/>
      <c r="GE904"/>
      <c r="GF904"/>
      <c r="GG904"/>
      <c r="GH904"/>
      <c r="GI904"/>
      <c r="GJ904"/>
      <c r="GK904"/>
      <c r="GL904"/>
      <c r="GM904"/>
      <c r="GN904"/>
      <c r="GO904"/>
      <c r="GP904"/>
      <c r="GQ904"/>
      <c r="GR904"/>
      <c r="GS904"/>
      <c r="GT904"/>
      <c r="GU904"/>
      <c r="GV904"/>
      <c r="GW904"/>
      <c r="GX904"/>
      <c r="GY904"/>
      <c r="GZ904"/>
      <c r="HA904"/>
      <c r="HB904"/>
      <c r="HC904"/>
      <c r="HD904"/>
      <c r="HE904"/>
      <c r="HF904"/>
      <c r="HG904"/>
      <c r="HH904"/>
      <c r="HI904"/>
      <c r="HJ904"/>
      <c r="HK904"/>
      <c r="HL904"/>
      <c r="HM904"/>
      <c r="HN904"/>
      <c r="HO904"/>
      <c r="HP904"/>
      <c r="HQ904"/>
      <c r="HR904"/>
      <c r="HS904"/>
      <c r="HT904"/>
      <c r="HU904"/>
      <c r="HV904"/>
      <c r="HW904"/>
      <c r="HX904"/>
      <c r="HY904"/>
      <c r="HZ904"/>
      <c r="IA904"/>
      <c r="IB904"/>
      <c r="IC904"/>
      <c r="ID904"/>
      <c r="IE904"/>
      <c r="IF904"/>
      <c r="IG904"/>
      <c r="IH904"/>
      <c r="II904"/>
      <c r="IJ904"/>
      <c r="IK904"/>
      <c r="IL904"/>
      <c r="IM904"/>
      <c r="IN904"/>
      <c r="IO904"/>
      <c r="IP904"/>
      <c r="IQ904"/>
      <c r="IR904"/>
      <c r="IS904"/>
      <c r="IT904"/>
      <c r="IU904"/>
      <c r="IV904"/>
      <c r="IW904"/>
      <c r="IX904"/>
    </row>
    <row r="905" spans="1:258" ht="15" x14ac:dyDescent="0.2">
      <c r="A905" s="851"/>
      <c r="B905" s="1820" t="s">
        <v>1493</v>
      </c>
      <c r="C905" s="1099">
        <v>1000000</v>
      </c>
      <c r="D905" s="1090">
        <v>1000000</v>
      </c>
      <c r="E905" s="1088">
        <v>2100000</v>
      </c>
      <c r="F905" s="1090">
        <v>990000</v>
      </c>
      <c r="G905" s="1090">
        <v>582644.4</v>
      </c>
      <c r="H905" s="1548">
        <v>0</v>
      </c>
      <c r="I905" s="1099">
        <v>300000</v>
      </c>
      <c r="J905" s="1069"/>
      <c r="K905" s="1367"/>
      <c r="L905" s="848"/>
      <c r="M905" s="887"/>
      <c r="N905" s="843"/>
      <c r="O905"/>
      <c r="P905"/>
      <c r="Q905"/>
      <c r="R905"/>
      <c r="S905"/>
      <c r="T905"/>
      <c r="U905"/>
      <c r="V905"/>
      <c r="W905"/>
      <c r="X905"/>
      <c r="Y905"/>
      <c r="Z905"/>
      <c r="AA905"/>
      <c r="AB905"/>
      <c r="AC905"/>
      <c r="AD905"/>
      <c r="AE905"/>
      <c r="AF905"/>
      <c r="AG905"/>
      <c r="AH905"/>
      <c r="AI905"/>
      <c r="AJ905"/>
      <c r="AK905"/>
      <c r="AL905"/>
      <c r="AM905"/>
      <c r="AN905"/>
      <c r="AO905"/>
      <c r="AP905"/>
      <c r="AQ905"/>
      <c r="AR905"/>
      <c r="AS905"/>
      <c r="AT905"/>
      <c r="AU905"/>
      <c r="AV905"/>
      <c r="AW905"/>
      <c r="AX905"/>
      <c r="AY905"/>
      <c r="AZ905"/>
      <c r="BA905"/>
      <c r="BB905"/>
      <c r="BC905"/>
      <c r="BD905"/>
      <c r="BE905"/>
      <c r="BF905"/>
      <c r="BG905"/>
      <c r="BH905"/>
      <c r="BI905"/>
      <c r="BJ905"/>
      <c r="BK905"/>
      <c r="BL905"/>
      <c r="BM905"/>
      <c r="BN905"/>
      <c r="BO905"/>
      <c r="BP905"/>
      <c r="BQ905"/>
      <c r="BR905"/>
      <c r="BS905"/>
      <c r="BT905"/>
      <c r="BU905"/>
      <c r="BV905"/>
      <c r="BW905"/>
      <c r="BX905"/>
      <c r="BY905"/>
      <c r="BZ905"/>
      <c r="CA905"/>
      <c r="CB905"/>
      <c r="CC905"/>
      <c r="CD905"/>
      <c r="CE905"/>
      <c r="CF905"/>
      <c r="CG905"/>
      <c r="CH905"/>
      <c r="CI905"/>
      <c r="CJ905"/>
      <c r="CK905"/>
      <c r="CL905"/>
      <c r="CM905"/>
      <c r="CN905"/>
      <c r="CO905"/>
      <c r="CP905"/>
      <c r="CQ905"/>
      <c r="CR905"/>
      <c r="CS905"/>
      <c r="CT905"/>
      <c r="CU905"/>
      <c r="CV905"/>
      <c r="CW905"/>
      <c r="CX905"/>
      <c r="CY905"/>
      <c r="CZ905"/>
      <c r="DA905"/>
      <c r="DB905"/>
      <c r="DC905"/>
      <c r="DD905"/>
      <c r="DE905"/>
      <c r="DF905"/>
      <c r="DG905"/>
      <c r="DH905"/>
      <c r="DI905"/>
      <c r="DJ905"/>
      <c r="DK905"/>
      <c r="DL905"/>
      <c r="DM905"/>
      <c r="DN905"/>
      <c r="DO905"/>
      <c r="DP905"/>
      <c r="DQ905"/>
      <c r="DR905"/>
      <c r="DS905"/>
      <c r="DT905"/>
      <c r="DU905"/>
      <c r="DV905"/>
      <c r="DW905"/>
      <c r="DX905"/>
      <c r="DY905"/>
      <c r="DZ905"/>
      <c r="EA905"/>
      <c r="EB905"/>
      <c r="EC905"/>
      <c r="ED905"/>
      <c r="EE905"/>
      <c r="EF905"/>
      <c r="EG905"/>
      <c r="EH905"/>
      <c r="EI905"/>
      <c r="EJ905"/>
      <c r="EK905"/>
      <c r="EL905"/>
      <c r="EM905"/>
      <c r="EN905"/>
      <c r="EO905"/>
      <c r="EP905"/>
      <c r="EQ905"/>
      <c r="ER905"/>
      <c r="ES905"/>
      <c r="ET905"/>
      <c r="EU905"/>
      <c r="EV905"/>
      <c r="EW905"/>
      <c r="EX905"/>
      <c r="EY905"/>
      <c r="EZ905"/>
      <c r="FA905"/>
      <c r="FB905"/>
      <c r="FC905"/>
      <c r="FD905"/>
      <c r="FE905"/>
      <c r="FF905"/>
      <c r="FG905"/>
      <c r="FH905"/>
      <c r="FI905"/>
      <c r="FJ905"/>
      <c r="FK905"/>
      <c r="FL905"/>
      <c r="FM905"/>
      <c r="FN905"/>
      <c r="FO905"/>
      <c r="FP905"/>
      <c r="FQ905"/>
      <c r="FR905"/>
      <c r="FS905"/>
      <c r="FT905"/>
      <c r="FU905"/>
      <c r="FV905"/>
      <c r="FW905"/>
      <c r="FX905"/>
      <c r="FY905"/>
      <c r="FZ905"/>
      <c r="GA905"/>
      <c r="GB905"/>
      <c r="GC905"/>
      <c r="GD905"/>
      <c r="GE905"/>
      <c r="GF905"/>
      <c r="GG905"/>
      <c r="GH905"/>
      <c r="GI905"/>
      <c r="GJ905"/>
      <c r="GK905"/>
      <c r="GL905"/>
      <c r="GM905"/>
      <c r="GN905"/>
      <c r="GO905"/>
      <c r="GP905"/>
      <c r="GQ905"/>
      <c r="GR905"/>
      <c r="GS905"/>
      <c r="GT905"/>
      <c r="GU905"/>
      <c r="GV905"/>
      <c r="GW905"/>
      <c r="GX905"/>
      <c r="GY905"/>
      <c r="GZ905"/>
      <c r="HA905"/>
      <c r="HB905"/>
      <c r="HC905"/>
      <c r="HD905"/>
      <c r="HE905"/>
      <c r="HF905"/>
      <c r="HG905"/>
      <c r="HH905"/>
      <c r="HI905"/>
      <c r="HJ905"/>
      <c r="HK905"/>
      <c r="HL905"/>
      <c r="HM905"/>
      <c r="HN905"/>
      <c r="HO905"/>
      <c r="HP905"/>
      <c r="HQ905"/>
      <c r="HR905"/>
      <c r="HS905"/>
      <c r="HT905"/>
      <c r="HU905"/>
      <c r="HV905"/>
      <c r="HW905"/>
      <c r="HX905"/>
      <c r="HY905"/>
      <c r="HZ905"/>
      <c r="IA905"/>
      <c r="IB905"/>
      <c r="IC905"/>
      <c r="ID905"/>
      <c r="IE905"/>
      <c r="IF905"/>
      <c r="IG905"/>
      <c r="IH905"/>
      <c r="II905"/>
      <c r="IJ905"/>
      <c r="IK905"/>
      <c r="IL905"/>
      <c r="IM905"/>
      <c r="IN905"/>
      <c r="IO905"/>
      <c r="IP905"/>
      <c r="IQ905"/>
      <c r="IR905"/>
      <c r="IS905"/>
      <c r="IT905"/>
      <c r="IU905"/>
      <c r="IV905"/>
      <c r="IW905"/>
      <c r="IX905"/>
    </row>
    <row r="906" spans="1:258" ht="25.5" x14ac:dyDescent="0.2">
      <c r="A906" s="1106"/>
      <c r="B906" s="1831" t="s">
        <v>1494</v>
      </c>
      <c r="C906" s="1430">
        <v>500000</v>
      </c>
      <c r="D906" s="825">
        <v>500000</v>
      </c>
      <c r="E906" s="1249">
        <v>500000</v>
      </c>
      <c r="F906" s="825">
        <v>498887.7</v>
      </c>
      <c r="G906" s="825">
        <v>198887.7</v>
      </c>
      <c r="H906" s="1610">
        <v>198887.7</v>
      </c>
      <c r="I906" s="1430">
        <v>900000</v>
      </c>
      <c r="J906" s="1425"/>
      <c r="K906" s="1372">
        <f>K908+K912+K921</f>
        <v>0</v>
      </c>
      <c r="L906" s="848"/>
      <c r="M906" s="887"/>
      <c r="N906" s="843"/>
      <c r="O906"/>
      <c r="P906"/>
      <c r="Q906"/>
      <c r="R906"/>
      <c r="S906"/>
      <c r="T906"/>
      <c r="U906"/>
      <c r="V906"/>
      <c r="W906"/>
      <c r="X906"/>
      <c r="Y906"/>
      <c r="Z906"/>
      <c r="AA906"/>
      <c r="AB906"/>
      <c r="AC906"/>
      <c r="AD906"/>
      <c r="AE906"/>
      <c r="AF906"/>
      <c r="AG906"/>
      <c r="AH906"/>
      <c r="AI906"/>
      <c r="AJ906"/>
      <c r="AK906"/>
      <c r="AL906"/>
      <c r="AM906"/>
      <c r="AN906"/>
      <c r="AO906"/>
      <c r="AP906"/>
      <c r="AQ906"/>
      <c r="AR906"/>
      <c r="AS906"/>
      <c r="AT906"/>
      <c r="AU906"/>
      <c r="AV906"/>
      <c r="AW906"/>
      <c r="AX906"/>
      <c r="AY906"/>
      <c r="AZ906"/>
      <c r="BA906"/>
      <c r="BB906"/>
      <c r="BC906"/>
      <c r="BD906"/>
      <c r="BE906"/>
      <c r="BF906"/>
      <c r="BG906"/>
      <c r="BH906"/>
      <c r="BI906"/>
      <c r="BJ906"/>
      <c r="BK906"/>
      <c r="BL906"/>
      <c r="BM906"/>
      <c r="BN906"/>
      <c r="BO906"/>
      <c r="BP906"/>
      <c r="BQ906"/>
      <c r="BR906"/>
      <c r="BS906"/>
      <c r="BT906"/>
      <c r="BU906"/>
      <c r="BV906"/>
      <c r="BW906"/>
      <c r="BX906"/>
      <c r="BY906"/>
      <c r="BZ906"/>
      <c r="CA906"/>
      <c r="CB906"/>
      <c r="CC906"/>
      <c r="CD906"/>
      <c r="CE906"/>
      <c r="CF906"/>
      <c r="CG906"/>
      <c r="CH906"/>
      <c r="CI906"/>
      <c r="CJ906"/>
      <c r="CK906"/>
      <c r="CL906"/>
      <c r="CM906"/>
      <c r="CN906"/>
      <c r="CO906"/>
      <c r="CP906"/>
      <c r="CQ906"/>
      <c r="CR906"/>
      <c r="CS906"/>
      <c r="CT906"/>
      <c r="CU906"/>
      <c r="CV906"/>
      <c r="CW906"/>
      <c r="CX906"/>
      <c r="CY906"/>
      <c r="CZ906"/>
      <c r="DA906"/>
      <c r="DB906"/>
      <c r="DC906"/>
      <c r="DD906"/>
      <c r="DE906"/>
      <c r="DF906"/>
      <c r="DG906"/>
      <c r="DH906"/>
      <c r="DI906"/>
      <c r="DJ906"/>
      <c r="DK906"/>
      <c r="DL906"/>
      <c r="DM906"/>
      <c r="DN906"/>
      <c r="DO906"/>
      <c r="DP906"/>
      <c r="DQ906"/>
      <c r="DR906"/>
      <c r="DS906"/>
      <c r="DT906"/>
      <c r="DU906"/>
      <c r="DV906"/>
      <c r="DW906"/>
      <c r="DX906"/>
      <c r="DY906"/>
      <c r="DZ906"/>
      <c r="EA906"/>
      <c r="EB906"/>
      <c r="EC906"/>
      <c r="ED906"/>
      <c r="EE906"/>
      <c r="EF906"/>
      <c r="EG906"/>
      <c r="EH906"/>
      <c r="EI906"/>
      <c r="EJ906"/>
      <c r="EK906"/>
      <c r="EL906"/>
      <c r="EM906"/>
      <c r="EN906"/>
      <c r="EO906"/>
      <c r="EP906"/>
      <c r="EQ906"/>
      <c r="ER906"/>
      <c r="ES906"/>
      <c r="ET906"/>
      <c r="EU906"/>
      <c r="EV906"/>
      <c r="EW906"/>
      <c r="EX906"/>
      <c r="EY906"/>
      <c r="EZ906"/>
      <c r="FA906"/>
      <c r="FB906"/>
      <c r="FC906"/>
      <c r="FD906"/>
      <c r="FE906"/>
      <c r="FF906"/>
      <c r="FG906"/>
      <c r="FH906"/>
      <c r="FI906"/>
      <c r="FJ906"/>
      <c r="FK906"/>
      <c r="FL906"/>
      <c r="FM906"/>
      <c r="FN906"/>
      <c r="FO906"/>
      <c r="FP906"/>
      <c r="FQ906"/>
      <c r="FR906"/>
      <c r="FS906"/>
      <c r="FT906"/>
      <c r="FU906"/>
      <c r="FV906"/>
      <c r="FW906"/>
      <c r="FX906"/>
      <c r="FY906"/>
      <c r="FZ906"/>
      <c r="GA906"/>
      <c r="GB906"/>
      <c r="GC906"/>
      <c r="GD906"/>
      <c r="GE906"/>
      <c r="GF906"/>
      <c r="GG906"/>
      <c r="GH906"/>
      <c r="GI906"/>
      <c r="GJ906"/>
      <c r="GK906"/>
      <c r="GL906"/>
      <c r="GM906"/>
      <c r="GN906"/>
      <c r="GO906"/>
      <c r="GP906"/>
      <c r="GQ906"/>
      <c r="GR906"/>
      <c r="GS906"/>
      <c r="GT906"/>
      <c r="GU906"/>
      <c r="GV906"/>
      <c r="GW906"/>
      <c r="GX906"/>
      <c r="GY906"/>
      <c r="GZ906"/>
      <c r="HA906"/>
      <c r="HB906"/>
      <c r="HC906"/>
      <c r="HD906"/>
      <c r="HE906"/>
      <c r="HF906"/>
      <c r="HG906"/>
      <c r="HH906"/>
      <c r="HI906"/>
      <c r="HJ906"/>
      <c r="HK906"/>
      <c r="HL906"/>
      <c r="HM906"/>
      <c r="HN906"/>
      <c r="HO906"/>
      <c r="HP906"/>
      <c r="HQ906"/>
      <c r="HR906"/>
      <c r="HS906"/>
      <c r="HT906"/>
      <c r="HU906"/>
      <c r="HV906"/>
      <c r="HW906"/>
      <c r="HX906"/>
      <c r="HY906"/>
      <c r="HZ906"/>
      <c r="IA906"/>
      <c r="IB906"/>
      <c r="IC906"/>
      <c r="ID906"/>
      <c r="IE906"/>
      <c r="IF906"/>
      <c r="IG906"/>
      <c r="IH906"/>
      <c r="II906"/>
      <c r="IJ906"/>
      <c r="IK906"/>
      <c r="IL906"/>
      <c r="IM906"/>
      <c r="IN906"/>
      <c r="IO906"/>
      <c r="IP906"/>
      <c r="IQ906"/>
      <c r="IR906"/>
      <c r="IS906"/>
      <c r="IT906"/>
      <c r="IU906"/>
      <c r="IV906"/>
      <c r="IW906"/>
      <c r="IX906"/>
    </row>
    <row r="907" spans="1:258" ht="63.75" x14ac:dyDescent="0.2">
      <c r="A907" s="1107"/>
      <c r="B907" s="1832" t="s">
        <v>1803</v>
      </c>
      <c r="C907" s="1429">
        <v>500000</v>
      </c>
      <c r="D907" s="2085">
        <v>500000</v>
      </c>
      <c r="E907" s="2086">
        <v>500000</v>
      </c>
      <c r="F907" s="2085">
        <v>499000</v>
      </c>
      <c r="G907" s="2085">
        <v>0</v>
      </c>
      <c r="H907" s="1833">
        <v>0</v>
      </c>
      <c r="I907" s="1429">
        <v>2200000</v>
      </c>
      <c r="J907" s="1069"/>
      <c r="K907" s="1367"/>
      <c r="L907" s="848"/>
      <c r="M907" s="887"/>
      <c r="N907" s="843"/>
      <c r="O907"/>
      <c r="P907"/>
      <c r="Q907"/>
      <c r="R907"/>
      <c r="S907"/>
      <c r="T907"/>
      <c r="U907"/>
      <c r="V907"/>
      <c r="W907"/>
      <c r="X907"/>
      <c r="Y907"/>
      <c r="Z907"/>
      <c r="AA907"/>
      <c r="AB907"/>
      <c r="AC907"/>
      <c r="AD907"/>
      <c r="AE907"/>
      <c r="AF907"/>
      <c r="AG907"/>
      <c r="AH907"/>
      <c r="AI907"/>
      <c r="AJ907"/>
      <c r="AK907"/>
      <c r="AL907"/>
      <c r="AM907"/>
      <c r="AN907"/>
      <c r="AO907"/>
      <c r="AP907"/>
      <c r="AQ907"/>
      <c r="AR907"/>
      <c r="AS907"/>
      <c r="AT907"/>
      <c r="AU907"/>
      <c r="AV907"/>
      <c r="AW907"/>
      <c r="AX907"/>
      <c r="AY907"/>
      <c r="AZ907"/>
      <c r="BA907"/>
      <c r="BB907"/>
      <c r="BC907"/>
      <c r="BD907"/>
      <c r="BE907"/>
      <c r="BF907"/>
      <c r="BG907"/>
      <c r="BH907"/>
      <c r="BI907"/>
      <c r="BJ907"/>
      <c r="BK907"/>
      <c r="BL907"/>
      <c r="BM907"/>
      <c r="BN907"/>
      <c r="BO907"/>
      <c r="BP907"/>
      <c r="BQ907"/>
      <c r="BR907"/>
      <c r="BS907"/>
      <c r="BT907"/>
      <c r="BU907"/>
      <c r="BV907"/>
      <c r="BW907"/>
      <c r="BX907"/>
      <c r="BY907"/>
      <c r="BZ907"/>
      <c r="CA907"/>
      <c r="CB907"/>
      <c r="CC907"/>
      <c r="CD907"/>
      <c r="CE907"/>
      <c r="CF907"/>
      <c r="CG907"/>
      <c r="CH907"/>
      <c r="CI907"/>
      <c r="CJ907"/>
      <c r="CK907"/>
      <c r="CL907"/>
      <c r="CM907"/>
      <c r="CN907"/>
      <c r="CO907"/>
      <c r="CP907"/>
      <c r="CQ907"/>
      <c r="CR907"/>
      <c r="CS907"/>
      <c r="CT907"/>
      <c r="CU907"/>
      <c r="CV907"/>
      <c r="CW907"/>
      <c r="CX907"/>
      <c r="CY907"/>
      <c r="CZ907"/>
      <c r="DA907"/>
      <c r="DB907"/>
      <c r="DC907"/>
      <c r="DD907"/>
      <c r="DE907"/>
      <c r="DF907"/>
      <c r="DG907"/>
      <c r="DH907"/>
      <c r="DI907"/>
      <c r="DJ907"/>
      <c r="DK907"/>
      <c r="DL907"/>
      <c r="DM907"/>
      <c r="DN907"/>
      <c r="DO907"/>
      <c r="DP907"/>
      <c r="DQ907"/>
      <c r="DR907"/>
      <c r="DS907"/>
      <c r="DT907"/>
      <c r="DU907"/>
      <c r="DV907"/>
      <c r="DW907"/>
      <c r="DX907"/>
      <c r="DY907"/>
      <c r="DZ907"/>
      <c r="EA907"/>
      <c r="EB907"/>
      <c r="EC907"/>
      <c r="ED907"/>
      <c r="EE907"/>
      <c r="EF907"/>
      <c r="EG907"/>
      <c r="EH907"/>
      <c r="EI907"/>
      <c r="EJ907"/>
      <c r="EK907"/>
      <c r="EL907"/>
      <c r="EM907"/>
      <c r="EN907"/>
      <c r="EO907"/>
      <c r="EP907"/>
      <c r="EQ907"/>
      <c r="ER907"/>
      <c r="ES907"/>
      <c r="ET907"/>
      <c r="EU907"/>
      <c r="EV907"/>
      <c r="EW907"/>
      <c r="EX907"/>
      <c r="EY907"/>
      <c r="EZ907"/>
      <c r="FA907"/>
      <c r="FB907"/>
      <c r="FC907"/>
      <c r="FD907"/>
      <c r="FE907"/>
      <c r="FF907"/>
      <c r="FG907"/>
      <c r="FH907"/>
      <c r="FI907"/>
      <c r="FJ907"/>
      <c r="FK907"/>
      <c r="FL907"/>
      <c r="FM907"/>
      <c r="FN907"/>
      <c r="FO907"/>
      <c r="FP907"/>
      <c r="FQ907"/>
      <c r="FR907"/>
      <c r="FS907"/>
      <c r="FT907"/>
      <c r="FU907"/>
      <c r="FV907"/>
      <c r="FW907"/>
      <c r="FX907"/>
      <c r="FY907"/>
      <c r="FZ907"/>
      <c r="GA907"/>
      <c r="GB907"/>
      <c r="GC907"/>
      <c r="GD907"/>
      <c r="GE907"/>
      <c r="GF907"/>
      <c r="GG907"/>
      <c r="GH907"/>
      <c r="GI907"/>
      <c r="GJ907"/>
      <c r="GK907"/>
      <c r="GL907"/>
      <c r="GM907"/>
      <c r="GN907"/>
      <c r="GO907"/>
      <c r="GP907"/>
      <c r="GQ907"/>
      <c r="GR907"/>
      <c r="GS907"/>
      <c r="GT907"/>
      <c r="GU907"/>
      <c r="GV907"/>
      <c r="GW907"/>
      <c r="GX907"/>
      <c r="GY907"/>
      <c r="GZ907"/>
      <c r="HA907"/>
      <c r="HB907"/>
      <c r="HC907"/>
      <c r="HD907"/>
      <c r="HE907"/>
      <c r="HF907"/>
      <c r="HG907"/>
      <c r="HH907"/>
      <c r="HI907"/>
      <c r="HJ907"/>
      <c r="HK907"/>
      <c r="HL907"/>
      <c r="HM907"/>
      <c r="HN907"/>
      <c r="HO907"/>
      <c r="HP907"/>
      <c r="HQ907"/>
      <c r="HR907"/>
      <c r="HS907"/>
      <c r="HT907"/>
      <c r="HU907"/>
      <c r="HV907"/>
      <c r="HW907"/>
      <c r="HX907"/>
      <c r="HY907"/>
      <c r="HZ907"/>
      <c r="IA907"/>
      <c r="IB907"/>
      <c r="IC907"/>
      <c r="ID907"/>
      <c r="IE907"/>
      <c r="IF907"/>
      <c r="IG907"/>
      <c r="IH907"/>
      <c r="II907"/>
      <c r="IJ907"/>
      <c r="IK907"/>
      <c r="IL907"/>
      <c r="IM907"/>
      <c r="IN907"/>
      <c r="IO907"/>
      <c r="IP907"/>
      <c r="IQ907"/>
      <c r="IR907"/>
      <c r="IS907"/>
      <c r="IT907"/>
      <c r="IU907"/>
      <c r="IV907"/>
      <c r="IW907"/>
      <c r="IX907"/>
    </row>
    <row r="908" spans="1:258" ht="13.5" customHeight="1" x14ac:dyDescent="0.2">
      <c r="A908" s="1105"/>
      <c r="B908" s="1811" t="s">
        <v>951</v>
      </c>
      <c r="C908" s="1099">
        <f>SUM(C909:C910)</f>
        <v>2100000</v>
      </c>
      <c r="D908" s="1090">
        <f>SUM(D909:D910)</f>
        <v>2100000</v>
      </c>
      <c r="E908" s="1088">
        <f>SUM(E909:E910)</f>
        <v>1000000</v>
      </c>
      <c r="F908" s="1090">
        <f>SUM(F909:F910)</f>
        <v>1930000</v>
      </c>
      <c r="G908" s="1090">
        <f>SUM(G909:G910)</f>
        <v>506345</v>
      </c>
      <c r="H908" s="1548">
        <v>506345</v>
      </c>
      <c r="I908" s="1099">
        <f>SUM(I909:I910)</f>
        <v>300000</v>
      </c>
      <c r="J908" s="1424"/>
      <c r="K908" s="1371">
        <f>K909+K910</f>
        <v>0</v>
      </c>
      <c r="L908" s="848"/>
      <c r="M908" s="887"/>
      <c r="N908" s="843"/>
      <c r="O908"/>
      <c r="P908"/>
      <c r="Q908"/>
      <c r="R908"/>
      <c r="S908"/>
      <c r="T908"/>
      <c r="U908"/>
      <c r="V908"/>
      <c r="W908"/>
      <c r="X908"/>
      <c r="Y908"/>
      <c r="Z908"/>
      <c r="AA908"/>
      <c r="AB908"/>
      <c r="AC908"/>
      <c r="AD908"/>
      <c r="AE908"/>
      <c r="AF908"/>
      <c r="AG908"/>
      <c r="AH908"/>
      <c r="AI908"/>
      <c r="AJ908"/>
      <c r="AK908"/>
      <c r="AL908"/>
      <c r="AM908"/>
      <c r="AN908"/>
      <c r="AO908"/>
      <c r="AP908"/>
      <c r="AQ908"/>
      <c r="AR908"/>
      <c r="AS908"/>
      <c r="AT908"/>
      <c r="AU908"/>
      <c r="AV908"/>
      <c r="AW908"/>
      <c r="AX908"/>
      <c r="AY908"/>
      <c r="AZ908"/>
      <c r="BA908"/>
      <c r="BB908"/>
      <c r="BC908"/>
      <c r="BD908"/>
      <c r="BE908"/>
      <c r="BF908"/>
      <c r="BG908"/>
      <c r="BH908"/>
      <c r="BI908"/>
      <c r="BJ908"/>
      <c r="BK908"/>
      <c r="BL908"/>
      <c r="BM908"/>
      <c r="BN908"/>
      <c r="BO908"/>
      <c r="BP908"/>
      <c r="BQ908"/>
      <c r="BR908"/>
      <c r="BS908"/>
      <c r="BT908"/>
      <c r="BU908"/>
      <c r="BV908"/>
      <c r="BW908"/>
      <c r="BX908"/>
      <c r="BY908"/>
      <c r="BZ908"/>
      <c r="CA908"/>
      <c r="CB908"/>
      <c r="CC908"/>
      <c r="CD908"/>
      <c r="CE908"/>
      <c r="CF908"/>
      <c r="CG908"/>
      <c r="CH908"/>
      <c r="CI908"/>
      <c r="CJ908"/>
      <c r="CK908"/>
      <c r="CL908"/>
      <c r="CM908"/>
      <c r="CN908"/>
      <c r="CO908"/>
      <c r="CP908"/>
      <c r="CQ908"/>
      <c r="CR908"/>
      <c r="CS908"/>
      <c r="CT908"/>
      <c r="CU908"/>
      <c r="CV908"/>
      <c r="CW908"/>
      <c r="CX908"/>
      <c r="CY908"/>
      <c r="CZ908"/>
      <c r="DA908"/>
      <c r="DB908"/>
      <c r="DC908"/>
      <c r="DD908"/>
      <c r="DE908"/>
      <c r="DF908"/>
      <c r="DG908"/>
      <c r="DH908"/>
      <c r="DI908"/>
      <c r="DJ908"/>
      <c r="DK908"/>
      <c r="DL908"/>
      <c r="DM908"/>
      <c r="DN908"/>
      <c r="DO908"/>
      <c r="DP908"/>
      <c r="DQ908"/>
      <c r="DR908"/>
      <c r="DS908"/>
      <c r="DT908"/>
      <c r="DU908"/>
      <c r="DV908"/>
      <c r="DW908"/>
      <c r="DX908"/>
      <c r="DY908"/>
      <c r="DZ908"/>
      <c r="EA908"/>
      <c r="EB908"/>
      <c r="EC908"/>
      <c r="ED908"/>
      <c r="EE908"/>
      <c r="EF908"/>
      <c r="EG908"/>
      <c r="EH908"/>
      <c r="EI908"/>
      <c r="EJ908"/>
      <c r="EK908"/>
      <c r="EL908"/>
      <c r="EM908"/>
      <c r="EN908"/>
      <c r="EO908"/>
      <c r="EP908"/>
      <c r="EQ908"/>
      <c r="ER908"/>
      <c r="ES908"/>
      <c r="ET908"/>
      <c r="EU908"/>
      <c r="EV908"/>
      <c r="EW908"/>
      <c r="EX908"/>
      <c r="EY908"/>
      <c r="EZ908"/>
      <c r="FA908"/>
      <c r="FB908"/>
      <c r="FC908"/>
      <c r="FD908"/>
      <c r="FE908"/>
      <c r="FF908"/>
      <c r="FG908"/>
      <c r="FH908"/>
      <c r="FI908"/>
      <c r="FJ908"/>
      <c r="FK908"/>
      <c r="FL908"/>
      <c r="FM908"/>
      <c r="FN908"/>
      <c r="FO908"/>
      <c r="FP908"/>
      <c r="FQ908"/>
      <c r="FR908"/>
      <c r="FS908"/>
      <c r="FT908"/>
      <c r="FU908"/>
      <c r="FV908"/>
      <c r="FW908"/>
      <c r="FX908"/>
      <c r="FY908"/>
      <c r="FZ908"/>
      <c r="GA908"/>
      <c r="GB908"/>
      <c r="GC908"/>
      <c r="GD908"/>
      <c r="GE908"/>
      <c r="GF908"/>
      <c r="GG908"/>
      <c r="GH908"/>
      <c r="GI908"/>
      <c r="GJ908"/>
      <c r="GK908"/>
      <c r="GL908"/>
      <c r="GM908"/>
      <c r="GN908"/>
      <c r="GO908"/>
      <c r="GP908"/>
      <c r="GQ908"/>
      <c r="GR908"/>
      <c r="GS908"/>
      <c r="GT908"/>
      <c r="GU908"/>
      <c r="GV908"/>
      <c r="GW908"/>
      <c r="GX908"/>
      <c r="GY908"/>
      <c r="GZ908"/>
      <c r="HA908"/>
      <c r="HB908"/>
      <c r="HC908"/>
      <c r="HD908"/>
      <c r="HE908"/>
      <c r="HF908"/>
      <c r="HG908"/>
      <c r="HH908"/>
      <c r="HI908"/>
      <c r="HJ908"/>
      <c r="HK908"/>
      <c r="HL908"/>
      <c r="HM908"/>
      <c r="HN908"/>
      <c r="HO908"/>
      <c r="HP908"/>
      <c r="HQ908"/>
      <c r="HR908"/>
      <c r="HS908"/>
      <c r="HT908"/>
      <c r="HU908"/>
      <c r="HV908"/>
      <c r="HW908"/>
      <c r="HX908"/>
      <c r="HY908"/>
      <c r="HZ908"/>
      <c r="IA908"/>
      <c r="IB908"/>
      <c r="IC908"/>
      <c r="ID908"/>
      <c r="IE908"/>
      <c r="IF908"/>
      <c r="IG908"/>
      <c r="IH908"/>
      <c r="II908"/>
      <c r="IJ908"/>
      <c r="IK908"/>
      <c r="IL908"/>
      <c r="IM908"/>
      <c r="IN908"/>
      <c r="IO908"/>
      <c r="IP908"/>
      <c r="IQ908"/>
      <c r="IR908"/>
      <c r="IS908"/>
      <c r="IT908"/>
      <c r="IU908"/>
      <c r="IV908"/>
      <c r="IW908"/>
      <c r="IX908"/>
    </row>
    <row r="909" spans="1:258" ht="13.5" customHeight="1" x14ac:dyDescent="0.2">
      <c r="A909" s="798"/>
      <c r="B909" s="1834" t="s">
        <v>1804</v>
      </c>
      <c r="C909" s="1572">
        <v>600000</v>
      </c>
      <c r="D909" s="733">
        <v>600000</v>
      </c>
      <c r="E909" s="904">
        <v>0</v>
      </c>
      <c r="F909" s="733">
        <v>584000</v>
      </c>
      <c r="G909" s="733">
        <v>0</v>
      </c>
      <c r="H909" s="1176">
        <v>0</v>
      </c>
      <c r="I909" s="1572">
        <v>300000</v>
      </c>
      <c r="J909" s="858"/>
      <c r="K909" s="1371"/>
      <c r="L909" s="848"/>
      <c r="M909" s="887"/>
      <c r="N909" s="843"/>
      <c r="O909"/>
      <c r="P909"/>
      <c r="Q909"/>
      <c r="R909"/>
      <c r="S909"/>
      <c r="T909"/>
      <c r="U909"/>
      <c r="V909"/>
      <c r="W909"/>
      <c r="X909"/>
      <c r="Y909"/>
      <c r="Z909"/>
      <c r="AA909"/>
      <c r="AB909"/>
      <c r="AC909"/>
      <c r="AD909"/>
      <c r="AE909"/>
      <c r="AF909"/>
      <c r="AG909"/>
      <c r="AH909"/>
      <c r="AI909"/>
      <c r="AJ909"/>
      <c r="AK909"/>
      <c r="AL909"/>
      <c r="AM909"/>
      <c r="AN909"/>
      <c r="AO909"/>
      <c r="AP909"/>
      <c r="AQ909"/>
      <c r="AR909"/>
      <c r="AS909"/>
      <c r="AT909"/>
      <c r="AU909"/>
      <c r="AV909"/>
      <c r="AW909"/>
      <c r="AX909"/>
      <c r="AY909"/>
      <c r="AZ909"/>
      <c r="BA909"/>
      <c r="BB909"/>
      <c r="BC909"/>
      <c r="BD909"/>
      <c r="BE909"/>
      <c r="BF909"/>
      <c r="BG909"/>
      <c r="BH909"/>
      <c r="BI909"/>
      <c r="BJ909"/>
      <c r="BK909"/>
      <c r="BL909"/>
      <c r="BM909"/>
      <c r="BN909"/>
      <c r="BO909"/>
      <c r="BP909"/>
      <c r="BQ909"/>
      <c r="BR909"/>
      <c r="BS909"/>
      <c r="BT909"/>
      <c r="BU909"/>
      <c r="BV909"/>
      <c r="BW909"/>
      <c r="BX909"/>
      <c r="BY909"/>
      <c r="BZ909"/>
      <c r="CA909"/>
      <c r="CB909"/>
      <c r="CC909"/>
      <c r="CD909"/>
      <c r="CE909"/>
      <c r="CF909"/>
      <c r="CG909"/>
      <c r="CH909"/>
      <c r="CI909"/>
      <c r="CJ909"/>
      <c r="CK909"/>
      <c r="CL909"/>
      <c r="CM909"/>
      <c r="CN909"/>
      <c r="CO909"/>
      <c r="CP909"/>
      <c r="CQ909"/>
      <c r="CR909"/>
      <c r="CS909"/>
      <c r="CT909"/>
      <c r="CU909"/>
      <c r="CV909"/>
      <c r="CW909"/>
      <c r="CX909"/>
      <c r="CY909"/>
      <c r="CZ909"/>
      <c r="DA909"/>
      <c r="DB909"/>
      <c r="DC909"/>
      <c r="DD909"/>
      <c r="DE909"/>
      <c r="DF909"/>
      <c r="DG909"/>
      <c r="DH909"/>
      <c r="DI909"/>
      <c r="DJ909"/>
      <c r="DK909"/>
      <c r="DL909"/>
      <c r="DM909"/>
      <c r="DN909"/>
      <c r="DO909"/>
      <c r="DP909"/>
      <c r="DQ909"/>
      <c r="DR909"/>
      <c r="DS909"/>
      <c r="DT909"/>
      <c r="DU909"/>
      <c r="DV909"/>
      <c r="DW909"/>
      <c r="DX909"/>
      <c r="DY909"/>
      <c r="DZ909"/>
      <c r="EA909"/>
      <c r="EB909"/>
      <c r="EC909"/>
      <c r="ED909"/>
      <c r="EE909"/>
      <c r="EF909"/>
      <c r="EG909"/>
      <c r="EH909"/>
      <c r="EI909"/>
      <c r="EJ909"/>
      <c r="EK909"/>
      <c r="EL909"/>
      <c r="EM909"/>
      <c r="EN909"/>
      <c r="EO909"/>
      <c r="EP909"/>
      <c r="EQ909"/>
      <c r="ER909"/>
      <c r="ES909"/>
      <c r="ET909"/>
      <c r="EU909"/>
      <c r="EV909"/>
      <c r="EW909"/>
      <c r="EX909"/>
      <c r="EY909"/>
      <c r="EZ909"/>
      <c r="FA909"/>
      <c r="FB909"/>
      <c r="FC909"/>
      <c r="FD909"/>
      <c r="FE909"/>
      <c r="FF909"/>
      <c r="FG909"/>
      <c r="FH909"/>
      <c r="FI909"/>
      <c r="FJ909"/>
      <c r="FK909"/>
      <c r="FL909"/>
      <c r="FM909"/>
      <c r="FN909"/>
      <c r="FO909"/>
      <c r="FP909"/>
      <c r="FQ909"/>
      <c r="FR909"/>
      <c r="FS909"/>
      <c r="FT909"/>
      <c r="FU909"/>
      <c r="FV909"/>
      <c r="FW909"/>
      <c r="FX909"/>
      <c r="FY909"/>
      <c r="FZ909"/>
      <c r="GA909"/>
      <c r="GB909"/>
      <c r="GC909"/>
      <c r="GD909"/>
      <c r="GE909"/>
      <c r="GF909"/>
      <c r="GG909"/>
      <c r="GH909"/>
      <c r="GI909"/>
      <c r="GJ909"/>
      <c r="GK909"/>
      <c r="GL909"/>
      <c r="GM909"/>
      <c r="GN909"/>
      <c r="GO909"/>
      <c r="GP909"/>
      <c r="GQ909"/>
      <c r="GR909"/>
      <c r="GS909"/>
      <c r="GT909"/>
      <c r="GU909"/>
      <c r="GV909"/>
      <c r="GW909"/>
      <c r="GX909"/>
      <c r="GY909"/>
      <c r="GZ909"/>
      <c r="HA909"/>
      <c r="HB909"/>
      <c r="HC909"/>
      <c r="HD909"/>
      <c r="HE909"/>
      <c r="HF909"/>
      <c r="HG909"/>
      <c r="HH909"/>
      <c r="HI909"/>
      <c r="HJ909"/>
      <c r="HK909"/>
      <c r="HL909"/>
      <c r="HM909"/>
      <c r="HN909"/>
      <c r="HO909"/>
      <c r="HP909"/>
      <c r="HQ909"/>
      <c r="HR909"/>
      <c r="HS909"/>
      <c r="HT909"/>
      <c r="HU909"/>
      <c r="HV909"/>
      <c r="HW909"/>
      <c r="HX909"/>
      <c r="HY909"/>
      <c r="HZ909"/>
      <c r="IA909"/>
      <c r="IB909"/>
      <c r="IC909"/>
      <c r="ID909"/>
      <c r="IE909"/>
      <c r="IF909"/>
      <c r="IG909"/>
      <c r="IH909"/>
      <c r="II909"/>
      <c r="IJ909"/>
      <c r="IK909"/>
      <c r="IL909"/>
      <c r="IM909"/>
      <c r="IN909"/>
      <c r="IO909"/>
      <c r="IP909"/>
      <c r="IQ909"/>
      <c r="IR909"/>
      <c r="IS909"/>
      <c r="IT909"/>
      <c r="IU909"/>
      <c r="IV909"/>
      <c r="IW909"/>
      <c r="IX909"/>
    </row>
    <row r="910" spans="1:258" s="607" customFormat="1" ht="13.5" customHeight="1" x14ac:dyDescent="0.2">
      <c r="A910" s="798"/>
      <c r="B910" s="1834" t="s">
        <v>1495</v>
      </c>
      <c r="C910" s="1099">
        <v>1500000</v>
      </c>
      <c r="D910" s="1090">
        <v>1500000</v>
      </c>
      <c r="E910" s="1088">
        <v>1000000</v>
      </c>
      <c r="F910" s="1090">
        <v>1346000</v>
      </c>
      <c r="G910" s="1090">
        <v>506345</v>
      </c>
      <c r="H910" s="1548">
        <v>506345</v>
      </c>
      <c r="I910" s="1099">
        <v>0</v>
      </c>
      <c r="J910" s="1069"/>
      <c r="K910" s="1372">
        <f>SUM(K911:K911)</f>
        <v>0</v>
      </c>
      <c r="L910" s="1079"/>
      <c r="M910" s="889"/>
      <c r="N910" s="847"/>
    </row>
    <row r="911" spans="1:258" s="607" customFormat="1" ht="13.5" customHeight="1" x14ac:dyDescent="0.2">
      <c r="A911" s="851">
        <v>4351</v>
      </c>
      <c r="B911" s="1835" t="s">
        <v>1090</v>
      </c>
      <c r="C911" s="1052">
        <v>10000</v>
      </c>
      <c r="D911" s="718">
        <v>10000</v>
      </c>
      <c r="E911" s="897">
        <v>10000</v>
      </c>
      <c r="F911" s="718">
        <v>10963.67</v>
      </c>
      <c r="G911" s="718">
        <v>12560.27</v>
      </c>
      <c r="H911" s="1045">
        <v>10963.67</v>
      </c>
      <c r="I911" s="1052">
        <v>15000</v>
      </c>
      <c r="J911" s="1069"/>
      <c r="K911" s="1367"/>
      <c r="L911" s="1079"/>
      <c r="M911" s="889"/>
      <c r="N911" s="847"/>
    </row>
    <row r="912" spans="1:258" s="607" customFormat="1" ht="13.5" customHeight="1" x14ac:dyDescent="0.2">
      <c r="A912" s="851">
        <v>4374</v>
      </c>
      <c r="B912" s="1835" t="s">
        <v>759</v>
      </c>
      <c r="C912" s="1052">
        <f t="shared" ref="C912:I912" si="192">C913</f>
        <v>1140000</v>
      </c>
      <c r="D912" s="718">
        <f t="shared" si="192"/>
        <v>1140000</v>
      </c>
      <c r="E912" s="897">
        <f t="shared" si="192"/>
        <v>1140000</v>
      </c>
      <c r="F912" s="718">
        <f t="shared" si="192"/>
        <v>519138.76</v>
      </c>
      <c r="G912" s="718">
        <f t="shared" si="192"/>
        <v>405468.63</v>
      </c>
      <c r="H912" s="1045">
        <f t="shared" si="192"/>
        <v>319138.76</v>
      </c>
      <c r="I912" s="1052">
        <f t="shared" si="192"/>
        <v>940000</v>
      </c>
      <c r="J912" s="1426"/>
      <c r="K912" s="1374">
        <f>SUM(K913:K914)</f>
        <v>0</v>
      </c>
      <c r="L912" s="1079"/>
      <c r="M912" s="889"/>
      <c r="N912" s="847"/>
    </row>
    <row r="913" spans="1:258" s="607" customFormat="1" ht="13.5" customHeight="1" x14ac:dyDescent="0.2">
      <c r="A913" s="798"/>
      <c r="B913" s="1834" t="s">
        <v>1091</v>
      </c>
      <c r="C913" s="1572">
        <f t="shared" ref="C913:I913" si="193">C914+C915</f>
        <v>1140000</v>
      </c>
      <c r="D913" s="733">
        <f t="shared" si="193"/>
        <v>1140000</v>
      </c>
      <c r="E913" s="904">
        <f t="shared" si="193"/>
        <v>1140000</v>
      </c>
      <c r="F913" s="733">
        <f t="shared" si="193"/>
        <v>519138.76</v>
      </c>
      <c r="G913" s="733">
        <f t="shared" si="193"/>
        <v>405468.63</v>
      </c>
      <c r="H913" s="1176">
        <f t="shared" si="193"/>
        <v>319138.76</v>
      </c>
      <c r="I913" s="1572">
        <f t="shared" si="193"/>
        <v>940000</v>
      </c>
      <c r="J913" s="1416"/>
      <c r="K913" s="1374"/>
      <c r="L913" s="1079"/>
      <c r="M913" s="889"/>
      <c r="N913" s="847"/>
    </row>
    <row r="914" spans="1:258" s="607" customFormat="1" ht="22.5" customHeight="1" x14ac:dyDescent="0.2">
      <c r="A914" s="798">
        <v>800</v>
      </c>
      <c r="B914" s="1834" t="s">
        <v>1496</v>
      </c>
      <c r="C914" s="1099">
        <v>1000000</v>
      </c>
      <c r="D914" s="1090">
        <v>1000000</v>
      </c>
      <c r="E914" s="1088">
        <v>1000000</v>
      </c>
      <c r="F914" s="1090">
        <v>519138.76</v>
      </c>
      <c r="G914" s="1090">
        <v>405468.63</v>
      </c>
      <c r="H914" s="1548">
        <v>319138.76</v>
      </c>
      <c r="I914" s="1099">
        <v>800000</v>
      </c>
      <c r="J914" s="1427"/>
      <c r="K914" s="1374">
        <f>SUM(K915:K919)</f>
        <v>0</v>
      </c>
      <c r="L914" s="1079"/>
      <c r="M914" s="889"/>
      <c r="N914" s="847"/>
    </row>
    <row r="915" spans="1:258" ht="13.5" customHeight="1" x14ac:dyDescent="0.2">
      <c r="A915" s="851"/>
      <c r="B915" s="1722" t="s">
        <v>1145</v>
      </c>
      <c r="C915" s="1572">
        <v>140000</v>
      </c>
      <c r="D915" s="733">
        <v>140000</v>
      </c>
      <c r="E915" s="904">
        <v>140000</v>
      </c>
      <c r="F915" s="733">
        <v>0</v>
      </c>
      <c r="G915" s="733">
        <v>0</v>
      </c>
      <c r="H915" s="1176">
        <v>0</v>
      </c>
      <c r="I915" s="1572">
        <v>140000</v>
      </c>
      <c r="J915" s="1428"/>
      <c r="K915" s="1375"/>
      <c r="L915" s="848"/>
      <c r="M915" s="887"/>
      <c r="N915" s="843"/>
      <c r="O915"/>
      <c r="P915"/>
      <c r="Q915"/>
      <c r="R915"/>
      <c r="S915"/>
      <c r="T915"/>
      <c r="U915"/>
      <c r="V915"/>
      <c r="W915"/>
      <c r="X915"/>
      <c r="Y915"/>
      <c r="Z915"/>
      <c r="AA915"/>
      <c r="AB915"/>
      <c r="AC915"/>
      <c r="AD915"/>
      <c r="AE915"/>
      <c r="AF915"/>
      <c r="AG915"/>
      <c r="AH915"/>
      <c r="AI915"/>
      <c r="AJ915"/>
      <c r="AK915"/>
      <c r="AL915"/>
      <c r="AM915"/>
      <c r="AN915"/>
      <c r="AO915"/>
      <c r="AP915"/>
      <c r="AQ915"/>
      <c r="AR915"/>
      <c r="AS915"/>
      <c r="AT915"/>
      <c r="AU915"/>
      <c r="AV915"/>
      <c r="AW915"/>
      <c r="AX915"/>
      <c r="AY915"/>
      <c r="AZ915"/>
      <c r="BA915"/>
      <c r="BB915"/>
      <c r="BC915"/>
      <c r="BD915"/>
      <c r="BE915"/>
      <c r="BF915"/>
      <c r="BG915"/>
      <c r="BH915"/>
      <c r="BI915"/>
      <c r="BJ915"/>
      <c r="BK915"/>
      <c r="BL915"/>
      <c r="BM915"/>
      <c r="BN915"/>
      <c r="BO915"/>
      <c r="BP915"/>
      <c r="BQ915"/>
      <c r="BR915"/>
      <c r="BS915"/>
      <c r="BT915"/>
      <c r="BU915"/>
      <c r="BV915"/>
      <c r="BW915"/>
      <c r="BX915"/>
      <c r="BY915"/>
      <c r="BZ915"/>
      <c r="CA915"/>
      <c r="CB915"/>
      <c r="CC915"/>
      <c r="CD915"/>
      <c r="CE915"/>
      <c r="CF915"/>
      <c r="CG915"/>
      <c r="CH915"/>
      <c r="CI915"/>
      <c r="CJ915"/>
      <c r="CK915"/>
      <c r="CL915"/>
      <c r="CM915"/>
      <c r="CN915"/>
      <c r="CO915"/>
      <c r="CP915"/>
      <c r="CQ915"/>
      <c r="CR915"/>
      <c r="CS915"/>
      <c r="CT915"/>
      <c r="CU915"/>
      <c r="CV915"/>
      <c r="CW915"/>
      <c r="CX915"/>
      <c r="CY915"/>
      <c r="CZ915"/>
      <c r="DA915"/>
      <c r="DB915"/>
      <c r="DC915"/>
      <c r="DD915"/>
      <c r="DE915"/>
      <c r="DF915"/>
      <c r="DG915"/>
      <c r="DH915"/>
      <c r="DI915"/>
      <c r="DJ915"/>
      <c r="DK915"/>
      <c r="DL915"/>
      <c r="DM915"/>
      <c r="DN915"/>
      <c r="DO915"/>
      <c r="DP915"/>
      <c r="DQ915"/>
      <c r="DR915"/>
      <c r="DS915"/>
      <c r="DT915"/>
      <c r="DU915"/>
      <c r="DV915"/>
      <c r="DW915"/>
      <c r="DX915"/>
      <c r="DY915"/>
      <c r="DZ915"/>
      <c r="EA915"/>
      <c r="EB915"/>
      <c r="EC915"/>
      <c r="ED915"/>
      <c r="EE915"/>
      <c r="EF915"/>
      <c r="EG915"/>
      <c r="EH915"/>
      <c r="EI915"/>
      <c r="EJ915"/>
      <c r="EK915"/>
      <c r="EL915"/>
      <c r="EM915"/>
      <c r="EN915"/>
      <c r="EO915"/>
      <c r="EP915"/>
      <c r="EQ915"/>
      <c r="ER915"/>
      <c r="ES915"/>
      <c r="ET915"/>
      <c r="EU915"/>
      <c r="EV915"/>
      <c r="EW915"/>
      <c r="EX915"/>
      <c r="EY915"/>
      <c r="EZ915"/>
      <c r="FA915"/>
      <c r="FB915"/>
      <c r="FC915"/>
      <c r="FD915"/>
      <c r="FE915"/>
      <c r="FF915"/>
      <c r="FG915"/>
      <c r="FH915"/>
      <c r="FI915"/>
      <c r="FJ915"/>
      <c r="FK915"/>
      <c r="FL915"/>
      <c r="FM915"/>
      <c r="FN915"/>
      <c r="FO915"/>
      <c r="FP915"/>
      <c r="FQ915"/>
      <c r="FR915"/>
      <c r="FS915"/>
      <c r="FT915"/>
      <c r="FU915"/>
      <c r="FV915"/>
      <c r="FW915"/>
      <c r="FX915"/>
      <c r="FY915"/>
      <c r="FZ915"/>
      <c r="GA915"/>
      <c r="GB915"/>
      <c r="GC915"/>
      <c r="GD915"/>
      <c r="GE915"/>
      <c r="GF915"/>
      <c r="GG915"/>
      <c r="GH915"/>
      <c r="GI915"/>
      <c r="GJ915"/>
      <c r="GK915"/>
      <c r="GL915"/>
      <c r="GM915"/>
      <c r="GN915"/>
      <c r="GO915"/>
      <c r="GP915"/>
      <c r="GQ915"/>
      <c r="GR915"/>
      <c r="GS915"/>
      <c r="GT915"/>
      <c r="GU915"/>
      <c r="GV915"/>
      <c r="GW915"/>
      <c r="GX915"/>
      <c r="GY915"/>
      <c r="GZ915"/>
      <c r="HA915"/>
      <c r="HB915"/>
      <c r="HC915"/>
      <c r="HD915"/>
      <c r="HE915"/>
      <c r="HF915"/>
      <c r="HG915"/>
      <c r="HH915"/>
      <c r="HI915"/>
      <c r="HJ915"/>
      <c r="HK915"/>
      <c r="HL915"/>
      <c r="HM915"/>
      <c r="HN915"/>
      <c r="HO915"/>
      <c r="HP915"/>
      <c r="HQ915"/>
      <c r="HR915"/>
      <c r="HS915"/>
      <c r="HT915"/>
      <c r="HU915"/>
      <c r="HV915"/>
      <c r="HW915"/>
      <c r="HX915"/>
      <c r="HY915"/>
      <c r="HZ915"/>
      <c r="IA915"/>
      <c r="IB915"/>
      <c r="IC915"/>
      <c r="ID915"/>
      <c r="IE915"/>
      <c r="IF915"/>
      <c r="IG915"/>
      <c r="IH915"/>
      <c r="II915"/>
      <c r="IJ915"/>
      <c r="IK915"/>
      <c r="IL915"/>
      <c r="IM915"/>
      <c r="IN915"/>
      <c r="IO915"/>
      <c r="IP915"/>
      <c r="IQ915"/>
      <c r="IR915"/>
      <c r="IS915"/>
      <c r="IT915"/>
      <c r="IU915"/>
      <c r="IV915"/>
      <c r="IW915"/>
      <c r="IX915"/>
    </row>
    <row r="916" spans="1:258" ht="13.5" customHeight="1" x14ac:dyDescent="0.2">
      <c r="A916" s="851">
        <v>6171</v>
      </c>
      <c r="B916" s="1836" t="s">
        <v>975</v>
      </c>
      <c r="C916" s="1261">
        <f t="shared" ref="C916:I916" si="194">SUM(C917:C922)</f>
        <v>1500000</v>
      </c>
      <c r="D916" s="1089">
        <f t="shared" si="194"/>
        <v>1500000</v>
      </c>
      <c r="E916" s="1087">
        <f t="shared" si="194"/>
        <v>800000</v>
      </c>
      <c r="F916" s="1089">
        <f t="shared" si="194"/>
        <v>339334</v>
      </c>
      <c r="G916" s="1089">
        <f t="shared" si="194"/>
        <v>248115</v>
      </c>
      <c r="H916" s="1478">
        <f t="shared" si="194"/>
        <v>154335</v>
      </c>
      <c r="I916" s="1261">
        <f t="shared" si="194"/>
        <v>1530000</v>
      </c>
      <c r="J916" s="1428"/>
      <c r="K916" s="1369"/>
      <c r="L916" s="848"/>
      <c r="M916" s="887"/>
      <c r="N916" s="843"/>
      <c r="O916"/>
      <c r="P916"/>
      <c r="Q916"/>
      <c r="R916"/>
      <c r="S916"/>
      <c r="T916"/>
      <c r="U916"/>
      <c r="V916"/>
      <c r="W916"/>
      <c r="X916"/>
      <c r="Y916"/>
      <c r="Z916"/>
      <c r="AA916"/>
      <c r="AB916"/>
      <c r="AC916"/>
      <c r="AD916"/>
      <c r="AE916"/>
      <c r="AF916"/>
      <c r="AG916"/>
      <c r="AH916"/>
      <c r="AI916"/>
      <c r="AJ916"/>
      <c r="AK916"/>
      <c r="AL916"/>
      <c r="AM916"/>
      <c r="AN916"/>
      <c r="AO916"/>
      <c r="AP916"/>
      <c r="AQ916"/>
      <c r="AR916"/>
      <c r="AS916"/>
      <c r="AT916"/>
      <c r="AU916"/>
      <c r="AV916"/>
      <c r="AW916"/>
      <c r="AX916"/>
      <c r="AY916"/>
      <c r="AZ916"/>
      <c r="BA916"/>
      <c r="BB916"/>
      <c r="BC916"/>
      <c r="BD916"/>
      <c r="BE916"/>
      <c r="BF916"/>
      <c r="BG916"/>
      <c r="BH916"/>
      <c r="BI916"/>
      <c r="BJ916"/>
      <c r="BK916"/>
      <c r="BL916"/>
      <c r="BM916"/>
      <c r="BN916"/>
      <c r="BO916"/>
      <c r="BP916"/>
      <c r="BQ916"/>
      <c r="BR916"/>
      <c r="BS916"/>
      <c r="BT916"/>
      <c r="BU916"/>
      <c r="BV916"/>
      <c r="BW916"/>
      <c r="BX916"/>
      <c r="BY916"/>
      <c r="BZ916"/>
      <c r="CA916"/>
      <c r="CB916"/>
      <c r="CC916"/>
      <c r="CD916"/>
      <c r="CE916"/>
      <c r="CF916"/>
      <c r="CG916"/>
      <c r="CH916"/>
      <c r="CI916"/>
      <c r="CJ916"/>
      <c r="CK916"/>
      <c r="CL916"/>
      <c r="CM916"/>
      <c r="CN916"/>
      <c r="CO916"/>
      <c r="CP916"/>
      <c r="CQ916"/>
      <c r="CR916"/>
      <c r="CS916"/>
      <c r="CT916"/>
      <c r="CU916"/>
      <c r="CV916"/>
      <c r="CW916"/>
      <c r="CX916"/>
      <c r="CY916"/>
      <c r="CZ916"/>
      <c r="DA916"/>
      <c r="DB916"/>
      <c r="DC916"/>
      <c r="DD916"/>
      <c r="DE916"/>
      <c r="DF916"/>
      <c r="DG916"/>
      <c r="DH916"/>
      <c r="DI916"/>
      <c r="DJ916"/>
      <c r="DK916"/>
      <c r="DL916"/>
      <c r="DM916"/>
      <c r="DN916"/>
      <c r="DO916"/>
      <c r="DP916"/>
      <c r="DQ916"/>
      <c r="DR916"/>
      <c r="DS916"/>
      <c r="DT916"/>
      <c r="DU916"/>
      <c r="DV916"/>
      <c r="DW916"/>
      <c r="DX916"/>
      <c r="DY916"/>
      <c r="DZ916"/>
      <c r="EA916"/>
      <c r="EB916"/>
      <c r="EC916"/>
      <c r="ED916"/>
      <c r="EE916"/>
      <c r="EF916"/>
      <c r="EG916"/>
      <c r="EH916"/>
      <c r="EI916"/>
      <c r="EJ916"/>
      <c r="EK916"/>
      <c r="EL916"/>
      <c r="EM916"/>
      <c r="EN916"/>
      <c r="EO916"/>
      <c r="EP916"/>
      <c r="EQ916"/>
      <c r="ER916"/>
      <c r="ES916"/>
      <c r="ET916"/>
      <c r="EU916"/>
      <c r="EV916"/>
      <c r="EW916"/>
      <c r="EX916"/>
      <c r="EY916"/>
      <c r="EZ916"/>
      <c r="FA916"/>
      <c r="FB916"/>
      <c r="FC916"/>
      <c r="FD916"/>
      <c r="FE916"/>
      <c r="FF916"/>
      <c r="FG916"/>
      <c r="FH916"/>
      <c r="FI916"/>
      <c r="FJ916"/>
      <c r="FK916"/>
      <c r="FL916"/>
      <c r="FM916"/>
      <c r="FN916"/>
      <c r="FO916"/>
      <c r="FP916"/>
      <c r="FQ916"/>
      <c r="FR916"/>
      <c r="FS916"/>
      <c r="FT916"/>
      <c r="FU916"/>
      <c r="FV916"/>
      <c r="FW916"/>
      <c r="FX916"/>
      <c r="FY916"/>
      <c r="FZ916"/>
      <c r="GA916"/>
      <c r="GB916"/>
      <c r="GC916"/>
      <c r="GD916"/>
      <c r="GE916"/>
      <c r="GF916"/>
      <c r="GG916"/>
      <c r="GH916"/>
      <c r="GI916"/>
      <c r="GJ916"/>
      <c r="GK916"/>
      <c r="GL916"/>
      <c r="GM916"/>
      <c r="GN916"/>
      <c r="GO916"/>
      <c r="GP916"/>
      <c r="GQ916"/>
      <c r="GR916"/>
      <c r="GS916"/>
      <c r="GT916"/>
      <c r="GU916"/>
      <c r="GV916"/>
      <c r="GW916"/>
      <c r="GX916"/>
      <c r="GY916"/>
      <c r="GZ916"/>
      <c r="HA916"/>
      <c r="HB916"/>
      <c r="HC916"/>
      <c r="HD916"/>
      <c r="HE916"/>
      <c r="HF916"/>
      <c r="HG916"/>
      <c r="HH916"/>
      <c r="HI916"/>
      <c r="HJ916"/>
      <c r="HK916"/>
      <c r="HL916"/>
      <c r="HM916"/>
      <c r="HN916"/>
      <c r="HO916"/>
      <c r="HP916"/>
      <c r="HQ916"/>
      <c r="HR916"/>
      <c r="HS916"/>
      <c r="HT916"/>
      <c r="HU916"/>
      <c r="HV916"/>
      <c r="HW916"/>
      <c r="HX916"/>
      <c r="HY916"/>
      <c r="HZ916"/>
      <c r="IA916"/>
      <c r="IB916"/>
      <c r="IC916"/>
      <c r="ID916"/>
      <c r="IE916"/>
      <c r="IF916"/>
      <c r="IG916"/>
      <c r="IH916"/>
      <c r="II916"/>
      <c r="IJ916"/>
      <c r="IK916"/>
      <c r="IL916"/>
      <c r="IM916"/>
      <c r="IN916"/>
      <c r="IO916"/>
      <c r="IP916"/>
      <c r="IQ916"/>
      <c r="IR916"/>
      <c r="IS916"/>
      <c r="IT916"/>
      <c r="IU916"/>
      <c r="IV916"/>
      <c r="IW916"/>
      <c r="IX916"/>
    </row>
    <row r="917" spans="1:258" s="607" customFormat="1" ht="13.5" customHeight="1" x14ac:dyDescent="0.2">
      <c r="A917" s="851"/>
      <c r="B917" s="1722" t="s">
        <v>976</v>
      </c>
      <c r="C917" s="1572">
        <v>50000</v>
      </c>
      <c r="D917" s="733">
        <v>50000</v>
      </c>
      <c r="E917" s="904">
        <v>50000</v>
      </c>
      <c r="F917" s="733">
        <v>0</v>
      </c>
      <c r="G917" s="733">
        <v>0</v>
      </c>
      <c r="H917" s="1176">
        <v>0</v>
      </c>
      <c r="I917" s="1572">
        <v>0</v>
      </c>
      <c r="J917" s="1416"/>
      <c r="K917" s="1372"/>
      <c r="L917" s="1079"/>
      <c r="M917" s="889"/>
      <c r="N917" s="847"/>
    </row>
    <row r="918" spans="1:258" s="607" customFormat="1" ht="25.5" x14ac:dyDescent="0.2">
      <c r="A918" s="1108"/>
      <c r="B918" s="1828" t="s">
        <v>1497</v>
      </c>
      <c r="C918" s="1837">
        <v>820000</v>
      </c>
      <c r="D918" s="2087">
        <v>820000</v>
      </c>
      <c r="E918" s="2088">
        <v>320000</v>
      </c>
      <c r="F918" s="2087">
        <v>165334</v>
      </c>
      <c r="G918" s="2087">
        <v>130866</v>
      </c>
      <c r="H918" s="1838">
        <v>96134</v>
      </c>
      <c r="I918" s="1837">
        <v>300000</v>
      </c>
      <c r="J918" s="1427"/>
      <c r="K918" s="1372"/>
      <c r="L918" s="1079"/>
      <c r="M918" s="889"/>
      <c r="N918" s="847"/>
    </row>
    <row r="919" spans="1:258" s="607" customFormat="1" ht="13.5" customHeight="1" x14ac:dyDescent="0.2">
      <c r="A919" s="855"/>
      <c r="B919" s="1839" t="s">
        <v>1774</v>
      </c>
      <c r="C919" s="1572">
        <v>180000</v>
      </c>
      <c r="D919" s="733">
        <v>180000</v>
      </c>
      <c r="E919" s="904">
        <v>180000</v>
      </c>
      <c r="F919" s="733">
        <v>174000</v>
      </c>
      <c r="G919" s="733">
        <v>117249</v>
      </c>
      <c r="H919" s="1176">
        <v>58201</v>
      </c>
      <c r="I919" s="1572">
        <v>180000</v>
      </c>
      <c r="J919" s="1427"/>
      <c r="K919" s="1369"/>
      <c r="L919" s="1079"/>
      <c r="M919" s="889"/>
      <c r="N919" s="847"/>
    </row>
    <row r="920" spans="1:258" s="607" customFormat="1" ht="13.5" customHeight="1" x14ac:dyDescent="0.2">
      <c r="A920" s="798"/>
      <c r="B920" s="1722" t="s">
        <v>1092</v>
      </c>
      <c r="C920" s="1572">
        <v>200000</v>
      </c>
      <c r="D920" s="733">
        <v>200000</v>
      </c>
      <c r="E920" s="904">
        <v>0</v>
      </c>
      <c r="F920" s="733">
        <v>0</v>
      </c>
      <c r="G920" s="733">
        <v>0</v>
      </c>
      <c r="H920" s="1176">
        <v>0</v>
      </c>
      <c r="I920" s="1572">
        <v>500000</v>
      </c>
      <c r="J920" s="1429"/>
      <c r="K920" s="1376"/>
      <c r="L920" s="1079"/>
      <c r="M920" s="889"/>
      <c r="N920" s="847"/>
    </row>
    <row r="921" spans="1:258" s="607" customFormat="1" ht="13.5" customHeight="1" x14ac:dyDescent="0.2">
      <c r="A921" s="855"/>
      <c r="B921" s="1840" t="s">
        <v>1498</v>
      </c>
      <c r="C921" s="1602">
        <v>0</v>
      </c>
      <c r="D921" s="734">
        <v>0</v>
      </c>
      <c r="E921" s="905">
        <v>0</v>
      </c>
      <c r="F921" s="734">
        <v>0</v>
      </c>
      <c r="G921" s="734">
        <v>0</v>
      </c>
      <c r="H921" s="1603">
        <v>0</v>
      </c>
      <c r="I921" s="1602">
        <v>300000</v>
      </c>
      <c r="J921" s="852">
        <f>SUM(J922:J923)</f>
        <v>0</v>
      </c>
      <c r="K921" s="1365">
        <f>SUM(K922:K923)</f>
        <v>0</v>
      </c>
      <c r="L921" s="1079"/>
      <c r="M921" s="889"/>
      <c r="N921" s="847"/>
    </row>
    <row r="922" spans="1:258" s="607" customFormat="1" ht="13.5" customHeight="1" x14ac:dyDescent="0.2">
      <c r="A922" s="1109"/>
      <c r="B922" s="1841" t="s">
        <v>1775</v>
      </c>
      <c r="C922" s="1430">
        <v>250000</v>
      </c>
      <c r="D922" s="825">
        <v>250000</v>
      </c>
      <c r="E922" s="1249">
        <v>250000</v>
      </c>
      <c r="F922" s="825">
        <v>0</v>
      </c>
      <c r="G922" s="825">
        <v>0</v>
      </c>
      <c r="H922" s="1610">
        <v>0</v>
      </c>
      <c r="I922" s="1430">
        <v>250000</v>
      </c>
      <c r="J922" s="1430"/>
      <c r="K922" s="1377"/>
      <c r="L922" s="1079"/>
      <c r="M922" s="889"/>
      <c r="N922" s="847"/>
    </row>
    <row r="923" spans="1:258" s="607" customFormat="1" ht="13.5" customHeight="1" thickBot="1" x14ac:dyDescent="0.25">
      <c r="A923" s="2089"/>
      <c r="B923" s="1842"/>
      <c r="C923" s="2090"/>
      <c r="D923" s="2090"/>
      <c r="E923" s="1843"/>
      <c r="F923" s="2099"/>
      <c r="G923" s="2097"/>
      <c r="H923" s="1844"/>
      <c r="I923" s="2090"/>
      <c r="J923" s="1431"/>
      <c r="K923" s="1375"/>
      <c r="L923" s="1079"/>
      <c r="M923" s="889"/>
      <c r="N923" s="847"/>
    </row>
    <row r="924" spans="1:258" s="664" customFormat="1" ht="21" thickBot="1" x14ac:dyDescent="0.35">
      <c r="A924" s="937"/>
      <c r="B924" s="989" t="s">
        <v>52</v>
      </c>
      <c r="C924" s="1057">
        <f t="shared" ref="C924:K924" si="195">SUM(C925+C930+C932)</f>
        <v>1145000</v>
      </c>
      <c r="D924" s="827">
        <f t="shared" si="195"/>
        <v>1145000</v>
      </c>
      <c r="E924" s="1082">
        <f t="shared" si="195"/>
        <v>1145000</v>
      </c>
      <c r="F924" s="1082">
        <f t="shared" si="195"/>
        <v>1145000</v>
      </c>
      <c r="G924" s="876">
        <f t="shared" si="195"/>
        <v>208550</v>
      </c>
      <c r="H924" s="1221">
        <f t="shared" si="195"/>
        <v>208550</v>
      </c>
      <c r="I924" s="1267">
        <f t="shared" si="195"/>
        <v>350000</v>
      </c>
      <c r="J924" s="1432">
        <f t="shared" si="195"/>
        <v>350000</v>
      </c>
      <c r="K924" s="1356">
        <f t="shared" si="195"/>
        <v>350000</v>
      </c>
      <c r="M924" s="888"/>
      <c r="IQ924" s="116"/>
      <c r="IR924" s="116"/>
      <c r="IS924" s="116"/>
      <c r="IT924" s="116"/>
      <c r="IU924" s="116"/>
      <c r="IV924" s="116"/>
      <c r="IW924" s="116"/>
    </row>
    <row r="925" spans="1:258" s="664" customFormat="1" x14ac:dyDescent="0.2">
      <c r="A925" s="938">
        <v>2169</v>
      </c>
      <c r="B925" s="956" t="s">
        <v>1413</v>
      </c>
      <c r="C925" s="885">
        <f>SUM(C926:C929)</f>
        <v>250000</v>
      </c>
      <c r="D925" s="138">
        <f t="shared" ref="D925:K925" si="196">SUM(D926:D929)</f>
        <v>250000</v>
      </c>
      <c r="E925" s="1093">
        <f t="shared" si="196"/>
        <v>250000</v>
      </c>
      <c r="F925" s="1091">
        <f t="shared" si="196"/>
        <v>250000</v>
      </c>
      <c r="G925" s="732">
        <f t="shared" si="196"/>
        <v>21000</v>
      </c>
      <c r="H925" s="1093">
        <f t="shared" si="196"/>
        <v>21000</v>
      </c>
      <c r="I925" s="1089">
        <f t="shared" si="196"/>
        <v>250000</v>
      </c>
      <c r="J925" s="1139">
        <f t="shared" si="196"/>
        <v>250000</v>
      </c>
      <c r="K925" s="1139">
        <f t="shared" si="196"/>
        <v>250000</v>
      </c>
      <c r="M925" s="888"/>
      <c r="IQ925" s="116"/>
      <c r="IR925" s="116"/>
      <c r="IS925" s="116"/>
      <c r="IT925" s="116"/>
      <c r="IU925" s="116"/>
      <c r="IV925" s="116"/>
      <c r="IW925" s="116"/>
    </row>
    <row r="926" spans="1:258" s="664" customFormat="1" x14ac:dyDescent="0.2">
      <c r="A926" s="938"/>
      <c r="B926" s="959" t="s">
        <v>982</v>
      </c>
      <c r="C926" s="886">
        <v>47000</v>
      </c>
      <c r="D926" s="127">
        <v>47000</v>
      </c>
      <c r="E926" s="228">
        <v>47000</v>
      </c>
      <c r="F926" s="228">
        <v>47000</v>
      </c>
      <c r="G926" s="733">
        <v>0</v>
      </c>
      <c r="H926" s="457">
        <v>0</v>
      </c>
      <c r="I926" s="1090">
        <v>47000</v>
      </c>
      <c r="J926" s="1094">
        <v>47000</v>
      </c>
      <c r="K926" s="1094">
        <v>47000</v>
      </c>
      <c r="M926" s="888"/>
      <c r="IQ926" s="116"/>
      <c r="IR926" s="116"/>
      <c r="IS926" s="116"/>
      <c r="IT926" s="116"/>
      <c r="IU926" s="116"/>
      <c r="IV926" s="116"/>
      <c r="IW926" s="116"/>
    </row>
    <row r="927" spans="1:258" s="664" customFormat="1" x14ac:dyDescent="0.2">
      <c r="A927" s="938"/>
      <c r="B927" s="959" t="s">
        <v>983</v>
      </c>
      <c r="C927" s="886">
        <v>200000</v>
      </c>
      <c r="D927" s="127">
        <v>179000</v>
      </c>
      <c r="E927" s="228">
        <v>179000</v>
      </c>
      <c r="F927" s="228">
        <v>179000</v>
      </c>
      <c r="G927" s="733">
        <v>0</v>
      </c>
      <c r="H927" s="457">
        <v>0</v>
      </c>
      <c r="I927" s="1090">
        <v>200000</v>
      </c>
      <c r="J927" s="1094">
        <v>200000</v>
      </c>
      <c r="K927" s="1094">
        <v>200000</v>
      </c>
      <c r="M927" s="888"/>
      <c r="IQ927" s="116"/>
      <c r="IR927" s="116"/>
      <c r="IS927" s="116"/>
      <c r="IT927" s="116"/>
      <c r="IU927" s="116"/>
      <c r="IV927" s="116"/>
      <c r="IW927" s="116"/>
    </row>
    <row r="928" spans="1:258" s="664" customFormat="1" x14ac:dyDescent="0.2">
      <c r="A928" s="938"/>
      <c r="B928" s="959" t="s">
        <v>1442</v>
      </c>
      <c r="C928" s="886">
        <v>0</v>
      </c>
      <c r="D928" s="127">
        <v>21000</v>
      </c>
      <c r="E928" s="228">
        <v>21000</v>
      </c>
      <c r="F928" s="228">
        <v>21000</v>
      </c>
      <c r="G928" s="733">
        <v>21000</v>
      </c>
      <c r="H928" s="457">
        <v>21000</v>
      </c>
      <c r="I928" s="1090">
        <v>0</v>
      </c>
      <c r="J928" s="1094">
        <v>0</v>
      </c>
      <c r="K928" s="1094">
        <v>0</v>
      </c>
      <c r="M928" s="888"/>
      <c r="IQ928" s="116"/>
      <c r="IR928" s="116"/>
      <c r="IS928" s="116"/>
      <c r="IT928" s="116"/>
      <c r="IU928" s="116"/>
      <c r="IV928" s="116"/>
      <c r="IW928" s="116"/>
    </row>
    <row r="929" spans="1:257" s="664" customFormat="1" x14ac:dyDescent="0.2">
      <c r="A929" s="938"/>
      <c r="B929" s="959" t="s">
        <v>984</v>
      </c>
      <c r="C929" s="886">
        <v>3000</v>
      </c>
      <c r="D929" s="127">
        <v>3000</v>
      </c>
      <c r="E929" s="228">
        <v>3000</v>
      </c>
      <c r="F929" s="228">
        <v>3000</v>
      </c>
      <c r="G929" s="733">
        <v>0</v>
      </c>
      <c r="H929" s="457">
        <v>0</v>
      </c>
      <c r="I929" s="1090">
        <v>3000</v>
      </c>
      <c r="J929" s="1094">
        <v>3000</v>
      </c>
      <c r="K929" s="1094">
        <v>3000</v>
      </c>
      <c r="M929" s="888"/>
      <c r="IQ929" s="116"/>
      <c r="IR929" s="116"/>
      <c r="IS929" s="116"/>
      <c r="IT929" s="116"/>
      <c r="IU929" s="116"/>
      <c r="IV929" s="116"/>
      <c r="IW929" s="116"/>
    </row>
    <row r="930" spans="1:257" s="664" customFormat="1" x14ac:dyDescent="0.2">
      <c r="A930" s="745">
        <v>3635</v>
      </c>
      <c r="B930" s="921" t="s">
        <v>986</v>
      </c>
      <c r="C930" s="718">
        <f t="shared" ref="C930:K930" si="197">SUM(C931:C931)</f>
        <v>300000</v>
      </c>
      <c r="D930" s="138">
        <f t="shared" si="197"/>
        <v>300000</v>
      </c>
      <c r="E930" s="439">
        <f t="shared" si="197"/>
        <v>300000</v>
      </c>
      <c r="F930" s="439">
        <f t="shared" si="197"/>
        <v>300000</v>
      </c>
      <c r="G930" s="718">
        <f t="shared" si="197"/>
        <v>187550</v>
      </c>
      <c r="H930" s="699">
        <f t="shared" si="197"/>
        <v>187550</v>
      </c>
      <c r="I930" s="718">
        <f t="shared" si="197"/>
        <v>100000</v>
      </c>
      <c r="J930" s="884">
        <f t="shared" si="197"/>
        <v>100000</v>
      </c>
      <c r="K930" s="884">
        <f t="shared" si="197"/>
        <v>100000</v>
      </c>
      <c r="M930" s="888"/>
      <c r="IQ930" s="116"/>
      <c r="IR930" s="116"/>
      <c r="IS930" s="116"/>
      <c r="IT930" s="116"/>
      <c r="IU930" s="116"/>
      <c r="IV930" s="116"/>
      <c r="IW930" s="116"/>
    </row>
    <row r="931" spans="1:257" s="664" customFormat="1" ht="13.5" thickBot="1" x14ac:dyDescent="0.25">
      <c r="A931" s="801"/>
      <c r="B931" s="922" t="s">
        <v>1764</v>
      </c>
      <c r="C931" s="886">
        <v>300000</v>
      </c>
      <c r="D931" s="127">
        <v>300000</v>
      </c>
      <c r="E931" s="407">
        <v>300000</v>
      </c>
      <c r="F931" s="407">
        <v>300000</v>
      </c>
      <c r="G931" s="1101">
        <v>187550</v>
      </c>
      <c r="H931" s="406">
        <v>187550</v>
      </c>
      <c r="I931" s="1090">
        <v>100000</v>
      </c>
      <c r="J931" s="1094">
        <v>100000</v>
      </c>
      <c r="K931" s="1094">
        <v>100000</v>
      </c>
      <c r="M931" s="888"/>
      <c r="IQ931" s="116"/>
      <c r="IR931" s="116"/>
      <c r="IS931" s="116"/>
      <c r="IT931" s="116"/>
      <c r="IU931" s="116"/>
      <c r="IV931" s="116"/>
      <c r="IW931" s="116"/>
    </row>
    <row r="932" spans="1:257" s="664" customFormat="1" ht="16.5" thickBot="1" x14ac:dyDescent="0.3">
      <c r="A932" s="940"/>
      <c r="B932" s="958" t="s">
        <v>991</v>
      </c>
      <c r="C932" s="1448">
        <f t="shared" ref="C932:I932" si="198">C933</f>
        <v>595000</v>
      </c>
      <c r="D932" s="1448">
        <f t="shared" si="198"/>
        <v>595000</v>
      </c>
      <c r="E932" s="1448">
        <f t="shared" si="198"/>
        <v>595000</v>
      </c>
      <c r="F932" s="1448">
        <f t="shared" si="198"/>
        <v>595000</v>
      </c>
      <c r="G932" s="1448">
        <f t="shared" si="198"/>
        <v>0</v>
      </c>
      <c r="H932" s="1448">
        <f t="shared" si="198"/>
        <v>0</v>
      </c>
      <c r="I932" s="1448">
        <f t="shared" si="198"/>
        <v>0</v>
      </c>
      <c r="J932" s="1433">
        <v>0</v>
      </c>
      <c r="K932" s="1378">
        <v>0</v>
      </c>
      <c r="M932" s="888"/>
      <c r="IQ932" s="116"/>
      <c r="IR932" s="116"/>
      <c r="IS932" s="116"/>
      <c r="IT932" s="116"/>
      <c r="IU932" s="116"/>
      <c r="IV932" s="116"/>
      <c r="IW932" s="116"/>
    </row>
    <row r="933" spans="1:257" s="664" customFormat="1" x14ac:dyDescent="0.2">
      <c r="A933" s="822">
        <v>3699</v>
      </c>
      <c r="B933" s="956" t="s">
        <v>1414</v>
      </c>
      <c r="C933" s="885">
        <v>595000</v>
      </c>
      <c r="D933" s="227">
        <v>595000</v>
      </c>
      <c r="E933" s="1091">
        <v>595000</v>
      </c>
      <c r="F933" s="1091">
        <v>595000</v>
      </c>
      <c r="G933" s="1089">
        <v>0</v>
      </c>
      <c r="H933" s="1093">
        <v>0</v>
      </c>
      <c r="I933" s="1089">
        <v>0</v>
      </c>
      <c r="J933" s="1434">
        <v>0</v>
      </c>
      <c r="K933" s="1379">
        <v>0</v>
      </c>
      <c r="M933" s="888"/>
      <c r="IQ933" s="116"/>
      <c r="IR933" s="116"/>
      <c r="IS933" s="116"/>
      <c r="IT933" s="116"/>
      <c r="IU933" s="116"/>
      <c r="IV933" s="116"/>
      <c r="IW933" s="116"/>
    </row>
    <row r="934" spans="1:257" s="674" customFormat="1" ht="13.5" thickBot="1" x14ac:dyDescent="0.25">
      <c r="A934" s="823"/>
      <c r="B934" s="990"/>
      <c r="C934" s="734"/>
      <c r="D934" s="419"/>
      <c r="E934" s="407"/>
      <c r="F934" s="407"/>
      <c r="G934" s="734"/>
      <c r="H934" s="406"/>
      <c r="I934" s="734"/>
      <c r="J934" s="1304"/>
      <c r="K934" s="1380"/>
      <c r="M934" s="891"/>
      <c r="IQ934" s="1"/>
      <c r="IR934" s="1"/>
      <c r="IS934" s="1"/>
      <c r="IT934" s="1"/>
      <c r="IU934" s="1"/>
      <c r="IV934" s="1"/>
      <c r="IW934" s="1"/>
    </row>
    <row r="935" spans="1:257" s="289" customFormat="1" ht="21" thickBot="1" x14ac:dyDescent="0.35">
      <c r="A935" s="941"/>
      <c r="B935" s="991" t="s">
        <v>54</v>
      </c>
      <c r="C935" s="944">
        <f t="shared" ref="C935:K935" si="199">C936+C937+C940+C941+C942+C943+C944+C945+C948+C955</f>
        <v>85052500</v>
      </c>
      <c r="D935" s="944">
        <f t="shared" si="199"/>
        <v>103184747.24000001</v>
      </c>
      <c r="E935" s="2195">
        <f t="shared" si="199"/>
        <v>138696867.59</v>
      </c>
      <c r="F935" s="2195">
        <f t="shared" si="199"/>
        <v>101193603.16</v>
      </c>
      <c r="G935" s="2195">
        <f t="shared" si="199"/>
        <v>70676314.840000004</v>
      </c>
      <c r="H935" s="1510">
        <f t="shared" si="199"/>
        <v>70675843.739999995</v>
      </c>
      <c r="I935" s="944">
        <f t="shared" si="199"/>
        <v>36990000</v>
      </c>
      <c r="J935" s="1402">
        <f t="shared" si="199"/>
        <v>36990000</v>
      </c>
      <c r="K935" s="1292">
        <f t="shared" si="199"/>
        <v>36990000</v>
      </c>
      <c r="M935" s="892"/>
    </row>
    <row r="936" spans="1:257" s="682" customFormat="1" ht="13.5" customHeight="1" x14ac:dyDescent="0.2">
      <c r="A936" s="942" t="s">
        <v>1437</v>
      </c>
      <c r="B936" s="788" t="s">
        <v>1432</v>
      </c>
      <c r="C936" s="885">
        <v>242500</v>
      </c>
      <c r="D936" s="227">
        <v>0</v>
      </c>
      <c r="E936" s="1246">
        <v>0</v>
      </c>
      <c r="F936" s="2020">
        <v>0</v>
      </c>
      <c r="G936" s="1745">
        <v>0</v>
      </c>
      <c r="H936" s="732">
        <v>0</v>
      </c>
      <c r="I936" s="732">
        <v>0</v>
      </c>
      <c r="J936" s="1279">
        <v>0</v>
      </c>
      <c r="K936" s="1279">
        <v>0</v>
      </c>
      <c r="M936" s="893"/>
    </row>
    <row r="937" spans="1:257" s="116" customFormat="1" ht="13.5" customHeight="1" x14ac:dyDescent="0.3">
      <c r="A937" s="797" t="s">
        <v>1441</v>
      </c>
      <c r="B937" s="921" t="s">
        <v>1172</v>
      </c>
      <c r="C937" s="2190">
        <f>C938+C939</f>
        <v>0</v>
      </c>
      <c r="D937" s="227">
        <f t="shared" ref="D937:H937" si="200">D938</f>
        <v>842724.42999999993</v>
      </c>
      <c r="E937" s="2115">
        <f>E938+E939</f>
        <v>1258339.22</v>
      </c>
      <c r="F937" s="2115">
        <f>F938+F939</f>
        <v>1258339.22</v>
      </c>
      <c r="G937" s="2115">
        <f>G938+G939</f>
        <v>1258339.22</v>
      </c>
      <c r="H937" s="1089">
        <f t="shared" si="200"/>
        <v>842724.42999999993</v>
      </c>
      <c r="I937" s="2190">
        <f>I938+I939</f>
        <v>0</v>
      </c>
      <c r="J937" s="1139">
        <v>0</v>
      </c>
      <c r="K937" s="1139">
        <v>0</v>
      </c>
      <c r="M937" s="894"/>
      <c r="O937" s="685"/>
    </row>
    <row r="938" spans="1:257" s="116" customFormat="1" ht="24.75" x14ac:dyDescent="0.3">
      <c r="A938" s="745"/>
      <c r="B938" s="961" t="s">
        <v>1972</v>
      </c>
      <c r="C938" s="886">
        <v>0</v>
      </c>
      <c r="D938" s="127">
        <f>57246.53+130295.27+210485.42+444697.21</f>
        <v>842724.42999999993</v>
      </c>
      <c r="E938" s="1549">
        <f>15614.79+57246.53+130295.27+210485.42+444697.21</f>
        <v>858339.22</v>
      </c>
      <c r="F938" s="1572">
        <f>15614.79+57246.53+130295.27+210485.42+444697.21</f>
        <v>858339.22</v>
      </c>
      <c r="G938" s="1572">
        <f>15614.79+57246.53+130295.27+210485.42+444697.21</f>
        <v>858339.22</v>
      </c>
      <c r="H938" s="733">
        <f>57246.53+130295.27+210485.42+444697.21</f>
        <v>842724.42999999993</v>
      </c>
      <c r="I938" s="1090">
        <v>0</v>
      </c>
      <c r="J938" s="1094">
        <v>0</v>
      </c>
      <c r="K938" s="1094">
        <v>0</v>
      </c>
      <c r="M938" s="894"/>
      <c r="O938" s="685"/>
    </row>
    <row r="939" spans="1:257" s="116" customFormat="1" ht="20.25" x14ac:dyDescent="0.3">
      <c r="A939" s="745"/>
      <c r="B939" s="961" t="s">
        <v>2052</v>
      </c>
      <c r="C939" s="2026">
        <v>0</v>
      </c>
      <c r="D939" s="127"/>
      <c r="E939" s="1572">
        <v>400000</v>
      </c>
      <c r="F939" s="1572">
        <v>400000</v>
      </c>
      <c r="G939" s="1572">
        <v>400000</v>
      </c>
      <c r="H939" s="733"/>
      <c r="I939" s="2026">
        <v>0</v>
      </c>
      <c r="J939" s="2178"/>
      <c r="K939" s="2178"/>
      <c r="M939" s="894"/>
      <c r="O939" s="685"/>
    </row>
    <row r="940" spans="1:257" s="116" customFormat="1" ht="13.5" customHeight="1" x14ac:dyDescent="0.3">
      <c r="A940" s="745">
        <v>3612</v>
      </c>
      <c r="B940" s="923" t="s">
        <v>1436</v>
      </c>
      <c r="C940" s="885">
        <v>0</v>
      </c>
      <c r="D940" s="138">
        <v>1000000</v>
      </c>
      <c r="E940" s="1183">
        <v>1000000</v>
      </c>
      <c r="F940" s="1183">
        <v>900000</v>
      </c>
      <c r="G940" s="1052">
        <v>736636.01</v>
      </c>
      <c r="H940" s="718">
        <v>592502.73</v>
      </c>
      <c r="I940" s="1089">
        <v>800000</v>
      </c>
      <c r="J940" s="1139">
        <v>800000</v>
      </c>
      <c r="K940" s="1139">
        <v>800000</v>
      </c>
      <c r="M940" s="894"/>
      <c r="O940" s="685"/>
    </row>
    <row r="941" spans="1:257" s="116" customFormat="1" ht="13.5" customHeight="1" x14ac:dyDescent="0.3">
      <c r="A941" s="745">
        <v>3634</v>
      </c>
      <c r="B941" s="921" t="s">
        <v>1433</v>
      </c>
      <c r="C941" s="885">
        <v>8000000</v>
      </c>
      <c r="D941" s="171">
        <v>7714719</v>
      </c>
      <c r="E941" s="1551">
        <v>7714719</v>
      </c>
      <c r="F941" s="1562">
        <v>7714719</v>
      </c>
      <c r="G941" s="1561">
        <v>7714719</v>
      </c>
      <c r="H941" s="781">
        <v>7714719</v>
      </c>
      <c r="I941" s="1089">
        <v>0</v>
      </c>
      <c r="J941" s="1139">
        <v>0</v>
      </c>
      <c r="K941" s="1139">
        <v>0</v>
      </c>
      <c r="M941" s="894"/>
      <c r="O941" s="686"/>
    </row>
    <row r="942" spans="1:257" s="682" customFormat="1" ht="13.5" customHeight="1" x14ac:dyDescent="0.2">
      <c r="A942" s="1021" t="s">
        <v>1771</v>
      </c>
      <c r="B942" s="956" t="s">
        <v>1415</v>
      </c>
      <c r="C942" s="885">
        <v>200000</v>
      </c>
      <c r="D942" s="227">
        <v>200000</v>
      </c>
      <c r="E942" s="1246">
        <v>200000</v>
      </c>
      <c r="F942" s="2020">
        <v>400000</v>
      </c>
      <c r="G942" s="2115">
        <f>390364.54</f>
        <v>390364.54</v>
      </c>
      <c r="H942" s="1089">
        <v>181857.56</v>
      </c>
      <c r="I942" s="1089">
        <v>250000</v>
      </c>
      <c r="J942" s="1139">
        <v>250000</v>
      </c>
      <c r="K942" s="1139">
        <v>250000</v>
      </c>
      <c r="M942" s="893"/>
    </row>
    <row r="943" spans="1:257" ht="25.5" x14ac:dyDescent="0.2">
      <c r="A943" s="745">
        <v>6171</v>
      </c>
      <c r="B943" s="992" t="s">
        <v>1416</v>
      </c>
      <c r="C943" s="885">
        <v>100000</v>
      </c>
      <c r="D943" s="885">
        <v>100000</v>
      </c>
      <c r="E943" s="1594">
        <v>100000</v>
      </c>
      <c r="F943" s="2196">
        <v>100000</v>
      </c>
      <c r="G943" s="2115">
        <f>64251+300</f>
        <v>64551</v>
      </c>
      <c r="H943" s="718">
        <f>33880+300</f>
        <v>34180</v>
      </c>
      <c r="I943" s="1089">
        <v>100000</v>
      </c>
      <c r="J943" s="1139">
        <v>100000</v>
      </c>
      <c r="K943" s="1139">
        <v>100000</v>
      </c>
      <c r="M943" s="702"/>
    </row>
    <row r="944" spans="1:257" ht="13.5" customHeight="1" x14ac:dyDescent="0.2">
      <c r="A944" s="745">
        <v>6310</v>
      </c>
      <c r="B944" s="921" t="s">
        <v>1417</v>
      </c>
      <c r="C944" s="885">
        <v>200000</v>
      </c>
      <c r="D944" s="227">
        <v>350000</v>
      </c>
      <c r="E944" s="1246">
        <v>350000</v>
      </c>
      <c r="F944" s="1562">
        <v>420000</v>
      </c>
      <c r="G944" s="1561">
        <f>339189.24+56172</f>
        <v>395361.24</v>
      </c>
      <c r="H944" s="718">
        <v>332799.17</v>
      </c>
      <c r="I944" s="1089">
        <v>400000</v>
      </c>
      <c r="J944" s="1139">
        <v>400000</v>
      </c>
      <c r="K944" s="1139">
        <v>400000</v>
      </c>
    </row>
    <row r="945" spans="1:15" ht="13.5" customHeight="1" x14ac:dyDescent="0.2">
      <c r="A945" s="745">
        <v>6399</v>
      </c>
      <c r="B945" s="921" t="s">
        <v>1005</v>
      </c>
      <c r="C945" s="718">
        <f>SUM(C946:C947)</f>
        <v>73000000</v>
      </c>
      <c r="D945" s="138">
        <f t="shared" ref="D945:K945" si="201">SUM(D946:D947)</f>
        <v>64949700</v>
      </c>
      <c r="E945" s="1183">
        <f t="shared" si="201"/>
        <v>64949700</v>
      </c>
      <c r="F945" s="1183">
        <f t="shared" si="201"/>
        <v>64949700</v>
      </c>
      <c r="G945" s="1052">
        <f t="shared" si="201"/>
        <v>57480247</v>
      </c>
      <c r="H945" s="718">
        <f t="shared" si="201"/>
        <v>58264471</v>
      </c>
      <c r="I945" s="718">
        <f t="shared" si="201"/>
        <v>32000000</v>
      </c>
      <c r="J945" s="884">
        <f t="shared" si="201"/>
        <v>32000000</v>
      </c>
      <c r="K945" s="884">
        <f t="shared" si="201"/>
        <v>32000000</v>
      </c>
    </row>
    <row r="946" spans="1:15" ht="13.5" customHeight="1" x14ac:dyDescent="0.2">
      <c r="A946" s="801"/>
      <c r="B946" s="922" t="s">
        <v>1418</v>
      </c>
      <c r="C946" s="708">
        <v>40000000</v>
      </c>
      <c r="D946" s="708">
        <v>29949700</v>
      </c>
      <c r="E946" s="2197">
        <v>29949700</v>
      </c>
      <c r="F946" s="2197">
        <v>29949700</v>
      </c>
      <c r="G946" s="1049">
        <v>29949700</v>
      </c>
      <c r="H946" s="708">
        <v>29949700</v>
      </c>
      <c r="I946" s="708">
        <v>30000000</v>
      </c>
      <c r="J946" s="1276">
        <v>30000000</v>
      </c>
      <c r="K946" s="1276">
        <v>30000000</v>
      </c>
    </row>
    <row r="947" spans="1:15" ht="13.5" customHeight="1" x14ac:dyDescent="0.2">
      <c r="A947" s="801"/>
      <c r="B947" s="922" t="s">
        <v>1757</v>
      </c>
      <c r="C947" s="886">
        <v>33000000</v>
      </c>
      <c r="D947" s="127">
        <v>35000000</v>
      </c>
      <c r="E947" s="1546">
        <v>35000000</v>
      </c>
      <c r="F947" s="1546">
        <v>35000000</v>
      </c>
      <c r="G947" s="2000">
        <f>27529547+1000</f>
        <v>27530547</v>
      </c>
      <c r="H947" s="1090">
        <v>28314771</v>
      </c>
      <c r="I947" s="1090">
        <v>2000000</v>
      </c>
      <c r="J947" s="1094">
        <v>2000000</v>
      </c>
      <c r="K947" s="1094">
        <v>2000000</v>
      </c>
    </row>
    <row r="948" spans="1:15" s="116" customFormat="1" ht="13.5" customHeight="1" x14ac:dyDescent="0.3">
      <c r="A948" s="745">
        <v>6402</v>
      </c>
      <c r="B948" s="921" t="s">
        <v>1008</v>
      </c>
      <c r="C948" s="439">
        <f t="shared" ref="C948:K948" si="202">SUM(C949:C954)</f>
        <v>0</v>
      </c>
      <c r="D948" s="439">
        <f t="shared" si="202"/>
        <v>2123925.73</v>
      </c>
      <c r="E948" s="439">
        <f t="shared" si="202"/>
        <v>2123925.73</v>
      </c>
      <c r="F948" s="439">
        <f t="shared" si="202"/>
        <v>2200418.75</v>
      </c>
      <c r="G948" s="718">
        <f>SUM(G949:G954)</f>
        <v>2123925.73</v>
      </c>
      <c r="H948" s="718">
        <f t="shared" si="202"/>
        <v>2200418.75</v>
      </c>
      <c r="I948" s="897">
        <f t="shared" si="202"/>
        <v>0</v>
      </c>
      <c r="J948" s="752">
        <f t="shared" si="202"/>
        <v>0</v>
      </c>
      <c r="K948" s="884">
        <f t="shared" si="202"/>
        <v>0</v>
      </c>
      <c r="O948" s="686"/>
    </row>
    <row r="949" spans="1:15" s="2" customFormat="1" ht="13.5" customHeight="1" x14ac:dyDescent="0.3">
      <c r="A949" s="744"/>
      <c r="B949" s="923" t="s">
        <v>1765</v>
      </c>
      <c r="C949" s="886">
        <v>0</v>
      </c>
      <c r="D949" s="127">
        <v>400000</v>
      </c>
      <c r="E949" s="127">
        <v>400000</v>
      </c>
      <c r="F949" s="228">
        <v>400000</v>
      </c>
      <c r="G949" s="733">
        <v>400000</v>
      </c>
      <c r="H949" s="733">
        <v>400000</v>
      </c>
      <c r="I949" s="1090">
        <v>0</v>
      </c>
      <c r="J949" s="1094">
        <v>0</v>
      </c>
      <c r="K949" s="1094">
        <v>0</v>
      </c>
      <c r="O949" s="686"/>
    </row>
    <row r="950" spans="1:15" s="2" customFormat="1" ht="13.5" customHeight="1" x14ac:dyDescent="0.3">
      <c r="A950" s="744"/>
      <c r="B950" s="923" t="s">
        <v>1768</v>
      </c>
      <c r="C950" s="886">
        <v>0</v>
      </c>
      <c r="D950" s="127">
        <f>8015+33210</f>
        <v>41225</v>
      </c>
      <c r="E950" s="127">
        <f>8015+33210</f>
        <v>41225</v>
      </c>
      <c r="F950" s="228">
        <f>8015+33210</f>
        <v>41225</v>
      </c>
      <c r="G950" s="733">
        <f>8015+33210</f>
        <v>41225</v>
      </c>
      <c r="H950" s="733">
        <f>8015+33210</f>
        <v>41225</v>
      </c>
      <c r="I950" s="1090">
        <v>0</v>
      </c>
      <c r="J950" s="1094">
        <v>0</v>
      </c>
      <c r="K950" s="1094">
        <v>0</v>
      </c>
      <c r="O950" s="686"/>
    </row>
    <row r="951" spans="1:15" s="2" customFormat="1" ht="13.5" customHeight="1" x14ac:dyDescent="0.3">
      <c r="A951" s="744"/>
      <c r="B951" s="923" t="s">
        <v>1767</v>
      </c>
      <c r="C951" s="1090">
        <v>0</v>
      </c>
      <c r="D951" s="127">
        <f>1784.32+10111.13</f>
        <v>11895.449999999999</v>
      </c>
      <c r="E951" s="127">
        <f>1784.32+10111.13</f>
        <v>11895.449999999999</v>
      </c>
      <c r="F951" s="228">
        <f>1784.32+10111.13</f>
        <v>11895.449999999999</v>
      </c>
      <c r="G951" s="733">
        <f>1784.32+10111.13</f>
        <v>11895.449999999999</v>
      </c>
      <c r="H951" s="733">
        <f>1784.32+10111.13</f>
        <v>11895.449999999999</v>
      </c>
      <c r="I951" s="1090">
        <v>0</v>
      </c>
      <c r="J951" s="1094">
        <v>0</v>
      </c>
      <c r="K951" s="1094">
        <v>0</v>
      </c>
      <c r="O951" s="686"/>
    </row>
    <row r="952" spans="1:15" s="2" customFormat="1" ht="13.5" customHeight="1" x14ac:dyDescent="0.3">
      <c r="A952" s="744"/>
      <c r="B952" s="993" t="s">
        <v>1766</v>
      </c>
      <c r="C952" s="886">
        <v>0</v>
      </c>
      <c r="D952" s="1549">
        <v>0</v>
      </c>
      <c r="E952" s="1549">
        <v>0</v>
      </c>
      <c r="F952" s="1546">
        <f>8051.9+68441.12</f>
        <v>76493.01999999999</v>
      </c>
      <c r="G952" s="1572">
        <v>0</v>
      </c>
      <c r="H952" s="1572">
        <f>8051.9+68441.12</f>
        <v>76493.01999999999</v>
      </c>
      <c r="I952" s="1090">
        <v>0</v>
      </c>
      <c r="J952" s="1094">
        <v>0</v>
      </c>
      <c r="K952" s="1094">
        <v>0</v>
      </c>
      <c r="O952" s="686"/>
    </row>
    <row r="953" spans="1:15" s="2" customFormat="1" ht="13.5" customHeight="1" x14ac:dyDescent="0.3">
      <c r="A953" s="744"/>
      <c r="B953" s="923" t="s">
        <v>1769</v>
      </c>
      <c r="C953" s="1119">
        <v>0</v>
      </c>
      <c r="D953" s="228">
        <v>1449005.28</v>
      </c>
      <c r="E953" s="228">
        <v>1449005.28</v>
      </c>
      <c r="F953" s="228">
        <v>1449005.28</v>
      </c>
      <c r="G953" s="733">
        <v>1449005.28</v>
      </c>
      <c r="H953" s="733">
        <v>1449005.28</v>
      </c>
      <c r="I953" s="1090">
        <v>0</v>
      </c>
      <c r="J953" s="1094">
        <v>0</v>
      </c>
      <c r="K953" s="1094">
        <v>0</v>
      </c>
      <c r="O953" s="686"/>
    </row>
    <row r="954" spans="1:15" s="2" customFormat="1" ht="13.5" customHeight="1" x14ac:dyDescent="0.3">
      <c r="A954" s="744"/>
      <c r="B954" s="923" t="s">
        <v>1971</v>
      </c>
      <c r="C954" s="1119">
        <v>0</v>
      </c>
      <c r="D954" s="228">
        <v>221800</v>
      </c>
      <c r="E954" s="228">
        <v>221800</v>
      </c>
      <c r="F954" s="228">
        <v>221800</v>
      </c>
      <c r="G954" s="733">
        <v>221800</v>
      </c>
      <c r="H954" s="733">
        <v>221800</v>
      </c>
      <c r="I954" s="1090">
        <v>0</v>
      </c>
      <c r="J954" s="1094">
        <v>0</v>
      </c>
      <c r="K954" s="1094">
        <v>0</v>
      </c>
      <c r="O954" s="686"/>
    </row>
    <row r="955" spans="1:15" s="289" customFormat="1" ht="13.5" customHeight="1" x14ac:dyDescent="0.25">
      <c r="A955" s="745">
        <v>6409</v>
      </c>
      <c r="B955" s="921" t="s">
        <v>1014</v>
      </c>
      <c r="C955" s="439">
        <f t="shared" ref="C955:K955" si="203">SUM(C956:C958)</f>
        <v>3310000</v>
      </c>
      <c r="D955" s="439">
        <f t="shared" si="203"/>
        <v>25903678.080000002</v>
      </c>
      <c r="E955" s="439">
        <f>SUM(E956:E958)</f>
        <v>61000183.639999993</v>
      </c>
      <c r="F955" s="439">
        <f t="shared" si="203"/>
        <v>23250426.190000001</v>
      </c>
      <c r="G955" s="718">
        <f t="shared" si="203"/>
        <v>512171.1</v>
      </c>
      <c r="H955" s="718">
        <f t="shared" si="203"/>
        <v>512171.1</v>
      </c>
      <c r="I955" s="718">
        <f t="shared" si="203"/>
        <v>3440000</v>
      </c>
      <c r="J955" s="884">
        <f t="shared" si="203"/>
        <v>3440000</v>
      </c>
      <c r="K955" s="884">
        <f t="shared" si="203"/>
        <v>3440000</v>
      </c>
    </row>
    <row r="956" spans="1:15" s="116" customFormat="1" ht="13.5" customHeight="1" x14ac:dyDescent="0.2">
      <c r="A956" s="860"/>
      <c r="B956" s="925" t="s">
        <v>1969</v>
      </c>
      <c r="C956" s="735">
        <v>3000000</v>
      </c>
      <c r="D956" s="407">
        <v>25376862.100000001</v>
      </c>
      <c r="E956" s="407">
        <v>60473367.659999996</v>
      </c>
      <c r="F956" s="407">
        <v>22723610.210000001</v>
      </c>
      <c r="G956" s="734">
        <v>0</v>
      </c>
      <c r="H956" s="734">
        <v>0</v>
      </c>
      <c r="I956" s="735">
        <f>3000000+361000-361000</f>
        <v>3000000</v>
      </c>
      <c r="J956" s="1317">
        <v>3000000</v>
      </c>
      <c r="K956" s="1317">
        <v>3000000</v>
      </c>
    </row>
    <row r="957" spans="1:15" s="116" customFormat="1" ht="38.25" x14ac:dyDescent="0.2">
      <c r="A957" s="883"/>
      <c r="B957" s="994" t="s">
        <v>1419</v>
      </c>
      <c r="C957" s="858">
        <f>80000+90000+85000+55000</f>
        <v>310000</v>
      </c>
      <c r="D957" s="858">
        <f>80000+90000+205000+65000</f>
        <v>440000</v>
      </c>
      <c r="E957" s="906">
        <f>205000+65000+80000+90000</f>
        <v>440000</v>
      </c>
      <c r="F957" s="906">
        <f>80000+90000+205000+65000</f>
        <v>440000</v>
      </c>
      <c r="G957" s="858">
        <v>425355.12</v>
      </c>
      <c r="H957" s="858">
        <f>78914.12+84408.5+205000+57032.5</f>
        <v>425355.12</v>
      </c>
      <c r="I957" s="858">
        <v>440000</v>
      </c>
      <c r="J957" s="1309">
        <v>440000</v>
      </c>
      <c r="K957" s="1309">
        <v>440000</v>
      </c>
    </row>
    <row r="958" spans="1:15" s="116" customFormat="1" ht="13.5" customHeight="1" x14ac:dyDescent="0.2">
      <c r="A958" s="2191" t="s">
        <v>2053</v>
      </c>
      <c r="B958" s="927" t="s">
        <v>1770</v>
      </c>
      <c r="C958" s="1084">
        <v>0</v>
      </c>
      <c r="D958" s="164">
        <v>86815.98</v>
      </c>
      <c r="E958" s="1529">
        <v>86815.98</v>
      </c>
      <c r="F958" s="857">
        <v>86815.98</v>
      </c>
      <c r="G958" s="858">
        <v>86815.98</v>
      </c>
      <c r="H958" s="858">
        <v>86815.98</v>
      </c>
      <c r="I958" s="735">
        <v>0</v>
      </c>
      <c r="J958" s="1317">
        <v>0</v>
      </c>
      <c r="K958" s="1317">
        <v>0</v>
      </c>
    </row>
    <row r="959" spans="1:15" s="116" customFormat="1" ht="13.5" customHeight="1" thickBot="1" x14ac:dyDescent="0.25">
      <c r="A959" s="861"/>
      <c r="B959" s="1086"/>
      <c r="C959" s="743"/>
      <c r="D959" s="1083"/>
      <c r="E959" s="33"/>
      <c r="F959" s="707"/>
      <c r="G959" s="743"/>
      <c r="H959" s="743"/>
      <c r="I959" s="1085"/>
      <c r="J959" s="1336"/>
      <c r="K959" s="1336"/>
    </row>
    <row r="960" spans="1:15" s="116" customFormat="1" ht="27" thickBot="1" x14ac:dyDescent="0.4">
      <c r="A960" s="943"/>
      <c r="B960" s="2189" t="s">
        <v>55</v>
      </c>
      <c r="C960" s="862">
        <f t="shared" ref="C960:K960" si="204">SUM(C237+C351+C574+C577+C583+C592+C596+C601+C686+C690+C709+C718+C750+C757+C782+C924+C935)</f>
        <v>999143597.20000005</v>
      </c>
      <c r="D960" s="771">
        <f t="shared" si="204"/>
        <v>1020282720.3299999</v>
      </c>
      <c r="E960" s="771">
        <f t="shared" si="204"/>
        <v>1021034486.36</v>
      </c>
      <c r="F960" s="771">
        <f t="shared" si="204"/>
        <v>929974427.93999994</v>
      </c>
      <c r="G960" s="1223">
        <f t="shared" si="204"/>
        <v>706320288.64999998</v>
      </c>
      <c r="H960" s="1223" t="e">
        <f t="shared" si="204"/>
        <v>#REF!</v>
      </c>
      <c r="I960" s="862">
        <f t="shared" si="204"/>
        <v>1012540563</v>
      </c>
      <c r="J960" s="1435" t="e">
        <f t="shared" si="204"/>
        <v>#REF!</v>
      </c>
      <c r="K960" s="1381" t="e">
        <f t="shared" si="204"/>
        <v>#REF!</v>
      </c>
    </row>
    <row r="961" spans="1:11" ht="26.25" x14ac:dyDescent="0.2">
      <c r="B961" s="2188"/>
      <c r="C961" s="12"/>
      <c r="D961" s="12"/>
      <c r="E961" s="12"/>
      <c r="F961" s="12"/>
      <c r="G961" s="12"/>
      <c r="H961" s="12"/>
      <c r="I961" s="12"/>
      <c r="J961" s="12"/>
      <c r="K961" s="12"/>
    </row>
    <row r="962" spans="1:11" ht="23.25" x14ac:dyDescent="0.35">
      <c r="B962" s="903"/>
      <c r="C962" s="12"/>
      <c r="D962" s="12"/>
      <c r="E962" s="12"/>
      <c r="F962" s="12"/>
      <c r="G962" s="2091"/>
      <c r="H962" s="12"/>
      <c r="I962" s="12"/>
      <c r="J962" s="12"/>
      <c r="K962" s="12"/>
    </row>
    <row r="963" spans="1:11" s="116" customFormat="1" ht="23.25" x14ac:dyDescent="0.35">
      <c r="A963" s="1"/>
      <c r="B963" s="903"/>
      <c r="C963" s="12"/>
      <c r="D963" s="12"/>
      <c r="E963" s="12"/>
      <c r="F963" s="12"/>
      <c r="G963" s="12"/>
      <c r="H963" s="129"/>
      <c r="I963" s="12"/>
      <c r="J963" s="12"/>
      <c r="K963" s="107"/>
    </row>
    <row r="964" spans="1:11" s="116" customFormat="1" x14ac:dyDescent="0.2">
      <c r="A964" s="1"/>
      <c r="B964" s="729"/>
      <c r="C964" s="12"/>
      <c r="D964" s="12"/>
      <c r="E964" s="12"/>
      <c r="F964" s="12"/>
      <c r="G964" s="12"/>
      <c r="H964" s="129"/>
      <c r="I964" s="12"/>
      <c r="J964" s="12"/>
      <c r="K964" s="107"/>
    </row>
    <row r="965" spans="1:11" x14ac:dyDescent="0.2">
      <c r="B965" s="695"/>
      <c r="C965" s="12"/>
      <c r="D965" s="12"/>
      <c r="E965" s="12"/>
      <c r="F965" s="12"/>
      <c r="G965" s="12"/>
      <c r="H965" s="129"/>
      <c r="I965" s="12"/>
      <c r="J965" s="12"/>
      <c r="K965" s="12"/>
    </row>
    <row r="966" spans="1:11" x14ac:dyDescent="0.2">
      <c r="B966" s="12"/>
    </row>
    <row r="967" spans="1:11" x14ac:dyDescent="0.2">
      <c r="B967" s="12"/>
      <c r="J967" s="702"/>
    </row>
    <row r="968" spans="1:11" x14ac:dyDescent="0.2">
      <c r="B968" s="12"/>
    </row>
  </sheetData>
  <sheetProtection selectLockedCells="1" selectUnlockedCells="1"/>
  <autoFilter ref="I1:I967"/>
  <mergeCells count="5">
    <mergeCell ref="I184:I186"/>
    <mergeCell ref="K5:K6"/>
    <mergeCell ref="J32:J33"/>
    <mergeCell ref="L5:L6"/>
    <mergeCell ref="J5:J6"/>
  </mergeCells>
  <printOptions horizontalCentered="1"/>
  <pageMargins left="3.937007874015748E-2" right="3.937007874015748E-2" top="0.55118110236220474" bottom="0.55118110236220474" header="0.31496062992125984" footer="0.31496062992125984"/>
  <pageSetup paperSize="8" scale="82" firstPageNumber="0" fitToHeight="0" orientation="landscape" r:id="rId1"/>
  <headerFooter alignWithMargins="0">
    <oddFooter>&amp;C&amp;P</oddFooter>
  </headerFooter>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O31"/>
  <sheetViews>
    <sheetView workbookViewId="0">
      <selection activeCell="A2" sqref="A2:J2"/>
    </sheetView>
  </sheetViews>
  <sheetFormatPr defaultColWidth="7.140625" defaultRowHeight="11.25" x14ac:dyDescent="0.2"/>
  <cols>
    <col min="1" max="1" width="6.5703125" style="2141" customWidth="1"/>
    <col min="2" max="2" width="9.140625" style="2142" hidden="1" customWidth="1"/>
    <col min="3" max="3" width="38.28515625" style="2143" customWidth="1"/>
    <col min="4" max="4" width="12.5703125" style="2143" customWidth="1"/>
    <col min="5" max="5" width="10.7109375" style="2141" customWidth="1"/>
    <col min="6" max="6" width="9.5703125" style="2141" customWidth="1"/>
    <col min="7" max="8" width="12.7109375" style="2143" customWidth="1"/>
    <col min="9" max="9" width="12.7109375" style="2141" customWidth="1"/>
    <col min="10" max="10" width="39.5703125" style="2144" customWidth="1"/>
    <col min="11" max="11" width="9.140625" style="2143" customWidth="1"/>
    <col min="12" max="16384" width="7.140625" style="2143"/>
  </cols>
  <sheetData>
    <row r="2" spans="1:15" ht="18" customHeight="1" x14ac:dyDescent="0.2">
      <c r="A2" s="2282" t="s">
        <v>2043</v>
      </c>
      <c r="B2" s="2282"/>
      <c r="C2" s="2282"/>
      <c r="D2" s="2282"/>
      <c r="E2" s="2282"/>
      <c r="F2" s="2282"/>
      <c r="G2" s="2282"/>
      <c r="H2" s="2282"/>
      <c r="I2" s="2282"/>
      <c r="J2" s="2282"/>
      <c r="K2" s="2158"/>
      <c r="L2" s="2159"/>
      <c r="M2" s="2159"/>
      <c r="N2" s="2159"/>
      <c r="O2" s="2158"/>
    </row>
    <row r="3" spans="1:15" ht="12" thickBot="1" x14ac:dyDescent="0.25">
      <c r="A3" s="2145"/>
      <c r="B3" s="2146"/>
      <c r="C3" s="2145"/>
      <c r="D3" s="2145"/>
      <c r="G3" s="2145"/>
      <c r="H3" s="2145"/>
      <c r="J3" s="2147"/>
      <c r="L3" s="2160"/>
      <c r="M3" s="2160"/>
      <c r="N3" s="2160"/>
    </row>
    <row r="4" spans="1:15" ht="24" customHeight="1" x14ac:dyDescent="0.2">
      <c r="A4" s="2283" t="s">
        <v>1980</v>
      </c>
      <c r="B4" s="2285" t="s">
        <v>1981</v>
      </c>
      <c r="C4" s="2287" t="s">
        <v>1982</v>
      </c>
      <c r="D4" s="2289" t="s">
        <v>1983</v>
      </c>
      <c r="E4" s="2289" t="s">
        <v>1984</v>
      </c>
      <c r="F4" s="2289" t="s">
        <v>1985</v>
      </c>
      <c r="G4" s="2291" t="s">
        <v>1986</v>
      </c>
      <c r="H4" s="2292"/>
      <c r="I4" s="2293"/>
      <c r="J4" s="2294" t="s">
        <v>1987</v>
      </c>
    </row>
    <row r="5" spans="1:15" ht="24" customHeight="1" thickBot="1" x14ac:dyDescent="0.25">
      <c r="A5" s="2284"/>
      <c r="B5" s="2286"/>
      <c r="C5" s="2288"/>
      <c r="D5" s="2290"/>
      <c r="E5" s="2290"/>
      <c r="F5" s="2290"/>
      <c r="G5" s="2148" t="s">
        <v>1988</v>
      </c>
      <c r="H5" s="2148" t="s">
        <v>1989</v>
      </c>
      <c r="I5" s="2148" t="s">
        <v>1990</v>
      </c>
      <c r="J5" s="2295"/>
    </row>
    <row r="6" spans="1:15" s="2141" customFormat="1" ht="18" customHeight="1" x14ac:dyDescent="0.2">
      <c r="A6" s="2277" t="s">
        <v>1991</v>
      </c>
      <c r="B6" s="2278"/>
      <c r="C6" s="2278"/>
      <c r="D6" s="2278"/>
      <c r="E6" s="2278"/>
      <c r="F6" s="2278"/>
      <c r="G6" s="2278"/>
      <c r="H6" s="2278"/>
      <c r="I6" s="2278"/>
      <c r="J6" s="2279"/>
    </row>
    <row r="7" spans="1:15" s="2141" customFormat="1" ht="24" customHeight="1" x14ac:dyDescent="0.2">
      <c r="A7" s="2149"/>
      <c r="B7" s="2150">
        <v>4077</v>
      </c>
      <c r="C7" s="2151" t="s">
        <v>1992</v>
      </c>
      <c r="D7" s="2152">
        <v>1000000</v>
      </c>
      <c r="E7" s="2153">
        <v>0</v>
      </c>
      <c r="F7" s="2152">
        <v>0</v>
      </c>
      <c r="G7" s="2154">
        <v>500000</v>
      </c>
      <c r="H7" s="2153">
        <v>500000</v>
      </c>
      <c r="I7" s="2153">
        <v>0</v>
      </c>
      <c r="J7" s="2155" t="s">
        <v>1993</v>
      </c>
    </row>
    <row r="8" spans="1:15" s="2141" customFormat="1" ht="24" customHeight="1" x14ac:dyDescent="0.2">
      <c r="A8" s="2149"/>
      <c r="B8" s="2150">
        <v>5337</v>
      </c>
      <c r="C8" s="2151" t="s">
        <v>1994</v>
      </c>
      <c r="D8" s="2152">
        <v>1500000</v>
      </c>
      <c r="E8" s="2153">
        <v>0</v>
      </c>
      <c r="F8" s="2152">
        <v>0</v>
      </c>
      <c r="G8" s="2154">
        <v>750000</v>
      </c>
      <c r="H8" s="2153">
        <v>750000</v>
      </c>
      <c r="I8" s="2153">
        <v>0</v>
      </c>
      <c r="J8" s="2155" t="s">
        <v>1993</v>
      </c>
    </row>
    <row r="9" spans="1:15" s="2141" customFormat="1" ht="24" customHeight="1" x14ac:dyDescent="0.2">
      <c r="A9" s="2149"/>
      <c r="B9" s="2150">
        <v>5338</v>
      </c>
      <c r="C9" s="2151" t="s">
        <v>1995</v>
      </c>
      <c r="D9" s="2152">
        <v>1000000</v>
      </c>
      <c r="E9" s="2153">
        <v>0</v>
      </c>
      <c r="F9" s="2152">
        <v>0</v>
      </c>
      <c r="G9" s="2154">
        <v>500000</v>
      </c>
      <c r="H9" s="2153">
        <v>500000</v>
      </c>
      <c r="I9" s="2153">
        <v>0</v>
      </c>
      <c r="J9" s="2155" t="s">
        <v>1993</v>
      </c>
    </row>
    <row r="10" spans="1:15" s="2141" customFormat="1" ht="18" customHeight="1" x14ac:dyDescent="0.2">
      <c r="A10" s="2277" t="s">
        <v>1996</v>
      </c>
      <c r="B10" s="2278"/>
      <c r="C10" s="2278"/>
      <c r="D10" s="2278"/>
      <c r="E10" s="2278"/>
      <c r="F10" s="2278"/>
      <c r="G10" s="2278"/>
      <c r="H10" s="2278"/>
      <c r="I10" s="2278"/>
      <c r="J10" s="2279"/>
    </row>
    <row r="11" spans="1:15" s="2141" customFormat="1" ht="24" customHeight="1" x14ac:dyDescent="0.2">
      <c r="A11" s="2149"/>
      <c r="B11" s="2150">
        <v>5057</v>
      </c>
      <c r="C11" s="2151" t="s">
        <v>1997</v>
      </c>
      <c r="D11" s="2152">
        <v>1500000</v>
      </c>
      <c r="E11" s="2153">
        <v>0</v>
      </c>
      <c r="F11" s="2152">
        <v>0</v>
      </c>
      <c r="G11" s="2154">
        <v>750000</v>
      </c>
      <c r="H11" s="2153">
        <v>750000</v>
      </c>
      <c r="I11" s="2153">
        <v>0</v>
      </c>
      <c r="J11" s="2155" t="s">
        <v>1993</v>
      </c>
    </row>
    <row r="12" spans="1:15" s="2141" customFormat="1" ht="24" customHeight="1" x14ac:dyDescent="0.2">
      <c r="A12" s="2149"/>
      <c r="B12" s="2150">
        <v>4303</v>
      </c>
      <c r="C12" s="2151" t="s">
        <v>1998</v>
      </c>
      <c r="D12" s="2152">
        <v>1000000</v>
      </c>
      <c r="E12" s="2153">
        <v>0</v>
      </c>
      <c r="F12" s="2152">
        <v>0</v>
      </c>
      <c r="G12" s="2154">
        <v>500000</v>
      </c>
      <c r="H12" s="2153">
        <v>500000</v>
      </c>
      <c r="I12" s="2153">
        <v>0</v>
      </c>
      <c r="J12" s="2155" t="s">
        <v>1993</v>
      </c>
    </row>
    <row r="13" spans="1:15" ht="18" customHeight="1" x14ac:dyDescent="0.2">
      <c r="A13" s="2277" t="s">
        <v>1999</v>
      </c>
      <c r="B13" s="2278"/>
      <c r="C13" s="2278"/>
      <c r="D13" s="2278"/>
      <c r="E13" s="2278"/>
      <c r="F13" s="2278"/>
      <c r="G13" s="2278"/>
      <c r="H13" s="2278"/>
      <c r="I13" s="2278"/>
      <c r="J13" s="2279"/>
    </row>
    <row r="14" spans="1:15" s="2141" customFormat="1" ht="24" customHeight="1" x14ac:dyDescent="0.2">
      <c r="A14" s="2149"/>
      <c r="B14" s="2150">
        <v>4355</v>
      </c>
      <c r="C14" s="2151" t="s">
        <v>2000</v>
      </c>
      <c r="D14" s="2152">
        <v>1700000</v>
      </c>
      <c r="E14" s="2153">
        <v>0</v>
      </c>
      <c r="F14" s="2152">
        <v>0</v>
      </c>
      <c r="G14" s="2154">
        <v>850000</v>
      </c>
      <c r="H14" s="2153">
        <v>850000</v>
      </c>
      <c r="I14" s="2153">
        <v>0</v>
      </c>
      <c r="J14" s="2155" t="s">
        <v>2001</v>
      </c>
    </row>
    <row r="15" spans="1:15" s="2161" customFormat="1" ht="15.75" customHeight="1" x14ac:dyDescent="0.2">
      <c r="A15" s="2277" t="s">
        <v>2002</v>
      </c>
      <c r="B15" s="2278"/>
      <c r="C15" s="2278"/>
      <c r="D15" s="2278"/>
      <c r="E15" s="2278"/>
      <c r="F15" s="2278"/>
      <c r="G15" s="2278"/>
      <c r="H15" s="2278"/>
      <c r="I15" s="2278"/>
      <c r="J15" s="2279"/>
      <c r="K15" s="2143"/>
    </row>
    <row r="16" spans="1:15" s="2141" customFormat="1" ht="24" customHeight="1" x14ac:dyDescent="0.2">
      <c r="A16" s="2149"/>
      <c r="B16" s="2150">
        <v>4050</v>
      </c>
      <c r="C16" s="2151" t="s">
        <v>2003</v>
      </c>
      <c r="D16" s="2152">
        <v>1500000</v>
      </c>
      <c r="E16" s="2153">
        <v>0</v>
      </c>
      <c r="F16" s="2152">
        <v>0</v>
      </c>
      <c r="G16" s="2154">
        <v>750000</v>
      </c>
      <c r="H16" s="2153">
        <v>750000</v>
      </c>
      <c r="I16" s="2153">
        <v>0</v>
      </c>
      <c r="J16" s="2155" t="s">
        <v>2004</v>
      </c>
    </row>
    <row r="17" spans="1:10" s="2141" customFormat="1" ht="18" customHeight="1" x14ac:dyDescent="0.2">
      <c r="A17" s="2277" t="s">
        <v>2005</v>
      </c>
      <c r="B17" s="2280"/>
      <c r="C17" s="2280"/>
      <c r="D17" s="2280"/>
      <c r="E17" s="2280"/>
      <c r="F17" s="2280"/>
      <c r="G17" s="2280"/>
      <c r="H17" s="2280"/>
      <c r="I17" s="2280"/>
      <c r="J17" s="2281"/>
    </row>
    <row r="18" spans="1:10" s="2141" customFormat="1" ht="24" customHeight="1" x14ac:dyDescent="0.2">
      <c r="A18" s="2149"/>
      <c r="B18" s="2150">
        <v>5748</v>
      </c>
      <c r="C18" s="2151" t="s">
        <v>2006</v>
      </c>
      <c r="D18" s="2152">
        <v>75000000</v>
      </c>
      <c r="E18" s="2153">
        <v>0</v>
      </c>
      <c r="F18" s="2152">
        <v>0</v>
      </c>
      <c r="G18" s="2154">
        <v>20000000</v>
      </c>
      <c r="H18" s="2153">
        <v>55000000</v>
      </c>
      <c r="I18" s="2153">
        <v>0</v>
      </c>
      <c r="J18" s="2155" t="s">
        <v>2001</v>
      </c>
    </row>
    <row r="19" spans="1:10" s="2141" customFormat="1" ht="24" customHeight="1" x14ac:dyDescent="0.2">
      <c r="A19" s="2149"/>
      <c r="B19" s="2150">
        <v>4116</v>
      </c>
      <c r="C19" s="2151" t="s">
        <v>2007</v>
      </c>
      <c r="D19" s="2152">
        <v>1000000</v>
      </c>
      <c r="E19" s="2153">
        <v>0</v>
      </c>
      <c r="F19" s="2152">
        <v>0</v>
      </c>
      <c r="G19" s="2154">
        <v>500000</v>
      </c>
      <c r="H19" s="2153">
        <v>12000</v>
      </c>
      <c r="I19" s="2153">
        <v>0</v>
      </c>
      <c r="J19" s="2155" t="s">
        <v>1993</v>
      </c>
    </row>
    <row r="20" spans="1:10" s="2141" customFormat="1" ht="24" customHeight="1" x14ac:dyDescent="0.2">
      <c r="A20" s="2149"/>
      <c r="B20" s="2150">
        <v>4043</v>
      </c>
      <c r="C20" s="2151" t="s">
        <v>2008</v>
      </c>
      <c r="D20" s="2152">
        <v>1100000</v>
      </c>
      <c r="E20" s="2153">
        <v>0</v>
      </c>
      <c r="F20" s="2152">
        <v>0</v>
      </c>
      <c r="G20" s="2154">
        <v>550000</v>
      </c>
      <c r="H20" s="2153">
        <v>550000</v>
      </c>
      <c r="I20" s="2153">
        <v>0</v>
      </c>
      <c r="J20" s="2155" t="s">
        <v>1993</v>
      </c>
    </row>
    <row r="21" spans="1:10" s="2141" customFormat="1" ht="24" customHeight="1" x14ac:dyDescent="0.2">
      <c r="A21" s="2149"/>
      <c r="B21" s="2150">
        <v>5250</v>
      </c>
      <c r="C21" s="2151" t="s">
        <v>2009</v>
      </c>
      <c r="D21" s="2152">
        <v>900000</v>
      </c>
      <c r="E21" s="2153">
        <v>0</v>
      </c>
      <c r="F21" s="2152">
        <v>0</v>
      </c>
      <c r="G21" s="2154">
        <v>450000</v>
      </c>
      <c r="H21" s="2153">
        <v>450000</v>
      </c>
      <c r="I21" s="2153">
        <v>0</v>
      </c>
      <c r="J21" s="2155" t="s">
        <v>1993</v>
      </c>
    </row>
    <row r="22" spans="1:10" s="2141" customFormat="1" ht="24" customHeight="1" x14ac:dyDescent="0.2">
      <c r="A22" s="2149"/>
      <c r="B22" s="2150">
        <v>5254</v>
      </c>
      <c r="C22" s="2151" t="s">
        <v>2010</v>
      </c>
      <c r="D22" s="2152">
        <v>900000</v>
      </c>
      <c r="E22" s="2153">
        <v>0</v>
      </c>
      <c r="F22" s="2152">
        <v>0</v>
      </c>
      <c r="G22" s="2154">
        <v>450000</v>
      </c>
      <c r="H22" s="2153">
        <v>450000</v>
      </c>
      <c r="I22" s="2153">
        <v>0</v>
      </c>
      <c r="J22" s="2155" t="s">
        <v>1993</v>
      </c>
    </row>
    <row r="23" spans="1:10" s="2141" customFormat="1" ht="24" customHeight="1" x14ac:dyDescent="0.2">
      <c r="A23" s="2149"/>
      <c r="B23" s="2150">
        <v>5254</v>
      </c>
      <c r="C23" s="2151" t="s">
        <v>2011</v>
      </c>
      <c r="D23" s="2152">
        <v>600000</v>
      </c>
      <c r="E23" s="2153">
        <v>0</v>
      </c>
      <c r="F23" s="2152">
        <v>0</v>
      </c>
      <c r="G23" s="2154">
        <v>300000</v>
      </c>
      <c r="H23" s="2153">
        <v>300000</v>
      </c>
      <c r="I23" s="2153">
        <v>0</v>
      </c>
      <c r="J23" s="2155" t="s">
        <v>1993</v>
      </c>
    </row>
    <row r="24" spans="1:10" s="2141" customFormat="1" ht="24" customHeight="1" x14ac:dyDescent="0.2">
      <c r="A24" s="2149"/>
      <c r="B24" s="2150"/>
      <c r="C24" s="2151" t="s">
        <v>2012</v>
      </c>
      <c r="D24" s="2152">
        <v>800000</v>
      </c>
      <c r="E24" s="2153">
        <v>0</v>
      </c>
      <c r="F24" s="2152">
        <v>0</v>
      </c>
      <c r="G24" s="2154">
        <v>400000</v>
      </c>
      <c r="H24" s="2153">
        <v>400000</v>
      </c>
      <c r="I24" s="2153">
        <v>0</v>
      </c>
      <c r="J24" s="2155" t="s">
        <v>1993</v>
      </c>
    </row>
    <row r="25" spans="1:10" ht="18" customHeight="1" x14ac:dyDescent="0.2">
      <c r="A25" s="2271" t="s">
        <v>2013</v>
      </c>
      <c r="B25" s="2272"/>
      <c r="C25" s="2272"/>
      <c r="D25" s="2272"/>
      <c r="E25" s="2272"/>
      <c r="F25" s="2272"/>
      <c r="G25" s="2272"/>
      <c r="H25" s="2272"/>
      <c r="I25" s="2272"/>
      <c r="J25" s="2273"/>
    </row>
    <row r="26" spans="1:10" s="2141" customFormat="1" ht="24" customHeight="1" x14ac:dyDescent="0.2">
      <c r="A26" s="2149"/>
      <c r="B26" s="2150"/>
      <c r="C26" s="2151" t="s">
        <v>2014</v>
      </c>
      <c r="D26" s="2152">
        <v>10000000</v>
      </c>
      <c r="E26" s="2153">
        <v>0</v>
      </c>
      <c r="F26" s="2152">
        <v>0</v>
      </c>
      <c r="G26" s="2154">
        <v>4000000</v>
      </c>
      <c r="H26" s="2153">
        <v>6000000</v>
      </c>
      <c r="I26" s="2153">
        <v>0</v>
      </c>
      <c r="J26" s="2155" t="s">
        <v>2015</v>
      </c>
    </row>
    <row r="27" spans="1:10" s="2141" customFormat="1" ht="24" customHeight="1" x14ac:dyDescent="0.2">
      <c r="A27" s="2149"/>
      <c r="B27" s="2150"/>
      <c r="C27" s="2151" t="s">
        <v>2016</v>
      </c>
      <c r="D27" s="2152">
        <v>24200000</v>
      </c>
      <c r="E27" s="2153">
        <v>0</v>
      </c>
      <c r="F27" s="2152">
        <v>0</v>
      </c>
      <c r="G27" s="2154">
        <v>8000000</v>
      </c>
      <c r="H27" s="2153">
        <v>16200000</v>
      </c>
      <c r="I27" s="2153">
        <v>0</v>
      </c>
      <c r="J27" s="2155" t="s">
        <v>2017</v>
      </c>
    </row>
    <row r="28" spans="1:10" s="2141" customFormat="1" ht="24" customHeight="1" x14ac:dyDescent="0.2">
      <c r="A28" s="2149"/>
      <c r="B28" s="2150">
        <v>5758</v>
      </c>
      <c r="C28" s="2151" t="s">
        <v>2018</v>
      </c>
      <c r="D28" s="2152">
        <v>800000</v>
      </c>
      <c r="E28" s="2153">
        <v>0</v>
      </c>
      <c r="F28" s="2152">
        <v>0</v>
      </c>
      <c r="G28" s="2154">
        <v>400000</v>
      </c>
      <c r="H28" s="2153">
        <v>400000</v>
      </c>
      <c r="I28" s="2153">
        <v>0</v>
      </c>
      <c r="J28" s="2155" t="s">
        <v>1993</v>
      </c>
    </row>
    <row r="29" spans="1:10" ht="18" customHeight="1" x14ac:dyDescent="0.2">
      <c r="A29" s="2271"/>
      <c r="B29" s="2272"/>
      <c r="C29" s="2272"/>
      <c r="D29" s="2272"/>
      <c r="E29" s="2272"/>
      <c r="F29" s="2272"/>
      <c r="G29" s="2272"/>
      <c r="H29" s="2272"/>
      <c r="I29" s="2272"/>
      <c r="J29" s="2273"/>
    </row>
    <row r="30" spans="1:10" s="2141" customFormat="1" ht="24" customHeight="1" thickBot="1" x14ac:dyDescent="0.25">
      <c r="A30" s="2149"/>
      <c r="B30" s="2150"/>
      <c r="C30" s="2151" t="s">
        <v>2019</v>
      </c>
      <c r="D30" s="2152">
        <v>28000000</v>
      </c>
      <c r="E30" s="2153">
        <v>0</v>
      </c>
      <c r="F30" s="2152">
        <v>0</v>
      </c>
      <c r="G30" s="2154">
        <v>0</v>
      </c>
      <c r="H30" s="2153">
        <v>28000000</v>
      </c>
      <c r="I30" s="2153"/>
      <c r="J30" s="2155"/>
    </row>
    <row r="31" spans="1:10" s="2141" customFormat="1" ht="18" customHeight="1" thickBot="1" x14ac:dyDescent="0.25">
      <c r="A31" s="2274" t="s">
        <v>2020</v>
      </c>
      <c r="B31" s="2275"/>
      <c r="C31" s="2276"/>
      <c r="D31" s="2156">
        <f t="shared" ref="D31:I31" si="0">SUM(D7:D30)</f>
        <v>152500000</v>
      </c>
      <c r="E31" s="2156">
        <f t="shared" si="0"/>
        <v>0</v>
      </c>
      <c r="F31" s="2156">
        <f t="shared" si="0"/>
        <v>0</v>
      </c>
      <c r="G31" s="2156">
        <f t="shared" si="0"/>
        <v>39650000</v>
      </c>
      <c r="H31" s="2156">
        <f t="shared" si="0"/>
        <v>112362000</v>
      </c>
      <c r="I31" s="2156">
        <f t="shared" si="0"/>
        <v>0</v>
      </c>
      <c r="J31" s="2157"/>
    </row>
  </sheetData>
  <mergeCells count="17">
    <mergeCell ref="A2:J2"/>
    <mergeCell ref="A4:A5"/>
    <mergeCell ref="B4:B5"/>
    <mergeCell ref="C4:C5"/>
    <mergeCell ref="D4:D5"/>
    <mergeCell ref="E4:E5"/>
    <mergeCell ref="F4:F5"/>
    <mergeCell ref="G4:I4"/>
    <mergeCell ref="J4:J5"/>
    <mergeCell ref="A29:J29"/>
    <mergeCell ref="A31:C31"/>
    <mergeCell ref="A6:J6"/>
    <mergeCell ref="A10:J10"/>
    <mergeCell ref="A13:J13"/>
    <mergeCell ref="A15:J15"/>
    <mergeCell ref="A17:J17"/>
    <mergeCell ref="A25:J25"/>
  </mergeCells>
  <pageMargins left="0.39370078740157477" right="0.19685039370078738" top="0.78740157480314954" bottom="0.39370078740157477" header="0.31496062992125984" footer="0.11811023622047245"/>
  <pageSetup paperSize="9" scale="64" orientation="portrait" useFirstPageNumber="1" r:id="rId1"/>
  <headerFooter>
    <oddHeader>&amp;R&amp;"Arial,Regular "&amp;12Příloha č. 3</oddHeader>
    <oddFooter>&amp;C&amp;"Tahoma,Regular "&amp;10&amp;P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4</vt:i4>
      </vt:variant>
      <vt:variant>
        <vt:lpstr>Pojmenované oblasti</vt:lpstr>
      </vt:variant>
      <vt:variant>
        <vt:i4>15</vt:i4>
      </vt:variant>
    </vt:vector>
  </HeadingPairs>
  <TitlesOfParts>
    <vt:vector size="19" baseType="lpstr">
      <vt:lpstr>priloha_1</vt:lpstr>
      <vt:lpstr>2024_priloha_1</vt:lpstr>
      <vt:lpstr>2024_priloha_2</vt:lpstr>
      <vt:lpstr>2024_priloha_3</vt:lpstr>
      <vt:lpstr>'2024_priloha_1'!Excel_BuiltIn__FilterDatabase</vt:lpstr>
      <vt:lpstr>'2024_priloha_2'!Excel_BuiltIn__FilterDatabase</vt:lpstr>
      <vt:lpstr>'2024_priloha_1'!Excel_BuiltIn_Print_Area</vt:lpstr>
      <vt:lpstr>'2024_priloha_2'!Excel_BuiltIn_Print_Area</vt:lpstr>
      <vt:lpstr>priloha_1!Excel_BuiltIn_Print_Area</vt:lpstr>
      <vt:lpstr>'2024_priloha_1'!Excel_BuiltIn_Print_Titles</vt:lpstr>
      <vt:lpstr>'2024_priloha_2'!Excel_BuiltIn_Print_Titles</vt:lpstr>
      <vt:lpstr>priloha_1!Excel_BuiltIn_Print_Titles</vt:lpstr>
      <vt:lpstr>'2024_priloha_1'!Názvy_tisku</vt:lpstr>
      <vt:lpstr>'2024_priloha_2'!Názvy_tisku</vt:lpstr>
      <vt:lpstr>priloha_1!Názvy_tisku</vt:lpstr>
      <vt:lpstr>'2024_priloha_1'!Oblast_tisku</vt:lpstr>
      <vt:lpstr>'2024_priloha_2'!Oblast_tisku</vt:lpstr>
      <vt:lpstr>priloha_1!Oblast_tisku</vt:lpstr>
      <vt:lpstr>'2024_priloha_3'!Print_Titles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Jarmila Straková</dc:creator>
  <cp:lastModifiedBy>Jarmila Straková</cp:lastModifiedBy>
  <cp:lastPrinted>2023-12-20T13:17:32Z</cp:lastPrinted>
  <dcterms:created xsi:type="dcterms:W3CDTF">2021-10-11T07:05:45Z</dcterms:created>
  <dcterms:modified xsi:type="dcterms:W3CDTF">2023-12-20T14:12:07Z</dcterms:modified>
</cp:coreProperties>
</file>